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72" documentId="8_{103C9060-83F6-421C-960C-FDAE3CB5E97B}" xr6:coauthVersionLast="47" xr6:coauthVersionMax="47" xr10:uidLastSave="{13AB956C-5621-45B0-A86E-91B052DA13BB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6" l="1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E141" i="6"/>
  <c r="E17" i="6"/>
  <c r="E110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E79" i="6"/>
  <c r="E48" i="6"/>
  <c r="I23" i="6"/>
  <c r="I22" i="6"/>
  <c r="I21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HG107" i="2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W113" i="2"/>
  <c r="EC113" i="2"/>
  <c r="EX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HG155" i="2"/>
  <c r="EX155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S164" i="2"/>
  <c r="EA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HG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W192" i="2"/>
  <c r="HG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126" i="2" a="1"/>
  <c r="BC126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EI195" i="2" a="1"/>
  <c r="EI195" i="2" s="1"/>
  <c r="AH151" i="2" a="1"/>
  <c r="AH151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4" i="2" a="1"/>
  <c r="BC84" i="2" s="1"/>
  <c r="BC7" i="2" a="1"/>
  <c r="BC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77" i="2" l="1" a="1"/>
  <c r="CS77" i="2" s="1"/>
  <c r="CS116" i="2" a="1"/>
  <c r="CS116" i="2" s="1"/>
  <c r="CS137" i="2" a="1"/>
  <c r="CS137" i="2" s="1"/>
  <c r="CS52" i="2" a="1"/>
  <c r="CS52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38" i="2" a="1"/>
  <c r="BC38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3" i="2"/>
  <c r="BI77" i="2"/>
  <c r="BI175" i="2"/>
  <c r="BI50" i="2"/>
  <c r="BI185" i="2"/>
  <c r="BI28" i="2"/>
  <c r="BI140" i="2"/>
  <c r="BI154" i="2"/>
  <c r="BI187" i="2"/>
  <c r="BI49" i="2"/>
  <c r="BI168" i="2"/>
  <c r="BI6" i="2"/>
  <c r="BI12" i="2"/>
  <c r="BI4" i="2"/>
  <c r="BI121" i="2"/>
  <c r="BI34" i="2"/>
  <c r="BI176" i="2"/>
  <c r="BI43" i="2"/>
  <c r="BI98" i="2"/>
  <c r="BI159" i="2"/>
  <c r="BI203" i="2"/>
  <c r="BI150" i="2"/>
  <c r="BI48" i="2"/>
  <c r="BI186" i="2"/>
  <c r="BI104" i="2"/>
  <c r="BI71" i="2"/>
  <c r="BI172" i="2"/>
  <c r="BI63" i="2"/>
  <c r="BI88" i="2"/>
  <c r="BI15" i="2"/>
  <c r="BI105" i="2"/>
  <c r="BI115" i="2"/>
  <c r="BI195" i="2"/>
  <c r="BI57" i="2"/>
  <c r="BI148" i="2"/>
  <c r="BI33" i="2"/>
  <c r="BI59" i="2"/>
  <c r="BI137" i="2"/>
  <c r="BI69" i="2"/>
  <c r="BI51" i="2"/>
  <c r="BI23" i="2"/>
  <c r="BI162" i="2"/>
  <c r="BI198" i="2"/>
  <c r="BI191" i="2"/>
  <c r="BI101" i="2"/>
  <c r="BI73" i="2"/>
  <c r="BI132" i="2"/>
  <c r="BI97" i="2"/>
  <c r="BI13" i="2"/>
  <c r="BI165" i="2"/>
  <c r="BI180" i="2"/>
  <c r="BI136" i="2"/>
  <c r="BI85" i="2"/>
  <c r="BI82" i="2"/>
  <c r="BI126" i="2"/>
  <c r="BI155" i="2"/>
  <c r="BI52" i="2"/>
  <c r="BI118" i="2"/>
  <c r="BI193" i="2"/>
  <c r="BI135" i="2"/>
  <c r="BI79" i="2"/>
  <c r="BI188" i="2"/>
  <c r="BI38" i="2"/>
  <c r="BI24" i="2"/>
  <c r="BI22" i="2"/>
  <c r="BI94" i="2"/>
  <c r="BI10" i="2"/>
  <c r="BI39" i="2"/>
  <c r="BI124" i="2"/>
  <c r="BI145" i="2"/>
  <c r="BI151" i="2"/>
  <c r="BI62" i="2"/>
  <c r="BI61" i="2"/>
  <c r="BI184" i="2"/>
  <c r="BI107" i="2"/>
  <c r="BI92" i="2"/>
  <c r="BI179" i="2"/>
  <c r="BI7" i="2"/>
  <c r="BI149" i="2"/>
  <c r="BI32" i="2"/>
  <c r="BI19" i="2"/>
  <c r="BI169" i="2"/>
  <c r="BI182" i="2"/>
  <c r="BI194" i="2"/>
  <c r="BI65" i="2"/>
  <c r="BI56" i="2"/>
  <c r="BI25" i="2"/>
  <c r="BI21" i="2"/>
  <c r="BI117" i="2"/>
  <c r="BI120" i="2"/>
  <c r="BI163" i="2"/>
  <c r="BI112" i="2"/>
  <c r="BI199" i="2"/>
  <c r="BI174" i="2"/>
  <c r="BI127" i="2"/>
  <c r="BI90" i="2"/>
  <c r="BI129" i="2"/>
  <c r="BI171" i="2"/>
  <c r="BI143" i="2"/>
  <c r="BI131" i="2"/>
  <c r="BI157" i="2"/>
  <c r="BI72" i="2"/>
  <c r="BI35" i="2"/>
  <c r="BI29" i="2"/>
  <c r="BI160" i="2"/>
  <c r="BI60" i="2"/>
  <c r="BI37" i="2"/>
  <c r="BI189" i="2"/>
  <c r="BI86" i="2"/>
  <c r="BI201" i="2"/>
  <c r="BI53" i="2"/>
  <c r="BI102" i="2"/>
  <c r="BI40" i="2"/>
  <c r="BI164" i="2"/>
  <c r="BI153" i="2"/>
  <c r="BI95" i="2"/>
  <c r="BI144" i="2"/>
  <c r="BI74" i="2"/>
  <c r="BI130" i="2"/>
  <c r="BI54" i="2"/>
  <c r="BI146" i="2"/>
  <c r="BI84" i="2"/>
  <c r="BI142" i="2"/>
  <c r="BI27" i="2"/>
  <c r="BI78" i="2"/>
  <c r="BI167" i="2"/>
  <c r="BI44" i="2"/>
  <c r="BI14" i="2"/>
  <c r="BI18" i="2"/>
  <c r="BI45" i="2"/>
  <c r="BI108" i="2"/>
  <c r="BI128" i="2"/>
  <c r="BI133" i="2"/>
  <c r="BI109" i="2"/>
  <c r="BI192" i="2"/>
  <c r="BI30" i="2"/>
  <c r="BI122" i="2"/>
  <c r="BI55" i="2"/>
  <c r="BI147" i="2"/>
  <c r="BI116" i="2"/>
  <c r="BI64" i="2"/>
  <c r="BI119" i="2"/>
  <c r="BI5" i="2"/>
  <c r="BI75" i="2"/>
  <c r="BI114" i="2"/>
  <c r="BI110" i="2"/>
  <c r="BI66" i="2"/>
  <c r="BI183" i="2"/>
  <c r="BI41" i="2"/>
  <c r="BI178" i="2"/>
  <c r="BI197" i="2"/>
  <c r="BI36" i="2"/>
  <c r="BI134" i="2"/>
  <c r="BI80" i="2"/>
  <c r="BI83" i="2"/>
  <c r="BI141" i="2"/>
  <c r="BI67" i="2"/>
  <c r="BI100" i="2"/>
  <c r="BI31" i="2"/>
  <c r="BI158" i="2"/>
  <c r="BI11" i="2"/>
  <c r="BI99" i="2"/>
  <c r="BI76" i="2"/>
  <c r="BI87" i="2"/>
  <c r="BI42" i="2"/>
  <c r="BI3" i="2"/>
  <c r="C8" i="4" s="1"/>
  <c r="E8" i="4" s="1"/>
  <c r="F8" i="4" s="1"/>
  <c r="G8" i="4" s="1"/>
  <c r="L8" i="4" s="1"/>
  <c r="BI139" i="2"/>
  <c r="BI20" i="2"/>
  <c r="BI181" i="2"/>
  <c r="BI125" i="2"/>
  <c r="BI190" i="2"/>
  <c r="BI89" i="2"/>
  <c r="BI16" i="2"/>
  <c r="BI17" i="2"/>
  <c r="BI58" i="2"/>
  <c r="BI93" i="2"/>
  <c r="BI91" i="2"/>
  <c r="BI8" i="2"/>
  <c r="BI156" i="2"/>
  <c r="BI26" i="2"/>
  <c r="BI106" i="2"/>
  <c r="BI200" i="2"/>
  <c r="BI70" i="2"/>
  <c r="BI202" i="2"/>
  <c r="BI96" i="2"/>
  <c r="BI138" i="2"/>
  <c r="BI111" i="2"/>
  <c r="BI123" i="2"/>
  <c r="BI152" i="2"/>
  <c r="BI9" i="2"/>
  <c r="BI81" i="2"/>
  <c r="BI177" i="2"/>
  <c r="BI170" i="2"/>
  <c r="BI68" i="2"/>
  <c r="BI173" i="2"/>
  <c r="BI46" i="2"/>
  <c r="BI161" i="2"/>
  <c r="BI196" i="2"/>
  <c r="BI113" i="2"/>
  <c r="BI16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<sst xmlns="http://schemas.openxmlformats.org/spreadsheetml/2006/main" count="1174" uniqueCount="324">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</sst>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115.77785737197435</c:v>
                </c:pt>
                <c:pt idx="32">
                  <c:v>126.01601193064431</c:v>
                </c:pt>
                <c:pt idx="33">
                  <c:v>136.23399433545893</c:v>
                </c:pt>
                <c:pt idx="34">
                  <c:v>146.43353271796309</c:v>
                </c:pt>
                <c:pt idx="35">
                  <c:v>156.61609434461207</c:v>
                </c:pt>
                <c:pt idx="36">
                  <c:v>166.78293977832863</c:v>
                </c:pt>
                <c:pt idx="37">
                  <c:v>176.93516310576453</c:v>
                </c:pt>
                <c:pt idx="38">
                  <c:v>187.07372242622981</c:v>
                </c:pt>
                <c:pt idx="39">
                  <c:v>197.19946337106239</c:v>
                </c:pt>
                <c:pt idx="40">
                  <c:v>207.31313753029789</c:v>
                </c:pt>
                <c:pt idx="41">
                  <c:v>167.2908897484331</c:v>
                </c:pt>
                <c:pt idx="42">
                  <c:v>177.94961915142096</c:v>
                </c:pt>
                <c:pt idx="43">
                  <c:v>188.59338138830185</c:v>
                </c:pt>
                <c:pt idx="44">
                  <c:v>199.22314097441145</c:v>
                </c:pt>
                <c:pt idx="45">
                  <c:v>209.839750973131</c:v>
                </c:pt>
                <c:pt idx="46">
                  <c:v>220.44397098530533</c:v>
                </c:pt>
                <c:pt idx="47">
                  <c:v>231.03648149074078</c:v>
                </c:pt>
                <c:pt idx="48">
                  <c:v>241.61789541835171</c:v>
                </c:pt>
                <c:pt idx="49">
                  <c:v>252.18876758094336</c:v>
                </c:pt>
                <c:pt idx="50">
                  <c:v>262.74960244358527</c:v>
                </c:pt>
                <c:pt idx="51">
                  <c:v>221.95788870113009</c:v>
                </c:pt>
                <c:pt idx="52">
                  <c:v>231.54060536306486</c:v>
                </c:pt>
                <c:pt idx="53">
                  <c:v>241.11426179447619</c:v>
                </c:pt>
                <c:pt idx="54">
                  <c:v>250.67926877807722</c:v>
                </c:pt>
                <c:pt idx="55">
                  <c:v>260.23600315922118</c:v>
                </c:pt>
                <c:pt idx="56">
                  <c:v>269.78481182023978</c:v>
                </c:pt>
                <c:pt idx="57">
                  <c:v>279.32601506215059</c:v>
                </c:pt>
                <c:pt idx="58">
                  <c:v>288.85990949975201</c:v>
                </c:pt>
                <c:pt idx="59">
                  <c:v>298.38677055421067</c:v>
                </c:pt>
                <c:pt idx="60">
                  <c:v>307.90685461043864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232.44796515158791</c:v>
                </c:pt>
                <c:pt idx="32">
                  <c:v>256.01191793762843</c:v>
                </c:pt>
                <c:pt idx="33">
                  <c:v>279.52680294324551</c:v>
                </c:pt>
                <c:pt idx="34">
                  <c:v>302.9973265846117</c:v>
                </c:pt>
                <c:pt idx="35">
                  <c:v>326.42740643086165</c:v>
                </c:pt>
                <c:pt idx="36">
                  <c:v>289.96337472940411</c:v>
                </c:pt>
                <c:pt idx="37">
                  <c:v>314.28330815365291</c:v>
                </c:pt>
                <c:pt idx="38">
                  <c:v>338.56152844098648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351.11892985232754</c:v>
                </c:pt>
                <c:pt idx="42">
                  <c:v>375.77238986983872</c:v>
                </c:pt>
                <c:pt idx="43">
                  <c:v>400.39063273702004</c:v>
                </c:pt>
                <c:pt idx="44">
                  <c:v>424.97612632602932</c:v>
                </c:pt>
                <c:pt idx="45">
                  <c:v>449.53102985794368</c:v>
                </c:pt>
                <c:pt idx="46">
                  <c:v>412.90299192267588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556.91033459423932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694.58576673681353</c:v>
                </c:pt>
                <c:pt idx="85">
                  <c:v>708.661530717353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764.90869207675416</c:v>
                </c:pt>
                <c:pt idx="90">
                  <c:v>778.95710505480326</c:v>
                </c:pt>
                <c:pt idx="91">
                  <c:v>672.39385739452064</c:v>
                </c:pt>
                <c:pt idx="92">
                  <c:v>685.19868466155049</c:v>
                </c:pt>
                <c:pt idx="93">
                  <c:v>697.99860485695535</c:v>
                </c:pt>
                <c:pt idx="94">
                  <c:v>710.79372059813147</c:v>
                </c:pt>
                <c:pt idx="95">
                  <c:v>723.58413050891011</c:v>
                </c:pt>
                <c:pt idx="96">
                  <c:v>736.36992944429039</c:v>
                </c:pt>
                <c:pt idx="97">
                  <c:v>749.15120869876171</c:v>
                </c:pt>
                <c:pt idx="98">
                  <c:v>761.92805619968021</c:v>
                </c:pt>
                <c:pt idx="99">
                  <c:v>774.70055668701161</c:v>
                </c:pt>
                <c:pt idx="100">
                  <c:v>787.4687918806103</c:v>
                </c:pt>
                <c:pt idx="101">
                  <c:v>679.22371566061418</c:v>
                </c:pt>
                <c:pt idx="102">
                  <c:v>690.31923574953782</c:v>
                </c:pt>
                <c:pt idx="103">
                  <c:v>701.41110134898815</c:v>
                </c:pt>
                <c:pt idx="104">
                  <c:v>712.49937837079142</c:v>
                </c:pt>
                <c:pt idx="105">
                  <c:v>723.58413050891011</c:v>
                </c:pt>
                <c:pt idx="106">
                  <c:v>734.66541934761642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679.86394234558054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708.661530717353</c:v>
                </c:pt>
                <c:pt idx="115">
                  <c:v>718.25535876813422</c:v>
                </c:pt>
                <c:pt idx="116">
                  <c:v>727.84657123825627</c:v>
                </c:pt>
                <c:pt idx="117">
                  <c:v>737.43520744105774</c:v>
                </c:pt>
                <c:pt idx="118">
                  <c:v>747.02130558454337</c:v>
                </c:pt>
                <c:pt idx="119">
                  <c:v>756.60490281654677</c:v>
                </c:pt>
                <c:pt idx="120">
                  <c:v>766.18603526748632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264.77349292047239</c:v>
                </c:pt>
                <c:pt idx="57">
                  <c:v>275.80500562250131</c:v>
                </c:pt>
                <c:pt idx="58">
                  <c:v>286.82661124370242</c:v>
                </c:pt>
                <c:pt idx="59">
                  <c:v>297.83874433354407</c:v>
                </c:pt>
                <c:pt idx="60">
                  <c:v>308.84180466613213</c:v>
                </c:pt>
                <c:pt idx="61">
                  <c:v>291.31415591858644</c:v>
                </c:pt>
                <c:pt idx="62">
                  <c:v>302.3225462698868</c:v>
                </c:pt>
                <c:pt idx="63">
                  <c:v>313.32201769425825</c:v>
                </c:pt>
                <c:pt idx="64">
                  <c:v>324.31292757822456</c:v>
                </c:pt>
                <c:pt idx="65">
                  <c:v>335.2956070957909</c:v>
                </c:pt>
                <c:pt idx="66">
                  <c:v>316.9865887388741</c:v>
                </c:pt>
                <c:pt idx="67">
                  <c:v>327.16106643674794</c:v>
                </c:pt>
                <c:pt idx="68">
                  <c:v>337.32855839291477</c:v>
                </c:pt>
                <c:pt idx="69">
                  <c:v>347.48930495916358</c:v>
                </c:pt>
                <c:pt idx="70">
                  <c:v>357.64353127694955</c:v>
                </c:pt>
                <c:pt idx="71">
                  <c:v>339.36123992303641</c:v>
                </c:pt>
                <c:pt idx="72">
                  <c:v>349.52066488969604</c:v>
                </c:pt>
                <c:pt idx="73">
                  <c:v>359.67361293503609</c:v>
                </c:pt>
                <c:pt idx="74">
                  <c:v>369.82029275047876</c:v>
                </c:pt>
                <c:pt idx="75">
                  <c:v>379.96090063619022</c:v>
                </c:pt>
                <c:pt idx="76">
                  <c:v>360.8915414955336</c:v>
                </c:pt>
                <c:pt idx="77">
                  <c:v>370.22603238018934</c:v>
                </c:pt>
                <c:pt idx="78">
                  <c:v>379.55539054654463</c:v>
                </c:pt>
                <c:pt idx="79">
                  <c:v>388.8797600089427</c:v>
                </c:pt>
                <c:pt idx="80">
                  <c:v>398.19927730859058</c:v>
                </c:pt>
                <c:pt idx="81">
                  <c:v>378.74434206791716</c:v>
                </c:pt>
                <c:pt idx="82">
                  <c:v>387.66381592151902</c:v>
                </c:pt>
                <c:pt idx="83">
                  <c:v>396.57883448700221</c:v>
                </c:pt>
                <c:pt idx="84">
                  <c:v>405.48951209335405</c:v>
                </c:pt>
                <c:pt idx="85">
                  <c:v>414.39595763230818</c:v>
                </c:pt>
                <c:pt idx="86">
                  <c:v>394.55307910081621</c:v>
                </c:pt>
                <c:pt idx="87">
                  <c:v>403.05975148729186</c:v>
                </c:pt>
                <c:pt idx="88">
                  <c:v>411.56254124269799</c:v>
                </c:pt>
                <c:pt idx="89">
                  <c:v>420.06153993571371</c:v>
                </c:pt>
                <c:pt idx="90">
                  <c:v>428.55683512546551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65" zoomScale="80" zoomScaleNormal="80" workbookViewId="0">
      <selection activeCell="F151" sqref="F15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3.3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4.5455000000000002E-2</v>
      </c>
      <c r="D9" s="33">
        <f t="shared" ref="D9:D18" si="0">C9*$C$5</f>
        <v>0.15000150000000001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4.5455000000000002E-2</v>
      </c>
      <c r="D10" s="33">
        <f t="shared" si="0"/>
        <v>0.15000150000000001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0.29090899999999997</v>
      </c>
      <c r="D11" s="33">
        <f t="shared" si="0"/>
        <v>0.9599996999999999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6</v>
      </c>
      <c r="C12" s="32">
        <v>7.2727E-2</v>
      </c>
      <c r="D12" s="33">
        <f t="shared" si="0"/>
        <v>0.23999909999999999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35</v>
      </c>
      <c r="C13" s="32">
        <v>0.54449999999999998</v>
      </c>
      <c r="D13" s="33">
        <f t="shared" si="0"/>
        <v>1.7968499999999998</v>
      </c>
      <c r="E13" s="34">
        <v>50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0.99904599999999988</v>
      </c>
      <c r="D19" s="38">
        <f>SUM(D9:D18)</f>
        <v>3.2968517999999998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v>170</v>
      </c>
      <c r="C36" s="60">
        <v>1</v>
      </c>
      <c r="D36" s="60">
        <v>70</v>
      </c>
      <c r="E36" s="51">
        <v>0.2</v>
      </c>
      <c r="F36" s="51">
        <v>0.45</v>
      </c>
      <c r="G36" s="51">
        <v>0.35</v>
      </c>
      <c r="H36" s="51"/>
      <c r="I36" s="49">
        <f>IFERROR(B36/A36,"")</f>
        <v>5.666666666666667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40</v>
      </c>
      <c r="B37" s="60">
        <v>200</v>
      </c>
      <c r="C37" s="60">
        <v>2</v>
      </c>
      <c r="D37" s="60">
        <v>50</v>
      </c>
      <c r="E37" s="51">
        <v>0.3</v>
      </c>
      <c r="F37" s="51">
        <v>0.39</v>
      </c>
      <c r="G37" s="51">
        <v>0.31</v>
      </c>
      <c r="H37" s="51"/>
      <c r="I37" s="53">
        <f t="shared" ref="I37:I55" si="1">IF(A37&lt;&gt;0,(B37-(B36-D36))/(A37-A36),"")</f>
        <v>10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50</v>
      </c>
      <c r="B38" s="60">
        <v>255</v>
      </c>
      <c r="C38" s="60">
        <v>3</v>
      </c>
      <c r="D38" s="60">
        <v>50</v>
      </c>
      <c r="E38" s="51">
        <v>0.4</v>
      </c>
      <c r="F38" s="51">
        <v>0.34</v>
      </c>
      <c r="G38" s="51">
        <v>0.26</v>
      </c>
      <c r="H38" s="51"/>
      <c r="I38" s="53">
        <f t="shared" si="1"/>
        <v>10.5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60</v>
      </c>
      <c r="B39" s="60">
        <v>300</v>
      </c>
      <c r="C39" s="60">
        <v>4</v>
      </c>
      <c r="D39" s="60">
        <v>300</v>
      </c>
      <c r="E39" s="51">
        <v>0.6</v>
      </c>
      <c r="F39" s="51">
        <v>0.22</v>
      </c>
      <c r="G39" s="51">
        <v>0.18</v>
      </c>
      <c r="H39" s="51"/>
      <c r="I39" s="49">
        <f t="shared" si="1"/>
        <v>9.5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103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 t="shared" ref="I63:I81" si="2">IF(A63&lt;&gt;0,(B63-(B62-D62))/(A63-A62),"")</f>
        <v>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 t="shared" si="2"/>
        <v>3.6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 t="shared" si="2"/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si="2"/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90</v>
      </c>
      <c r="B75" s="50">
        <v>358</v>
      </c>
      <c r="C75" s="50">
        <v>15</v>
      </c>
      <c r="D75" s="50">
        <v>56</v>
      </c>
      <c r="E75" s="51">
        <v>0.7</v>
      </c>
      <c r="F75" s="51"/>
      <c r="G75" s="51"/>
      <c r="H75" s="51">
        <v>0.3</v>
      </c>
      <c r="I75" s="49">
        <f t="shared" si="2"/>
        <v>6.6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100</v>
      </c>
      <c r="B76" s="50">
        <v>362</v>
      </c>
      <c r="C76" s="50">
        <v>17</v>
      </c>
      <c r="D76" s="50">
        <v>56</v>
      </c>
      <c r="E76" s="51">
        <v>0.8</v>
      </c>
      <c r="F76" s="51"/>
      <c r="G76" s="51"/>
      <c r="H76" s="51">
        <v>0.2</v>
      </c>
      <c r="I76" s="49">
        <f t="shared" si="2"/>
        <v>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110</v>
      </c>
      <c r="B77" s="50">
        <v>358</v>
      </c>
      <c r="C77" s="50">
        <v>19</v>
      </c>
      <c r="D77" s="50">
        <v>51</v>
      </c>
      <c r="E77" s="51">
        <v>0.8</v>
      </c>
      <c r="F77" s="51"/>
      <c r="G77" s="51"/>
      <c r="H77" s="51">
        <v>0.2</v>
      </c>
      <c r="I77" s="49">
        <f t="shared" si="2"/>
        <v>5.2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120</v>
      </c>
      <c r="B78" s="50">
        <v>352</v>
      </c>
      <c r="C78" s="50">
        <v>21</v>
      </c>
      <c r="D78" s="50">
        <v>352</v>
      </c>
      <c r="E78" s="51">
        <v>0.9</v>
      </c>
      <c r="F78" s="51"/>
      <c r="G78" s="51"/>
      <c r="H78" s="51">
        <v>0.1</v>
      </c>
      <c r="I78" s="49">
        <f t="shared" si="2"/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73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103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121</v>
      </c>
      <c r="C90" s="60">
        <v>3</v>
      </c>
      <c r="D90" s="60">
        <v>28</v>
      </c>
      <c r="E90" s="87">
        <v>0</v>
      </c>
      <c r="F90" s="87"/>
      <c r="G90" s="87"/>
      <c r="H90" s="87">
        <v>1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147</v>
      </c>
      <c r="C91" s="60">
        <v>4</v>
      </c>
      <c r="D91" s="60">
        <v>28</v>
      </c>
      <c r="E91" s="87">
        <v>0</v>
      </c>
      <c r="F91" s="87"/>
      <c r="G91" s="87"/>
      <c r="H91" s="87">
        <v>1</v>
      </c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175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204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231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254</v>
      </c>
      <c r="C95" s="60">
        <v>8</v>
      </c>
      <c r="D95" s="60">
        <v>28</v>
      </c>
      <c r="E95" s="87">
        <v>0.3</v>
      </c>
      <c r="F95" s="87"/>
      <c r="G95" s="87"/>
      <c r="H95" s="87">
        <v>0.7</v>
      </c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273</v>
      </c>
      <c r="C96" s="60">
        <v>9</v>
      </c>
      <c r="D96" s="60">
        <v>28</v>
      </c>
      <c r="E96" s="87">
        <v>0.4</v>
      </c>
      <c r="F96" s="87"/>
      <c r="G96" s="87"/>
      <c r="H96" s="87">
        <v>0.6</v>
      </c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289</v>
      </c>
      <c r="C97" s="60">
        <v>10</v>
      </c>
      <c r="D97" s="60">
        <v>28</v>
      </c>
      <c r="E97" s="87">
        <v>0.4</v>
      </c>
      <c r="F97" s="87"/>
      <c r="G97" s="87"/>
      <c r="H97" s="87">
        <v>0.6</v>
      </c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302</v>
      </c>
      <c r="C98" s="60">
        <v>11</v>
      </c>
      <c r="D98" s="60">
        <v>28</v>
      </c>
      <c r="E98" s="87">
        <v>0.5</v>
      </c>
      <c r="F98" s="87"/>
      <c r="G98" s="87"/>
      <c r="H98" s="87">
        <v>0.5</v>
      </c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312</v>
      </c>
      <c r="C99" s="60">
        <v>12</v>
      </c>
      <c r="D99" s="60">
        <v>28</v>
      </c>
      <c r="E99" s="87">
        <v>0.5</v>
      </c>
      <c r="F99" s="87"/>
      <c r="G99" s="87"/>
      <c r="H99" s="87">
        <v>0.5</v>
      </c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320</v>
      </c>
      <c r="C100" s="60">
        <v>13</v>
      </c>
      <c r="D100" s="60">
        <v>28</v>
      </c>
      <c r="E100" s="65">
        <v>0.6</v>
      </c>
      <c r="F100" s="65"/>
      <c r="G100" s="65"/>
      <c r="H100" s="65">
        <v>0.4</v>
      </c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90</v>
      </c>
      <c r="B101" s="60">
        <v>358</v>
      </c>
      <c r="C101" s="60">
        <v>15</v>
      </c>
      <c r="D101" s="60">
        <v>56</v>
      </c>
      <c r="E101" s="65">
        <v>0.7</v>
      </c>
      <c r="F101" s="65"/>
      <c r="G101" s="65"/>
      <c r="H101" s="65">
        <v>0.3</v>
      </c>
      <c r="I101" s="53">
        <f t="shared" si="3"/>
        <v>6.6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100</v>
      </c>
      <c r="B102" s="50">
        <v>362</v>
      </c>
      <c r="C102" s="60">
        <v>17</v>
      </c>
      <c r="D102" s="50">
        <v>56</v>
      </c>
      <c r="E102" s="54">
        <v>0.8</v>
      </c>
      <c r="F102" s="54"/>
      <c r="G102" s="54"/>
      <c r="H102" s="54">
        <v>0.2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110</v>
      </c>
      <c r="B103" s="50">
        <v>358</v>
      </c>
      <c r="C103" s="60">
        <v>19</v>
      </c>
      <c r="D103" s="50">
        <v>51</v>
      </c>
      <c r="E103" s="54">
        <v>0.8</v>
      </c>
      <c r="F103" s="54"/>
      <c r="G103" s="54"/>
      <c r="H103" s="54">
        <v>0.2</v>
      </c>
      <c r="I103" s="53">
        <f t="shared" si="3"/>
        <v>5.2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120</v>
      </c>
      <c r="B104" s="50">
        <v>352</v>
      </c>
      <c r="C104" s="60">
        <v>21</v>
      </c>
      <c r="D104" s="50">
        <v>352</v>
      </c>
      <c r="E104" s="54">
        <v>0.9</v>
      </c>
      <c r="F104" s="54"/>
      <c r="G104" s="54"/>
      <c r="H104" s="54">
        <v>0.1</v>
      </c>
      <c r="I104" s="53">
        <f t="shared" si="3"/>
        <v>4.5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Charme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25</v>
      </c>
      <c r="B114" s="60">
        <v>30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54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35</v>
      </c>
      <c r="B116" s="60">
        <v>79</v>
      </c>
      <c r="C116" s="50">
        <v>3</v>
      </c>
      <c r="D116" s="60">
        <v>13</v>
      </c>
      <c r="E116" s="51">
        <v>0</v>
      </c>
      <c r="F116" s="51"/>
      <c r="G116" s="51"/>
      <c r="H116" s="51">
        <v>1</v>
      </c>
      <c r="I116" s="53">
        <f t="shared" si="4"/>
        <v>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93</v>
      </c>
      <c r="C117" s="50">
        <v>4</v>
      </c>
      <c r="D117" s="60">
        <v>14</v>
      </c>
      <c r="E117" s="51">
        <v>0.2</v>
      </c>
      <c r="F117" s="51"/>
      <c r="G117" s="51"/>
      <c r="H117" s="51">
        <v>0.8</v>
      </c>
      <c r="I117" s="53">
        <f t="shared" si="4"/>
        <v>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45</v>
      </c>
      <c r="B118" s="60">
        <v>107</v>
      </c>
      <c r="C118" s="50">
        <v>5</v>
      </c>
      <c r="D118" s="60">
        <v>14</v>
      </c>
      <c r="E118" s="51">
        <v>0.2</v>
      </c>
      <c r="F118" s="51"/>
      <c r="G118" s="51"/>
      <c r="H118" s="51">
        <v>0.8</v>
      </c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50</v>
      </c>
      <c r="B119" s="60">
        <v>121</v>
      </c>
      <c r="C119" s="50">
        <v>6</v>
      </c>
      <c r="D119" s="60">
        <v>14</v>
      </c>
      <c r="E119" s="51">
        <v>0.2</v>
      </c>
      <c r="F119" s="51"/>
      <c r="G119" s="51"/>
      <c r="H119" s="51">
        <v>0.8</v>
      </c>
      <c r="I119" s="53">
        <f t="shared" si="4"/>
        <v>5.6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55</v>
      </c>
      <c r="B120" s="60">
        <v>135</v>
      </c>
      <c r="C120" s="60">
        <v>7</v>
      </c>
      <c r="D120" s="60">
        <v>14</v>
      </c>
      <c r="E120" s="87">
        <v>0.3</v>
      </c>
      <c r="F120" s="87"/>
      <c r="G120" s="87"/>
      <c r="H120" s="87">
        <v>0.7</v>
      </c>
      <c r="I120" s="53">
        <f t="shared" si="4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60</v>
      </c>
      <c r="B121" s="60">
        <v>148</v>
      </c>
      <c r="C121" s="60">
        <v>8</v>
      </c>
      <c r="D121" s="60">
        <v>14</v>
      </c>
      <c r="E121" s="87">
        <v>0.3</v>
      </c>
      <c r="F121" s="87"/>
      <c r="G121" s="87"/>
      <c r="H121" s="87">
        <v>0.7</v>
      </c>
      <c r="I121" s="53">
        <f t="shared" si="4"/>
        <v>5.4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65</v>
      </c>
      <c r="B122" s="60">
        <v>161</v>
      </c>
      <c r="C122" s="60">
        <v>9</v>
      </c>
      <c r="D122" s="60">
        <v>14</v>
      </c>
      <c r="E122" s="87">
        <v>0.4</v>
      </c>
      <c r="F122" s="87"/>
      <c r="G122" s="87"/>
      <c r="H122" s="87">
        <v>0.6</v>
      </c>
      <c r="I122" s="53">
        <f t="shared" si="4"/>
        <v>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70</v>
      </c>
      <c r="B123" s="60">
        <v>172</v>
      </c>
      <c r="C123" s="60">
        <v>10</v>
      </c>
      <c r="D123" s="60">
        <v>14</v>
      </c>
      <c r="E123" s="87">
        <v>0.4</v>
      </c>
      <c r="F123" s="87"/>
      <c r="G123" s="87"/>
      <c r="H123" s="87">
        <v>0.6</v>
      </c>
      <c r="I123" s="53">
        <f t="shared" si="4"/>
        <v>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75</v>
      </c>
      <c r="B124" s="60">
        <v>183</v>
      </c>
      <c r="C124" s="60">
        <v>11</v>
      </c>
      <c r="D124" s="60">
        <v>14</v>
      </c>
      <c r="E124" s="87">
        <v>0.5</v>
      </c>
      <c r="F124" s="87"/>
      <c r="G124" s="87"/>
      <c r="H124" s="87">
        <v>0.5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80</v>
      </c>
      <c r="B125" s="60">
        <v>192</v>
      </c>
      <c r="C125" s="60">
        <v>12</v>
      </c>
      <c r="D125" s="60">
        <v>14</v>
      </c>
      <c r="E125" s="87">
        <v>0.5</v>
      </c>
      <c r="F125" s="87"/>
      <c r="G125" s="87"/>
      <c r="H125" s="87">
        <v>0.5</v>
      </c>
      <c r="I125" s="53">
        <f t="shared" si="4"/>
        <v>4.5999999999999996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85</v>
      </c>
      <c r="B126" s="60">
        <v>200</v>
      </c>
      <c r="C126" s="60">
        <v>13</v>
      </c>
      <c r="D126" s="60">
        <v>14</v>
      </c>
      <c r="E126" s="65">
        <v>0.6</v>
      </c>
      <c r="F126" s="65"/>
      <c r="G126" s="65"/>
      <c r="H126" s="65">
        <v>0.4</v>
      </c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90</v>
      </c>
      <c r="B127" s="60">
        <v>207</v>
      </c>
      <c r="C127" s="60">
        <v>14</v>
      </c>
      <c r="D127" s="60">
        <v>207</v>
      </c>
      <c r="E127" s="65">
        <v>0.6</v>
      </c>
      <c r="F127" s="65"/>
      <c r="G127" s="65"/>
      <c r="H127" s="65">
        <v>0.4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laricio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92</v>
      </c>
      <c r="C140" s="50">
        <v>1</v>
      </c>
      <c r="D140" s="60">
        <v>4</v>
      </c>
      <c r="E140" s="51">
        <v>0.2</v>
      </c>
      <c r="F140" s="51">
        <v>0.45</v>
      </c>
      <c r="G140" s="51">
        <v>0.35</v>
      </c>
      <c r="H140" s="51"/>
      <c r="I140" s="57">
        <f>IFERROR(B140/A140,"")</f>
        <v>6.1333333333333337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180</v>
      </c>
      <c r="C141" s="50">
        <v>2</v>
      </c>
      <c r="D141" s="60">
        <v>56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18.399999999999999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25</v>
      </c>
      <c r="B142" s="60">
        <v>225</v>
      </c>
      <c r="C142" s="50">
        <v>3</v>
      </c>
      <c r="D142" s="60">
        <v>56</v>
      </c>
      <c r="E142" s="51">
        <v>0.2</v>
      </c>
      <c r="F142" s="51">
        <v>0.45</v>
      </c>
      <c r="G142" s="51">
        <v>0.35</v>
      </c>
      <c r="H142" s="51"/>
      <c r="I142" s="57">
        <f t="shared" si="5"/>
        <v>20.2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30</v>
      </c>
      <c r="B143" s="60">
        <v>277</v>
      </c>
      <c r="C143" s="50">
        <v>4</v>
      </c>
      <c r="D143" s="60">
        <v>56</v>
      </c>
      <c r="E143" s="51">
        <v>0.3</v>
      </c>
      <c r="F143" s="51">
        <v>0.39</v>
      </c>
      <c r="G143" s="51">
        <v>0.31</v>
      </c>
      <c r="H143" s="51"/>
      <c r="I143" s="57">
        <f t="shared" si="5"/>
        <v>21.6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35</v>
      </c>
      <c r="B144" s="60">
        <v>330</v>
      </c>
      <c r="C144" s="50">
        <v>5</v>
      </c>
      <c r="D144" s="60">
        <v>56</v>
      </c>
      <c r="E144" s="51">
        <v>0.4</v>
      </c>
      <c r="F144" s="51">
        <v>0.34</v>
      </c>
      <c r="G144" s="51">
        <v>0.26</v>
      </c>
      <c r="H144" s="51"/>
      <c r="I144" s="57">
        <f t="shared" si="5"/>
        <v>21.8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40</v>
      </c>
      <c r="B145" s="60">
        <v>379</v>
      </c>
      <c r="C145" s="50">
        <v>6</v>
      </c>
      <c r="D145" s="60">
        <v>56</v>
      </c>
      <c r="E145" s="51">
        <v>0.5</v>
      </c>
      <c r="F145" s="51">
        <v>0.28000000000000003</v>
      </c>
      <c r="G145" s="51">
        <v>0.22</v>
      </c>
      <c r="H145" s="51"/>
      <c r="I145" s="57">
        <f t="shared" si="5"/>
        <v>21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45</v>
      </c>
      <c r="B146" s="60">
        <v>421</v>
      </c>
      <c r="C146" s="50">
        <v>7</v>
      </c>
      <c r="D146" s="60">
        <v>54</v>
      </c>
      <c r="E146" s="51">
        <v>0.6</v>
      </c>
      <c r="F146" s="51">
        <v>0.22</v>
      </c>
      <c r="G146" s="51">
        <v>0.18</v>
      </c>
      <c r="H146" s="51"/>
      <c r="I146" s="57">
        <f t="shared" si="5"/>
        <v>19.600000000000001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50</v>
      </c>
      <c r="B147" s="60">
        <v>458</v>
      </c>
      <c r="C147" s="50">
        <v>8</v>
      </c>
      <c r="D147" s="60">
        <v>458</v>
      </c>
      <c r="E147" s="51">
        <v>0.7</v>
      </c>
      <c r="F147" s="51">
        <v>0.17</v>
      </c>
      <c r="G147" s="51">
        <v>0.13</v>
      </c>
      <c r="H147" s="51"/>
      <c r="I147" s="57">
        <f>IF(A147&lt;&gt;0,(B147-(B146-D146))/(A147-A146),"")</f>
        <v>18.2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Cèdre de l'Atlas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pubescent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sessile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Charme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Pin laricio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167.82976403567059</v>
      </c>
      <c r="T3" s="59">
        <f>IF('Données projet'!E9&gt;30,$R$33-$H$33,LOOKUP('Données projet'!$E$9,$A$3:$A$203,R3:R203)-LOOKUP('Données projet'!$E$9,$A$3:$A$203,$H$3:$H$203))</f>
        <v>232.70925470547317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542.51810435067659</v>
      </c>
      <c r="AO3" s="59">
        <f>IF('Données projet'!E10&gt;30,$AM$33-$H$33,LOOKUP('Données projet'!$E$10,$A$3:$A$203,AM3:AM203)-LOOKUP('Données projet'!$E$10,$A$3:$A$203,$H$3:$H$203))</f>
        <v>325.7263575945085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492.39485179035256</v>
      </c>
      <c r="BJ3" s="59">
        <f>IF('Données projet'!E11&gt;30,$BH$33-$H$33,LOOKUP('Données projet'!$E$11,$A$3:$A$203,BH3:BH203)-LOOKUP('Données projet'!$E$11,$A$3:$A$203,$H$3:$H$203))</f>
        <v>297.32483725004124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260.51631161522039</v>
      </c>
      <c r="CE3" s="59">
        <f>IF('Données projet'!E12&gt;30,$CC$33-$H$33,LOOKUP('Données projet'!$E$12,$A$3:$A$203,CC3:CC203)-LOOKUP('Données projet'!$E$12,$A$3:$A$203,$H$3:$H$203))</f>
        <v>171.3469666102674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301.2688576786212</v>
      </c>
      <c r="CZ3" s="59">
        <f>IF('Données projet'!E13&gt;30,$CX$33-$H$33,LOOKUP('Données projet'!$E$13,$A$3:$A$203,CX3:CX203)-LOOKUP('Données projet'!$E$13,$A$3:$A$203,$H$3:$H$203))</f>
        <v>417.62172165132927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5.666666666666667</v>
      </c>
      <c r="N4" s="13">
        <f>IF('Données projet'!$A$36&gt;35,N3+M4-V3,IF(A4&lt;'Données projet'!$A$36,$K$205^A4,IF(A4='Données projet'!$A$36,'Données projet'!$B$36,N3+M4-V3)))</f>
        <v>1.1867200975826817</v>
      </c>
      <c r="O4" s="13">
        <f>N4*VLOOKUP('Données projet'!$B$9,Paramètres!$A$1:$I$89,3,0)*VLOOKUP('Données projet'!$B$9,Paramètres!$A$1:$I$89,5,0)</f>
        <v>0.55538500566869509</v>
      </c>
      <c r="P4" s="13">
        <f>EXP(-1.0587+0.8836*LN(O4)+0.284)</f>
        <v>0.27407880760927583</v>
      </c>
      <c r="Q4" s="20">
        <f t="shared" ref="Q4:Q34" si="2">(O4+P4)*0.475*44/12</f>
        <v>1.4446494747924661</v>
      </c>
      <c r="R4" s="59">
        <f t="shared" si="0"/>
        <v>169.25708342771631</v>
      </c>
      <c r="S4" s="59">
        <f ca="1">AVERAGE(OFFSET($R$3,0,0,'Données projet'!$E$9+1,1))-AVERAGE(OFFSET($H$3,0,0,'Données projet'!$E$9+1,1))</f>
        <v>167.82976403567059</v>
      </c>
      <c r="T4" s="59">
        <f>$T$3</f>
        <v>232.70925470547317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170.98318878757803</v>
      </c>
      <c r="AN4" s="59">
        <f ca="1">AVERAGE(OFFSET($AM$3,0,0,'Données projet'!$E$10+1,1))-AVERAGE(OFFSET($H$3,0,0,'Données projet'!$E$10+1,1))</f>
        <v>542.51810435067659</v>
      </c>
      <c r="AO4" s="59">
        <f>$AO$3</f>
        <v>325.7263575945085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170.65342372509684</v>
      </c>
      <c r="BI4" s="59">
        <f ca="1">AVERAGE(OFFSET($BH$3,0,0,'Données projet'!$E$11+1,1))-AVERAGE(OFFSET($H$3,0,0,'Données projet'!$E$11+1,1))</f>
        <v>492.39485179035256</v>
      </c>
      <c r="BJ4" s="59">
        <f>$BJ$3</f>
        <v>297.32483725004124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1.0902831080943671</v>
      </c>
      <c r="CA4" s="13">
        <f>EXP(-1.0587+0.8836*LN(BZ4)+0.284)</f>
        <v>0.49741831937112058</v>
      </c>
      <c r="CB4" s="20">
        <f t="shared" ref="CB4:CB67" si="10">(BZ4+CA4)*0.475*44/12</f>
        <v>2.7652466528357245</v>
      </c>
      <c r="CC4" s="59">
        <f t="shared" ref="CC4:CC67" si="11">CB4+(BT4+BU4)*44/12</f>
        <v>170.57768060575955</v>
      </c>
      <c r="CD4" s="59">
        <f ca="1">AVERAGE(OFFSET($CC$3,0,0,'Données projet'!$E$12+1,1))-AVERAGE(OFFSET($H$3,0,0,'Données projet'!$E$12+1,1))</f>
        <v>260.51631161522039</v>
      </c>
      <c r="CE4" s="59">
        <f>$CE$3</f>
        <v>171.3469666102674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6.1333333333333337</v>
      </c>
      <c r="CT4" s="12">
        <f>IF('Données projet'!$A$140&gt;35,CT3+CS4-DB3,IF(A4&lt;'Données projet'!$A$140,$CQ$205^A4,IF(A4='Données projet'!$A$140,'Données projet'!$B$140,CT3+CS4-DB3)))</f>
        <v>1.351820999185372</v>
      </c>
      <c r="CU4" s="17">
        <f>CT4*VLOOKUP('Données projet'!$B$13,Paramètres!$A$1:$I$89,3,0)*VLOOKUP('Données projet'!$B$13,Paramètres!$A$1:$I$89,5,0)</f>
        <v>0.80838895751285256</v>
      </c>
      <c r="CV4" s="13">
        <f>EXP(-1.0587+0.8836*LN(CU4)+0.284)</f>
        <v>0.38187869167366073</v>
      </c>
      <c r="CW4" s="20">
        <f t="shared" ref="CW4:CW67" si="13">(CU4+CV4)*0.475*44/12</f>
        <v>2.0730494889998439</v>
      </c>
      <c r="CX4" s="59">
        <f t="shared" ref="CX4:CX67" si="14">CW4+(CO4+CP4)*44/12</f>
        <v>169.8854834419237</v>
      </c>
      <c r="CY4" s="59">
        <f ca="1">AVERAGE(OFFSET($CX$3,0,0,'Données projet'!$E$13+1,1))-AVERAGE(OFFSET($H$3,0,0,'Données projet'!$E$13+1,1))</f>
        <v>301.2688576786212</v>
      </c>
      <c r="CZ4" s="59">
        <f>$CZ$3</f>
        <v>417.62172165132927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5.666666666666667</v>
      </c>
      <c r="N5" s="13">
        <f>IF('Données projet'!$A$36&gt;35,N4+M5-V4,IF(A5&lt;'Données projet'!$A$36,$K$205^A5,IF(A5='Données projet'!$A$36,'Données projet'!$B$36,N4+M5-V4)))</f>
        <v>1.4083045900066495</v>
      </c>
      <c r="O5" s="13">
        <f>N5*VLOOKUP('Données projet'!$B$9,Paramètres!$A$1:$I$89,3,0)*VLOOKUP('Données projet'!$B$9,Paramètres!$A$1:$I$89,5,0)</f>
        <v>0.65908654812311196</v>
      </c>
      <c r="P5" s="13">
        <f t="shared" ref="P5:P68" si="33">EXP(-1.0587+0.8836*LN(O5)+0.284)</f>
        <v>0.31883765901680755</v>
      </c>
      <c r="Q5" s="20">
        <f t="shared" si="2"/>
        <v>1.7032179941020262</v>
      </c>
      <c r="R5" s="59">
        <f t="shared" si="0"/>
        <v>172.30049928160287</v>
      </c>
      <c r="S5" s="59">
        <f ca="1">AVERAGE(OFFSET($R$3,0,0,'Données projet'!$E$9+1,1))-AVERAGE(OFFSET($H$3,0,0,'Données projet'!$E$9+1,1))</f>
        <v>167.82976403567059</v>
      </c>
      <c r="T5" s="59">
        <f t="shared" ref="T5:T68" si="34">$T$3</f>
        <v>232.70925470547317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174.49668829443442</v>
      </c>
      <c r="AN5" s="59">
        <f ca="1">AVERAGE(OFFSET($AM$3,0,0,'Données projet'!$E$10+1,1))-AVERAGE(OFFSET($H$3,0,0,'Données projet'!$E$10+1,1))</f>
        <v>542.51810435067659</v>
      </c>
      <c r="AO5" s="59">
        <f t="shared" ref="AO5:AO68" si="36">$AO$3</f>
        <v>325.7263575945085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174.0908950642665</v>
      </c>
      <c r="BI5" s="59">
        <f ca="1">AVERAGE(OFFSET($BH$3,0,0,'Données projet'!$E$11+1,1))-AVERAGE(OFFSET($H$3,0,0,'Données projet'!$E$11+1,1))</f>
        <v>492.39485179035256</v>
      </c>
      <c r="BJ5" s="59">
        <f t="shared" ref="BJ5:BJ68" si="38">$BJ$3</f>
        <v>297.32483725004124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1.2491774440898626</v>
      </c>
      <c r="CA5" s="13">
        <f t="shared" ref="CA5:CA68" si="39">EXP(-1.0587+0.8836*LN(BZ5)+0.284)</f>
        <v>0.56095645444965547</v>
      </c>
      <c r="CB5" s="20">
        <f t="shared" si="10"/>
        <v>3.1526498732896608</v>
      </c>
      <c r="CC5" s="59">
        <f t="shared" si="11"/>
        <v>173.74993116079048</v>
      </c>
      <c r="CD5" s="59">
        <f ca="1">AVERAGE(OFFSET($CC$3,0,0,'Données projet'!$E$12+1,1))-AVERAGE(OFFSET($H$3,0,0,'Données projet'!$E$12+1,1))</f>
        <v>260.51631161522039</v>
      </c>
      <c r="CE5" s="59">
        <f t="shared" ref="CE5:CE68" si="40">$CE$3</f>
        <v>171.3469666102674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6.1333333333333337</v>
      </c>
      <c r="CT5" s="12">
        <f>IF('Données projet'!$A$140&gt;35,CT4+CS5-DB4,IF(A5&lt;'Données projet'!$A$140,$CQ$205^A5,IF(A5='Données projet'!$A$140,'Données projet'!$B$140,CT4+CS5-DB4)))</f>
        <v>1.8274200138385375</v>
      </c>
      <c r="CU5" s="17">
        <f>CT5*VLOOKUP('Données projet'!$B$13,Paramètres!$A$1:$I$89,3,0)*VLOOKUP('Données projet'!$B$13,Paramètres!$A$1:$I$89,5,0)</f>
        <v>1.0927971682754454</v>
      </c>
      <c r="CV5" s="13">
        <f t="shared" ref="CV5:CV68" si="41">EXP(-1.0587+0.8836*LN(CU5)+0.284)</f>
        <v>0.49843166041112263</v>
      </c>
      <c r="CW5" s="20">
        <f t="shared" si="13"/>
        <v>2.7713902099624388</v>
      </c>
      <c r="CX5" s="59">
        <f t="shared" si="14"/>
        <v>173.36867149746328</v>
      </c>
      <c r="CY5" s="59">
        <f ca="1">AVERAGE(OFFSET($CX$3,0,0,'Données projet'!$E$13+1,1))-AVERAGE(OFFSET($H$3,0,0,'Données projet'!$E$13+1,1))</f>
        <v>301.2688576786212</v>
      </c>
      <c r="CZ5" s="59">
        <f t="shared" ref="CZ5:CZ68" si="42">$CZ$3</f>
        <v>417.62172165132927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5.666666666666667</v>
      </c>
      <c r="N6" s="13">
        <f>IF('Données projet'!$A$36&gt;35,N5+M6-V5,IF(A6&lt;'Données projet'!$A$36,$K$205^A6,IF(A6='Données projet'!$A$36,'Données projet'!$B$36,N5+M6-V5)))</f>
        <v>1.6712633604788296</v>
      </c>
      <c r="O6" s="13">
        <f>N6*VLOOKUP('Données projet'!$B$9,Paramètres!$A$1:$I$89,3,0)*VLOOKUP('Données projet'!$B$9,Paramètres!$A$1:$I$89,5,0)</f>
        <v>0.78215125270409225</v>
      </c>
      <c r="P6" s="13">
        <f t="shared" si="33"/>
        <v>0.37090592189177923</v>
      </c>
      <c r="Q6" s="20">
        <f t="shared" si="2"/>
        <v>2.0082412457544763</v>
      </c>
      <c r="R6" s="59">
        <f t="shared" si="0"/>
        <v>175.36326181563936</v>
      </c>
      <c r="S6" s="59">
        <f ca="1">AVERAGE(OFFSET($R$3,0,0,'Données projet'!$E$9+1,1))-AVERAGE(OFFSET($H$3,0,0,'Données projet'!$E$9+1,1))</f>
        <v>167.82976403567059</v>
      </c>
      <c r="T6" s="59">
        <f t="shared" si="34"/>
        <v>232.70925470547317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178.15116014419888</v>
      </c>
      <c r="AN6" s="59">
        <f ca="1">AVERAGE(OFFSET($AM$3,0,0,'Données projet'!$E$10+1,1))-AVERAGE(OFFSET($H$3,0,0,'Données projet'!$E$10+1,1))</f>
        <v>542.51810435067659</v>
      </c>
      <c r="AO6" s="59">
        <f t="shared" si="36"/>
        <v>325.7263575945085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177.65174746089073</v>
      </c>
      <c r="BI6" s="59">
        <f ca="1">AVERAGE(OFFSET($BH$3,0,0,'Données projet'!$E$11+1,1))-AVERAGE(OFFSET($H$3,0,0,'Données projet'!$E$11+1,1))</f>
        <v>492.39485179035256</v>
      </c>
      <c r="BJ6" s="59">
        <f t="shared" si="38"/>
        <v>297.32483725004124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1.4312285270110057</v>
      </c>
      <c r="CA6" s="13">
        <f t="shared" si="39"/>
        <v>0.63261068508004337</v>
      </c>
      <c r="CB6" s="20">
        <f t="shared" si="10"/>
        <v>3.5945199610585767</v>
      </c>
      <c r="CC6" s="59">
        <f t="shared" si="11"/>
        <v>176.94954053094347</v>
      </c>
      <c r="CD6" s="59">
        <f ca="1">AVERAGE(OFFSET($CC$3,0,0,'Données projet'!$E$12+1,1))-AVERAGE(OFFSET($H$3,0,0,'Données projet'!$E$12+1,1))</f>
        <v>260.51631161522039</v>
      </c>
      <c r="CE6" s="59">
        <f t="shared" si="40"/>
        <v>171.3469666102674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6.1333333333333337</v>
      </c>
      <c r="CT6" s="12">
        <f>IF('Données projet'!$A$140&gt;35,CT5+CS6-DB5,IF(A6&lt;'Données projet'!$A$140,$CQ$205^A6,IF(A6='Données projet'!$A$140,'Données projet'!$B$140,CT5+CS6-DB5)))</f>
        <v>2.4703447490385582</v>
      </c>
      <c r="CU6" s="17">
        <f>CT6*VLOOKUP('Données projet'!$B$13,Paramètres!$A$1:$I$89,3,0)*VLOOKUP('Données projet'!$B$13,Paramètres!$A$1:$I$89,5,0)</f>
        <v>1.4772661599250581</v>
      </c>
      <c r="CV6" s="13">
        <f t="shared" si="41"/>
        <v>0.65055769153124499</v>
      </c>
      <c r="CW6" s="20">
        <f t="shared" si="13"/>
        <v>3.7059598746197273</v>
      </c>
      <c r="CX6" s="59">
        <f t="shared" si="14"/>
        <v>177.06098044450462</v>
      </c>
      <c r="CY6" s="59">
        <f ca="1">AVERAGE(OFFSET($CX$3,0,0,'Données projet'!$E$13+1,1))-AVERAGE(OFFSET($H$3,0,0,'Données projet'!$E$13+1,1))</f>
        <v>301.2688576786212</v>
      </c>
      <c r="CZ6" s="59">
        <f t="shared" si="42"/>
        <v>417.62172165132927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5.666666666666667</v>
      </c>
      <c r="N7" s="13">
        <f>IF('Données projet'!$A$36&gt;35,N6+M7-V6,IF(A7&lt;'Données projet'!$A$36,$K$205^A7,IF(A7='Données projet'!$A$36,'Données projet'!$B$36,N6+M7-V6)))</f>
        <v>1.9833218182337973</v>
      </c>
      <c r="O7" s="13">
        <f>N7*VLOOKUP('Données projet'!$B$9,Paramètres!$A$1:$I$89,3,0)*VLOOKUP('Données projet'!$B$9,Paramètres!$A$1:$I$89,5,0)</f>
        <v>0.92819461093341715</v>
      </c>
      <c r="P7" s="13">
        <f t="shared" si="33"/>
        <v>0.43147727065433811</v>
      </c>
      <c r="Q7" s="20">
        <f t="shared" si="2"/>
        <v>2.3680951937653405</v>
      </c>
      <c r="R7" s="59">
        <f t="shared" si="0"/>
        <v>178.45421725794228</v>
      </c>
      <c r="S7" s="59">
        <f ca="1">AVERAGE(OFFSET($R$3,0,0,'Données projet'!$E$9+1,1))-AVERAGE(OFFSET($H$3,0,0,'Données projet'!$E$9+1,1))</f>
        <v>167.82976403567059</v>
      </c>
      <c r="T7" s="59">
        <f t="shared" si="34"/>
        <v>232.70925470547317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181.98598381214859</v>
      </c>
      <c r="AN7" s="59">
        <f ca="1">AVERAGE(OFFSET($AM$3,0,0,'Données projet'!$E$10+1,1))-AVERAGE(OFFSET($H$3,0,0,'Données projet'!$E$10+1,1))</f>
        <v>542.51810435067659</v>
      </c>
      <c r="AO7" s="59">
        <f t="shared" si="36"/>
        <v>325.7263575945085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181.37127654212841</v>
      </c>
      <c r="BI7" s="59">
        <f ca="1">AVERAGE(OFFSET($BH$3,0,0,'Données projet'!$E$11+1,1))-AVERAGE(OFFSET($H$3,0,0,'Données projet'!$E$11+1,1))</f>
        <v>492.39485179035256</v>
      </c>
      <c r="BJ7" s="59">
        <f t="shared" si="38"/>
        <v>297.32483725004124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1.6398111463039953</v>
      </c>
      <c r="CA7" s="13">
        <f t="shared" si="39"/>
        <v>0.71341772735294995</v>
      </c>
      <c r="CB7" s="20">
        <f t="shared" si="10"/>
        <v>4.0985402882858457</v>
      </c>
      <c r="CC7" s="59">
        <f t="shared" si="11"/>
        <v>180.18466235246279</v>
      </c>
      <c r="CD7" s="59">
        <f ca="1">AVERAGE(OFFSET($CC$3,0,0,'Données projet'!$E$12+1,1))-AVERAGE(OFFSET($H$3,0,0,'Données projet'!$E$12+1,1))</f>
        <v>260.51631161522039</v>
      </c>
      <c r="CE7" s="59">
        <f t="shared" si="40"/>
        <v>171.3469666102674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6.1333333333333337</v>
      </c>
      <c r="CT7" s="12">
        <f>IF('Données projet'!$A$140&gt;35,CT6+CS7-DB6,IF(A7&lt;'Données projet'!$A$140,$CQ$205^A7,IF(A7='Données projet'!$A$140,'Données projet'!$B$140,CT6+CS7-DB6)))</f>
        <v>3.3394639069776404</v>
      </c>
      <c r="CU7" s="17">
        <f>CT7*VLOOKUP('Données projet'!$B$13,Paramètres!$A$1:$I$89,3,0)*VLOOKUP('Données projet'!$B$13,Paramètres!$A$1:$I$89,5,0)</f>
        <v>1.996999416372629</v>
      </c>
      <c r="CV7" s="13">
        <f t="shared" si="41"/>
        <v>0.84911401828160815</v>
      </c>
      <c r="CW7" s="20">
        <f t="shared" si="13"/>
        <v>4.9569808986894621</v>
      </c>
      <c r="CX7" s="59">
        <f t="shared" si="14"/>
        <v>181.04310296286641</v>
      </c>
      <c r="CY7" s="59">
        <f ca="1">AVERAGE(OFFSET($CX$3,0,0,'Données projet'!$E$13+1,1))-AVERAGE(OFFSET($H$3,0,0,'Données projet'!$E$13+1,1))</f>
        <v>301.2688576786212</v>
      </c>
      <c r="CZ7" s="59">
        <f t="shared" si="42"/>
        <v>417.62172165132927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5.666666666666667</v>
      </c>
      <c r="N8" s="13">
        <f>IF('Données projet'!$A$36&gt;35,N7+M8-V7,IF(A8&lt;'Données projet'!$A$36,$K$205^A8,IF(A8='Données projet'!$A$36,'Données projet'!$B$36,N7+M8-V7)))</f>
        <v>2.3536478616722736</v>
      </c>
      <c r="O8" s="13">
        <f>N8*VLOOKUP('Données projet'!$B$9,Paramètres!$A$1:$I$89,3,0)*VLOOKUP('Données projet'!$B$9,Paramètres!$A$1:$I$89,5,0)</f>
        <v>1.101507199262624</v>
      </c>
      <c r="P8" s="13">
        <f t="shared" si="33"/>
        <v>0.50194031451899346</v>
      </c>
      <c r="Q8" s="20">
        <f t="shared" si="2"/>
        <v>2.7926710865029833</v>
      </c>
      <c r="R8" s="59">
        <f t="shared" si="0"/>
        <v>181.58371896295034</v>
      </c>
      <c r="S8" s="59">
        <f ca="1">AVERAGE(OFFSET($R$3,0,0,'Données projet'!$E$9+1,1))-AVERAGE(OFFSET($H$3,0,0,'Données projet'!$E$9+1,1))</f>
        <v>167.82976403567059</v>
      </c>
      <c r="T8" s="59">
        <f t="shared" si="34"/>
        <v>232.70925470547317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186.04956756228989</v>
      </c>
      <c r="AN8" s="59">
        <f ca="1">AVERAGE(OFFSET($AM$3,0,0,'Données projet'!$E$10+1,1))-AVERAGE(OFFSET($H$3,0,0,'Données projet'!$E$10+1,1))</f>
        <v>542.51810435067659</v>
      </c>
      <c r="AO8" s="59">
        <f t="shared" si="36"/>
        <v>325.7263575945085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185.29285571551281</v>
      </c>
      <c r="BI8" s="59">
        <f ca="1">AVERAGE(OFFSET($BH$3,0,0,'Données projet'!$E$11+1,1))-AVERAGE(OFFSET($H$3,0,0,'Données projet'!$E$11+1,1))</f>
        <v>492.39485179035256</v>
      </c>
      <c r="BJ8" s="59">
        <f t="shared" si="38"/>
        <v>297.32483725004124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1.878791922320415</v>
      </c>
      <c r="CA8" s="13">
        <f t="shared" si="39"/>
        <v>0.8045467231351765</v>
      </c>
      <c r="CB8" s="20">
        <f t="shared" si="10"/>
        <v>4.6734814741684882</v>
      </c>
      <c r="CC8" s="59">
        <f t="shared" si="11"/>
        <v>183.46452935061583</v>
      </c>
      <c r="CD8" s="59">
        <f ca="1">AVERAGE(OFFSET($CC$3,0,0,'Données projet'!$E$12+1,1))-AVERAGE(OFFSET($H$3,0,0,'Données projet'!$E$12+1,1))</f>
        <v>260.51631161522039</v>
      </c>
      <c r="CE8" s="59">
        <f t="shared" si="40"/>
        <v>171.3469666102674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6.1333333333333337</v>
      </c>
      <c r="CT8" s="12">
        <f>IF('Données projet'!$A$140&gt;35,CT7+CS8-DB7,IF(A8&lt;'Données projet'!$A$140,$CQ$205^A8,IF(A8='Données projet'!$A$140,'Données projet'!$B$140,CT7+CS8-DB7)))</f>
        <v>4.5143574354740004</v>
      </c>
      <c r="CU8" s="17">
        <f>CT8*VLOOKUP('Données projet'!$B$13,Paramètres!$A$1:$I$89,3,0)*VLOOKUP('Données projet'!$B$13,Paramètres!$A$1:$I$89,5,0)</f>
        <v>2.6995857464134523</v>
      </c>
      <c r="CV8" s="13">
        <f t="shared" si="41"/>
        <v>1.1082716036225841</v>
      </c>
      <c r="CW8" s="20">
        <f t="shared" si="13"/>
        <v>6.6320182179794296</v>
      </c>
      <c r="CX8" s="59">
        <f t="shared" si="14"/>
        <v>185.42306609442679</v>
      </c>
      <c r="CY8" s="59">
        <f ca="1">AVERAGE(OFFSET($CX$3,0,0,'Données projet'!$E$13+1,1))-AVERAGE(OFFSET($H$3,0,0,'Données projet'!$E$13+1,1))</f>
        <v>301.2688576786212</v>
      </c>
      <c r="CZ8" s="59">
        <f t="shared" si="42"/>
        <v>417.62172165132927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5.666666666666667</v>
      </c>
      <c r="N9" s="13">
        <f>IF('Données projet'!$A$36&gt;35,N8+M9-V8,IF(A9&lt;'Données projet'!$A$36,$K$205^A9,IF(A9='Données projet'!$A$36,'Données projet'!$B$36,N8+M9-V8)))</f>
        <v>2.7931212200789908</v>
      </c>
      <c r="O9" s="13">
        <f>N9*VLOOKUP('Données projet'!$B$9,Paramètres!$A$1:$I$89,3,0)*VLOOKUP('Données projet'!$B$9,Paramètres!$A$1:$I$89,5,0)</f>
        <v>1.3071807309969676</v>
      </c>
      <c r="P9" s="13">
        <f t="shared" si="33"/>
        <v>0.58391043161404843</v>
      </c>
      <c r="Q9" s="20">
        <f t="shared" si="2"/>
        <v>3.2936504415475194</v>
      </c>
      <c r="R9" s="59">
        <f t="shared" si="0"/>
        <v>184.7639025378065</v>
      </c>
      <c r="S9" s="59">
        <f ca="1">AVERAGE(OFFSET($R$3,0,0,'Données projet'!$E$9+1,1))-AVERAGE(OFFSET($H$3,0,0,'Données projet'!$E$9+1,1))</f>
        <v>167.82976403567059</v>
      </c>
      <c r="T9" s="59">
        <f t="shared" si="34"/>
        <v>232.70925470547317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190.40145391140874</v>
      </c>
      <c r="AN9" s="59">
        <f ca="1">AVERAGE(OFFSET($AM$3,0,0,'Données projet'!$E$10+1,1))-AVERAGE(OFFSET($H$3,0,0,'Données projet'!$E$10+1,1))</f>
        <v>542.51810435067659</v>
      </c>
      <c r="AO9" s="59">
        <f t="shared" si="36"/>
        <v>325.7263575945085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189.46981953956174</v>
      </c>
      <c r="BI9" s="59">
        <f ca="1">AVERAGE(OFFSET($BH$3,0,0,'Données projet'!$E$11+1,1))-AVERAGE(OFFSET($H$3,0,0,'Données projet'!$E$11+1,1))</f>
        <v>492.39485179035256</v>
      </c>
      <c r="BJ9" s="59">
        <f t="shared" si="38"/>
        <v>297.32483725004124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2.1526009841636116</v>
      </c>
      <c r="CA9" s="13">
        <f t="shared" si="39"/>
        <v>0.90731615558427703</v>
      </c>
      <c r="CB9" s="20">
        <f t="shared" si="10"/>
        <v>5.3293556850609054</v>
      </c>
      <c r="CC9" s="59">
        <f t="shared" si="11"/>
        <v>186.79960778131988</v>
      </c>
      <c r="CD9" s="59">
        <f ca="1">AVERAGE(OFFSET($CC$3,0,0,'Données projet'!$E$12+1,1))-AVERAGE(OFFSET($H$3,0,0,'Données projet'!$E$12+1,1))</f>
        <v>260.51631161522039</v>
      </c>
      <c r="CE9" s="59">
        <f t="shared" si="40"/>
        <v>171.3469666102674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6.1333333333333337</v>
      </c>
      <c r="CT9" s="12">
        <f>IF('Données projet'!$A$140&gt;35,CT8+CS9-DB8,IF(A9&lt;'Données projet'!$A$140,$CQ$205^A9,IF(A9='Données projet'!$A$140,'Données projet'!$B$140,CT8+CS9-DB8)))</f>
        <v>6.1026031791023758</v>
      </c>
      <c r="CU9" s="17">
        <f>CT9*VLOOKUP('Données projet'!$B$13,Paramètres!$A$1:$I$89,3,0)*VLOOKUP('Données projet'!$B$13,Paramètres!$A$1:$I$89,5,0)</f>
        <v>3.6493567011032209</v>
      </c>
      <c r="CV9" s="13">
        <f t="shared" si="41"/>
        <v>1.4465265217053813</v>
      </c>
      <c r="CW9" s="20">
        <f t="shared" si="13"/>
        <v>8.8753299463916484</v>
      </c>
      <c r="CX9" s="59">
        <f t="shared" si="14"/>
        <v>190.34558204265062</v>
      </c>
      <c r="CY9" s="59">
        <f ca="1">AVERAGE(OFFSET($CX$3,0,0,'Données projet'!$E$13+1,1))-AVERAGE(OFFSET($H$3,0,0,'Données projet'!$E$13+1,1))</f>
        <v>301.2688576786212</v>
      </c>
      <c r="CZ9" s="59">
        <f t="shared" si="42"/>
        <v>417.62172165132927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5.666666666666667</v>
      </c>
      <c r="N10" s="13">
        <f>IF('Données projet'!$A$36&gt;35,N9+M10-V9,IF(A10&lt;'Données projet'!$A$36,$K$205^A10,IF(A10='Données projet'!$A$36,'Données projet'!$B$36,N9+M10-V9)))</f>
        <v>3.3146530868523985</v>
      </c>
      <c r="O10" s="13">
        <f>N10*VLOOKUP('Données projet'!$B$9,Paramètres!$A$1:$I$89,3,0)*VLOOKUP('Données projet'!$B$9,Paramètres!$A$1:$I$89,5,0)</f>
        <v>1.5512576446469224</v>
      </c>
      <c r="P10" s="13">
        <f t="shared" si="33"/>
        <v>0.67926680181972632</v>
      </c>
      <c r="Q10" s="20">
        <f t="shared" si="2"/>
        <v>3.8848300775960793</v>
      </c>
      <c r="R10" s="59">
        <f t="shared" si="0"/>
        <v>188.00901101333233</v>
      </c>
      <c r="S10" s="59">
        <f ca="1">AVERAGE(OFFSET($R$3,0,0,'Données projet'!$E$9+1,1))-AVERAGE(OFFSET($H$3,0,0,'Données projet'!$E$9+1,1))</f>
        <v>167.82976403567059</v>
      </c>
      <c r="T10" s="59">
        <f t="shared" si="34"/>
        <v>232.70925470547317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195.11491694583884</v>
      </c>
      <c r="AN10" s="59">
        <f ca="1">AVERAGE(OFFSET($AM$3,0,0,'Données projet'!$E$10+1,1))-AVERAGE(OFFSET($H$3,0,0,'Données projet'!$E$10+1,1))</f>
        <v>542.51810435067659</v>
      </c>
      <c r="AO10" s="59">
        <f t="shared" si="36"/>
        <v>325.7263575945085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193.96778694515905</v>
      </c>
      <c r="BI10" s="59">
        <f ca="1">AVERAGE(OFFSET($BH$3,0,0,'Données projet'!$E$11+1,1))-AVERAGE(OFFSET($H$3,0,0,'Données projet'!$E$11+1,1))</f>
        <v>492.39485179035256</v>
      </c>
      <c r="BJ10" s="59">
        <f t="shared" si="38"/>
        <v>297.32483725004124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2.4663140936327195</v>
      </c>
      <c r="CA10" s="13">
        <f t="shared" si="39"/>
        <v>1.0232129253802424</v>
      </c>
      <c r="CB10" s="20">
        <f t="shared" si="10"/>
        <v>6.0775928914475736</v>
      </c>
      <c r="CC10" s="59">
        <f t="shared" si="11"/>
        <v>190.20177382718381</v>
      </c>
      <c r="CD10" s="59">
        <f ca="1">AVERAGE(OFFSET($CC$3,0,0,'Données projet'!$E$12+1,1))-AVERAGE(OFFSET($H$3,0,0,'Données projet'!$E$12+1,1))</f>
        <v>260.51631161522039</v>
      </c>
      <c r="CE10" s="59">
        <f t="shared" si="40"/>
        <v>171.3469666102674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6.1333333333333337</v>
      </c>
      <c r="CT10" s="12">
        <f>IF('Données projet'!$A$140&gt;35,CT9+CS10-DB9,IF(A10&lt;'Données projet'!$A$140,$CQ$205^A10,IF(A10='Données projet'!$A$140,'Données projet'!$B$140,CT9+CS10-DB9)))</f>
        <v>8.2496271272060024</v>
      </c>
      <c r="CU10" s="17">
        <f>CT10*VLOOKUP('Données projet'!$B$13,Paramètres!$A$1:$I$89,3,0)*VLOOKUP('Données projet'!$B$13,Paramètres!$A$1:$I$89,5,0)</f>
        <v>4.9332770220691904</v>
      </c>
      <c r="CV10" s="13">
        <f t="shared" si="41"/>
        <v>1.8880200224904784</v>
      </c>
      <c r="CW10" s="20">
        <f t="shared" si="13"/>
        <v>11.880425685941423</v>
      </c>
      <c r="CX10" s="59">
        <f t="shared" si="14"/>
        <v>196.00460662167765</v>
      </c>
      <c r="CY10" s="59">
        <f ca="1">AVERAGE(OFFSET($CX$3,0,0,'Données projet'!$E$13+1,1))-AVERAGE(OFFSET($H$3,0,0,'Données projet'!$E$13+1,1))</f>
        <v>301.2688576786212</v>
      </c>
      <c r="CZ10" s="59">
        <f t="shared" si="42"/>
        <v>417.62172165132927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5.666666666666667</v>
      </c>
      <c r="N11" s="13">
        <f>IF('Données projet'!$A$36&gt;35,N10+M11-V10,IF(A11&lt;'Données projet'!$A$36,$K$205^A11,IF(A11='Données projet'!$A$36,'Données projet'!$B$36,N10+M11-V10)))</f>
        <v>3.9335654346822158</v>
      </c>
      <c r="O11" s="13">
        <f>N11*VLOOKUP('Données projet'!$B$9,Paramètres!$A$1:$I$89,3,0)*VLOOKUP('Données projet'!$B$9,Paramètres!$A$1:$I$89,5,0)</f>
        <v>1.8409086234312768</v>
      </c>
      <c r="P11" s="13">
        <f t="shared" si="33"/>
        <v>0.79019548730956168</v>
      </c>
      <c r="Q11" s="20">
        <f t="shared" si="2"/>
        <v>4.5825063262069596</v>
      </c>
      <c r="R11" s="59">
        <f t="shared" si="0"/>
        <v>191.33577919242751</v>
      </c>
      <c r="S11" s="59">
        <f ca="1">AVERAGE(OFFSET($R$3,0,0,'Données projet'!$E$9+1,1))-AVERAGE(OFFSET($H$3,0,0,'Données projet'!$E$9+1,1))</f>
        <v>167.82976403567059</v>
      </c>
      <c r="T11" s="59">
        <f t="shared" si="34"/>
        <v>232.70925470547317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200.28016669663185</v>
      </c>
      <c r="AN11" s="59">
        <f ca="1">AVERAGE(OFFSET($AM$3,0,0,'Données projet'!$E$10+1,1))-AVERAGE(OFFSET($H$3,0,0,'Données projet'!$E$10+1,1))</f>
        <v>542.51810435067659</v>
      </c>
      <c r="AO11" s="59">
        <f t="shared" si="36"/>
        <v>325.7263575945085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198.86752730846644</v>
      </c>
      <c r="BI11" s="59">
        <f ca="1">AVERAGE(OFFSET($BH$3,0,0,'Données projet'!$E$11+1,1))-AVERAGE(OFFSET($H$3,0,0,'Données projet'!$E$11+1,1))</f>
        <v>492.39485179035256</v>
      </c>
      <c r="BJ11" s="59">
        <f t="shared" si="38"/>
        <v>297.32483725004124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2.8257467376448333</v>
      </c>
      <c r="CA11" s="13">
        <f t="shared" si="39"/>
        <v>1.1539138636752129</v>
      </c>
      <c r="CB11" s="20">
        <f t="shared" si="10"/>
        <v>6.9312422139657466</v>
      </c>
      <c r="CC11" s="59">
        <f t="shared" si="11"/>
        <v>193.68451508018632</v>
      </c>
      <c r="CD11" s="59">
        <f ca="1">AVERAGE(OFFSET($CC$3,0,0,'Données projet'!$E$12+1,1))-AVERAGE(OFFSET($H$3,0,0,'Données projet'!$E$12+1,1))</f>
        <v>260.51631161522039</v>
      </c>
      <c r="CE11" s="59">
        <f t="shared" si="40"/>
        <v>171.3469666102674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6.1333333333333337</v>
      </c>
      <c r="CT11" s="12">
        <f>IF('Données projet'!$A$140&gt;35,CT10+CS11-DB10,IF(A11&lt;'Données projet'!$A$140,$CQ$205^A11,IF(A11='Données projet'!$A$140,'Données projet'!$B$140,CT10+CS11-DB10)))</f>
        <v>11.152019186006367</v>
      </c>
      <c r="CU11" s="17">
        <f>CT11*VLOOKUP('Données projet'!$B$13,Paramètres!$A$1:$I$89,3,0)*VLOOKUP('Données projet'!$B$13,Paramètres!$A$1:$I$89,5,0)</f>
        <v>6.6689074732318074</v>
      </c>
      <c r="CV11" s="13">
        <f t="shared" si="41"/>
        <v>2.4642614925044302</v>
      </c>
      <c r="CW11" s="20">
        <f t="shared" si="13"/>
        <v>15.906935948657278</v>
      </c>
      <c r="CX11" s="59">
        <f t="shared" si="14"/>
        <v>202.66020881487782</v>
      </c>
      <c r="CY11" s="59">
        <f ca="1">AVERAGE(OFFSET($CX$3,0,0,'Données projet'!$E$13+1,1))-AVERAGE(OFFSET($H$3,0,0,'Données projet'!$E$13+1,1))</f>
        <v>301.2688576786212</v>
      </c>
      <c r="CZ11" s="59">
        <f t="shared" si="42"/>
        <v>417.62172165132927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5.666666666666667</v>
      </c>
      <c r="N12" s="13">
        <f>IF('Données projet'!$A$36&gt;35,N11+M12-V11,IF(A12&lt;'Données projet'!$A$36,$K$205^A12,IF(A12='Données projet'!$A$36,'Données projet'!$B$36,N11+M12-V11)))</f>
        <v>4.6680411564939428</v>
      </c>
      <c r="O12" s="13">
        <f>N12*VLOOKUP('Données projet'!$B$9,Paramètres!$A$1:$I$89,3,0)*VLOOKUP('Données projet'!$B$9,Paramètres!$A$1:$I$89,5,0)</f>
        <v>2.1846432612391653</v>
      </c>
      <c r="P12" s="13">
        <f t="shared" si="33"/>
        <v>0.91923954842431754</v>
      </c>
      <c r="Q12" s="20">
        <f t="shared" si="2"/>
        <v>5.4059292268305654</v>
      </c>
      <c r="R12" s="59">
        <f t="shared" si="0"/>
        <v>194.76388797938665</v>
      </c>
      <c r="S12" s="59">
        <f ca="1">AVERAGE(OFFSET($R$3,0,0,'Données projet'!$E$9+1,1))-AVERAGE(OFFSET($H$3,0,0,'Données projet'!$E$9+1,1))</f>
        <v>167.82976403567059</v>
      </c>
      <c r="T12" s="59">
        <f t="shared" si="34"/>
        <v>232.70925470547317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206.00830282636755</v>
      </c>
      <c r="AN12" s="59">
        <f ca="1">AVERAGE(OFFSET($AM$3,0,0,'Données projet'!$E$10+1,1))-AVERAGE(OFFSET($H$3,0,0,'Données projet'!$E$10+1,1))</f>
        <v>542.51810435067659</v>
      </c>
      <c r="AO12" s="59">
        <f t="shared" si="36"/>
        <v>325.7263575945085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204.26849655299031</v>
      </c>
      <c r="BI12" s="59">
        <f ca="1">AVERAGE(OFFSET($BH$3,0,0,'Données projet'!$E$11+1,1))-AVERAGE(OFFSET($H$3,0,0,'Données projet'!$E$11+1,1))</f>
        <v>492.39485179035256</v>
      </c>
      <c r="BJ12" s="59">
        <f t="shared" si="38"/>
        <v>297.32483725004124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3.2375619333826471</v>
      </c>
      <c r="CA12" s="13">
        <f t="shared" si="39"/>
        <v>1.3013099930173813</v>
      </c>
      <c r="CB12" s="20">
        <f t="shared" si="10"/>
        <v>7.9052019384800483</v>
      </c>
      <c r="CC12" s="59">
        <f t="shared" si="11"/>
        <v>197.26316069103612</v>
      </c>
      <c r="CD12" s="59">
        <f ca="1">AVERAGE(OFFSET($CC$3,0,0,'Données projet'!$E$12+1,1))-AVERAGE(OFFSET($H$3,0,0,'Données projet'!$E$12+1,1))</f>
        <v>260.51631161522039</v>
      </c>
      <c r="CE12" s="59">
        <f t="shared" si="40"/>
        <v>171.3469666102674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6.1333333333333337</v>
      </c>
      <c r="CT12" s="12">
        <f>IF('Données projet'!$A$140&gt;35,CT11+CS12-DB11,IF(A12&lt;'Données projet'!$A$140,$CQ$205^A12,IF(A12='Données projet'!$A$140,'Données projet'!$B$140,CT11+CS12-DB11)))</f>
        <v>15.075533718961566</v>
      </c>
      <c r="CU12" s="17">
        <f>CT12*VLOOKUP('Données projet'!$B$13,Paramètres!$A$1:$I$89,3,0)*VLOOKUP('Données projet'!$B$13,Paramètres!$A$1:$I$89,5,0)</f>
        <v>9.0151691639390172</v>
      </c>
      <c r="CV12" s="13">
        <f t="shared" si="41"/>
        <v>3.2163772794262231</v>
      </c>
      <c r="CW12" s="20">
        <f t="shared" si="13"/>
        <v>21.303276722194457</v>
      </c>
      <c r="CX12" s="59">
        <f t="shared" si="14"/>
        <v>210.66123547475053</v>
      </c>
      <c r="CY12" s="59">
        <f ca="1">AVERAGE(OFFSET($CX$3,0,0,'Données projet'!$E$13+1,1))-AVERAGE(OFFSET($H$3,0,0,'Données projet'!$E$13+1,1))</f>
        <v>301.2688576786212</v>
      </c>
      <c r="CZ12" s="59">
        <f t="shared" si="42"/>
        <v>417.62172165132927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5.666666666666667</v>
      </c>
      <c r="N13" s="13">
        <f>IF('Données projet'!$A$36&gt;35,N12+M13-V12,IF(A13&lt;'Données projet'!$A$36,$K$205^A13,IF(A13='Données projet'!$A$36,'Données projet'!$B$36,N12+M13-V12)))</f>
        <v>5.5396582567544659</v>
      </c>
      <c r="O13" s="13">
        <f>N13*VLOOKUP('Données projet'!$B$9,Paramètres!$A$1:$I$89,3,0)*VLOOKUP('Données projet'!$B$9,Paramètres!$A$1:$I$89,5,0)</f>
        <v>2.59256006416109</v>
      </c>
      <c r="P13" s="13">
        <f t="shared" si="33"/>
        <v>1.069357343793981</v>
      </c>
      <c r="Q13" s="20">
        <f t="shared" si="2"/>
        <v>6.377839485521748</v>
      </c>
      <c r="R13" s="59">
        <f t="shared" si="0"/>
        <v>198.31650147056664</v>
      </c>
      <c r="S13" s="59">
        <f ca="1">AVERAGE(OFFSET($R$3,0,0,'Données projet'!$E$9+1,1))-AVERAGE(OFFSET($H$3,0,0,'Données projet'!$E$9+1,1))</f>
        <v>167.82976403567059</v>
      </c>
      <c r="T13" s="59">
        <f t="shared" si="34"/>
        <v>232.70925470547317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212.43619329200953</v>
      </c>
      <c r="AN13" s="59">
        <f ca="1">AVERAGE(OFFSET($AM$3,0,0,'Données projet'!$E$10+1,1))-AVERAGE(OFFSET($H$3,0,0,'Données projet'!$E$10+1,1))</f>
        <v>542.51810435067659</v>
      </c>
      <c r="AO13" s="59">
        <f t="shared" si="36"/>
        <v>325.7263575945085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210.29320032238616</v>
      </c>
      <c r="BI13" s="59">
        <f ca="1">AVERAGE(OFFSET($BH$3,0,0,'Données projet'!$E$11+1,1))-AVERAGE(OFFSET($H$3,0,0,'Données projet'!$E$11+1,1))</f>
        <v>492.39485179035256</v>
      </c>
      <c r="BJ13" s="59">
        <f t="shared" si="38"/>
        <v>297.32483725004124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3.7093937446158476</v>
      </c>
      <c r="CA13" s="13">
        <f t="shared" si="39"/>
        <v>1.4675338872638184</v>
      </c>
      <c r="CB13" s="20">
        <f t="shared" si="10"/>
        <v>9.0164822921904193</v>
      </c>
      <c r="CC13" s="59">
        <f t="shared" si="11"/>
        <v>200.95514427723532</v>
      </c>
      <c r="CD13" s="59">
        <f ca="1">AVERAGE(OFFSET($CC$3,0,0,'Données projet'!$E$12+1,1))-AVERAGE(OFFSET($H$3,0,0,'Données projet'!$E$12+1,1))</f>
        <v>260.51631161522039</v>
      </c>
      <c r="CE13" s="59">
        <f t="shared" si="40"/>
        <v>171.3469666102674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6.1333333333333337</v>
      </c>
      <c r="CT13" s="12">
        <f>IF('Données projet'!$A$140&gt;35,CT12+CS13-DB12,IF(A13&lt;'Données projet'!$A$140,$CQ$205^A13,IF(A13='Données projet'!$A$140,'Données projet'!$B$140,CT12+CS13-DB12)))</f>
        <v>20.379423055219391</v>
      </c>
      <c r="CU13" s="17">
        <f>CT13*VLOOKUP('Données projet'!$B$13,Paramètres!$A$1:$I$89,3,0)*VLOOKUP('Données projet'!$B$13,Paramètres!$A$1:$I$89,5,0)</f>
        <v>12.186894987021198</v>
      </c>
      <c r="CV13" s="13">
        <f t="shared" si="41"/>
        <v>4.1980458790903414</v>
      </c>
      <c r="CW13" s="20">
        <f t="shared" si="13"/>
        <v>28.537105341810928</v>
      </c>
      <c r="CX13" s="59">
        <f t="shared" si="14"/>
        <v>220.47576732685582</v>
      </c>
      <c r="CY13" s="59">
        <f ca="1">AVERAGE(OFFSET($CX$3,0,0,'Données projet'!$E$13+1,1))-AVERAGE(OFFSET($H$3,0,0,'Données projet'!$E$13+1,1))</f>
        <v>301.2688576786212</v>
      </c>
      <c r="CZ13" s="59">
        <f t="shared" si="42"/>
        <v>417.62172165132927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5.666666666666667</v>
      </c>
      <c r="N14" s="13">
        <f>IF('Données projet'!$A$36&gt;35,N13+M14-V13,IF(A14&lt;'Données projet'!$A$36,$K$205^A14,IF(A14='Données projet'!$A$36,'Données projet'!$B$36,N13+M14-V13)))</f>
        <v>6.5740237870303684</v>
      </c>
      <c r="O14" s="13">
        <f>N14*VLOOKUP('Données projet'!$B$9,Paramètres!$A$1:$I$89,3,0)*VLOOKUP('Données projet'!$B$9,Paramètres!$A$1:$I$89,5,0)</f>
        <v>3.0766431323302124</v>
      </c>
      <c r="P14" s="13">
        <f t="shared" si="33"/>
        <v>1.24399035124876</v>
      </c>
      <c r="Q14" s="20">
        <f t="shared" si="2"/>
        <v>7.5251033172333761</v>
      </c>
      <c r="R14" s="59">
        <f t="shared" si="0"/>
        <v>202.02090192634751</v>
      </c>
      <c r="S14" s="59">
        <f ca="1">AVERAGE(OFFSET($R$3,0,0,'Données projet'!$E$9+1,1))-AVERAGE(OFFSET($H$3,0,0,'Données projet'!$E$9+1,1))</f>
        <v>167.82976403567059</v>
      </c>
      <c r="T14" s="59">
        <f t="shared" si="34"/>
        <v>232.70925470547317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219.7324949230792</v>
      </c>
      <c r="AN14" s="59">
        <f ca="1">AVERAGE(OFFSET($AM$3,0,0,'Données projet'!$E$10+1,1))-AVERAGE(OFFSET($H$3,0,0,'Données projet'!$E$10+1,1))</f>
        <v>542.51810435067659</v>
      </c>
      <c r="AO14" s="59">
        <f t="shared" si="36"/>
        <v>325.7263575945085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217.09257815700823</v>
      </c>
      <c r="BI14" s="59">
        <f ca="1">AVERAGE(OFFSET($BH$3,0,0,'Données projet'!$E$11+1,1))-AVERAGE(OFFSET($H$3,0,0,'Données projet'!$E$11+1,1))</f>
        <v>492.39485179035256</v>
      </c>
      <c r="BJ14" s="59">
        <f t="shared" si="38"/>
        <v>297.32483725004124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4.2499887988919385</v>
      </c>
      <c r="CA14" s="13">
        <f t="shared" si="39"/>
        <v>1.6549905263340952</v>
      </c>
      <c r="CB14" s="20">
        <f t="shared" si="10"/>
        <v>10.284505658102008</v>
      </c>
      <c r="CC14" s="59">
        <f t="shared" si="11"/>
        <v>204.78030426721614</v>
      </c>
      <c r="CD14" s="59">
        <f ca="1">AVERAGE(OFFSET($CC$3,0,0,'Données projet'!$E$12+1,1))-AVERAGE(OFFSET($H$3,0,0,'Données projet'!$E$12+1,1))</f>
        <v>260.51631161522039</v>
      </c>
      <c r="CE14" s="59">
        <f t="shared" si="40"/>
        <v>171.3469666102674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6.1333333333333337</v>
      </c>
      <c r="CT14" s="12">
        <f>IF('Données projet'!$A$140&gt;35,CT13+CS14-DB13,IF(A14&lt;'Données projet'!$A$140,$CQ$205^A14,IF(A14='Données projet'!$A$140,'Données projet'!$B$140,CT13+CS14-DB13)))</f>
        <v>27.549332037328085</v>
      </c>
      <c r="CU14" s="17">
        <f>CT14*VLOOKUP('Données projet'!$B$13,Paramètres!$A$1:$I$89,3,0)*VLOOKUP('Données projet'!$B$13,Paramètres!$A$1:$I$89,5,0)</f>
        <v>16.474500558322195</v>
      </c>
      <c r="CV14" s="13">
        <f t="shared" si="41"/>
        <v>5.4793289691722045</v>
      </c>
      <c r="CW14" s="20">
        <f t="shared" si="13"/>
        <v>38.236253093719412</v>
      </c>
      <c r="CX14" s="59">
        <f t="shared" si="14"/>
        <v>232.73205170283353</v>
      </c>
      <c r="CY14" s="59">
        <f ca="1">AVERAGE(OFFSET($CX$3,0,0,'Données projet'!$E$13+1,1))-AVERAGE(OFFSET($H$3,0,0,'Données projet'!$E$13+1,1))</f>
        <v>301.2688576786212</v>
      </c>
      <c r="CZ14" s="59">
        <f t="shared" si="42"/>
        <v>417.62172165132927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5.666666666666667</v>
      </c>
      <c r="N15" s="13">
        <f>IF('Données projet'!$A$36&gt;35,N14+M15-V14,IF(A15&lt;'Données projet'!$A$36,$K$205^A15,IF(A15='Données projet'!$A$36,'Données projet'!$B$36,N14+M15-V14)))</f>
        <v>7.8015261500555493</v>
      </c>
      <c r="O15" s="13">
        <f>N15*VLOOKUP('Données projet'!$B$9,Paramètres!$A$1:$I$89,3,0)*VLOOKUP('Données projet'!$B$9,Paramètres!$A$1:$I$89,5,0)</f>
        <v>3.6511142382259969</v>
      </c>
      <c r="P15" s="13">
        <f t="shared" si="33"/>
        <v>1.4471420643258348</v>
      </c>
      <c r="Q15" s="20">
        <f t="shared" si="2"/>
        <v>8.8794630602777733</v>
      </c>
      <c r="R15" s="59">
        <f t="shared" si="0"/>
        <v>205.90924051301064</v>
      </c>
      <c r="S15" s="59">
        <f ca="1">AVERAGE(OFFSET($R$3,0,0,'Données projet'!$E$9+1,1))-AVERAGE(OFFSET($H$3,0,0,'Données projet'!$E$9+1,1))</f>
        <v>167.82976403567059</v>
      </c>
      <c r="T15" s="59">
        <f t="shared" si="34"/>
        <v>232.70925470547317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228.10508384726486</v>
      </c>
      <c r="AN15" s="59">
        <f ca="1">AVERAGE(OFFSET($AM$3,0,0,'Données projet'!$E$10+1,1))-AVERAGE(OFFSET($H$3,0,0,'Données projet'!$E$10+1,1))</f>
        <v>542.51810435067659</v>
      </c>
      <c r="AO15" s="59">
        <f t="shared" si="36"/>
        <v>325.7263575945085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224.85264818290764</v>
      </c>
      <c r="BI15" s="59">
        <f ca="1">AVERAGE(OFFSET($BH$3,0,0,'Données projet'!$E$11+1,1))-AVERAGE(OFFSET($H$3,0,0,'Données projet'!$E$11+1,1))</f>
        <v>492.39485179035256</v>
      </c>
      <c r="BJ15" s="59">
        <f t="shared" si="38"/>
        <v>297.32483725004124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4.8693684289850241</v>
      </c>
      <c r="CA15" s="13">
        <f t="shared" si="39"/>
        <v>1.8663920922210482</v>
      </c>
      <c r="CB15" s="20">
        <f t="shared" si="10"/>
        <v>11.73144957443391</v>
      </c>
      <c r="CC15" s="59">
        <f t="shared" si="11"/>
        <v>208.7612270271668</v>
      </c>
      <c r="CD15" s="59">
        <f ca="1">AVERAGE(OFFSET($CC$3,0,0,'Données projet'!$E$12+1,1))-AVERAGE(OFFSET($H$3,0,0,'Données projet'!$E$12+1,1))</f>
        <v>260.51631161522039</v>
      </c>
      <c r="CE15" s="59">
        <f t="shared" si="40"/>
        <v>171.3469666102674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6.1333333333333337</v>
      </c>
      <c r="CT15" s="12">
        <f>IF('Données projet'!$A$140&gt;35,CT14+CS15-DB14,IF(A15&lt;'Données projet'!$A$140,$CQ$205^A15,IF(A15='Données projet'!$A$140,'Données projet'!$B$140,CT14+CS15-DB14)))</f>
        <v>37.241765561590427</v>
      </c>
      <c r="CU15" s="17">
        <f>CT15*VLOOKUP('Données projet'!$B$13,Paramètres!$A$1:$I$89,3,0)*VLOOKUP('Données projet'!$B$13,Paramètres!$A$1:$I$89,5,0)</f>
        <v>22.270575805831076</v>
      </c>
      <c r="CV15" s="13">
        <f t="shared" si="41"/>
        <v>7.1516717103900067</v>
      </c>
      <c r="CW15" s="20">
        <f t="shared" si="13"/>
        <v>51.243747757418383</v>
      </c>
      <c r="CX15" s="59">
        <f t="shared" si="14"/>
        <v>248.27352521015126</v>
      </c>
      <c r="CY15" s="59">
        <f ca="1">AVERAGE(OFFSET($CX$3,0,0,'Données projet'!$E$13+1,1))-AVERAGE(OFFSET($H$3,0,0,'Données projet'!$E$13+1,1))</f>
        <v>301.2688576786212</v>
      </c>
      <c r="CZ15" s="59">
        <f t="shared" si="42"/>
        <v>417.62172165132927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5.666666666666667</v>
      </c>
      <c r="N16" s="13">
        <f>IF('Données projet'!$A$36&gt;35,N15+M16-V15,IF(A16&lt;'Données projet'!$A$36,$K$205^A16,IF(A16='Données projet'!$A$36,'Données projet'!$B$36,N15+M16-V15)))</f>
        <v>9.2582278740877637</v>
      </c>
      <c r="O16" s="13">
        <f>N16*VLOOKUP('Données projet'!$B$9,Paramètres!$A$1:$I$89,3,0)*VLOOKUP('Données projet'!$B$9,Paramètres!$A$1:$I$89,5,0)</f>
        <v>4.3328506450730728</v>
      </c>
      <c r="P16" s="13">
        <f t="shared" si="33"/>
        <v>1.683469773088665</v>
      </c>
      <c r="Q16" s="20">
        <f t="shared" si="2"/>
        <v>10.478424728298359</v>
      </c>
      <c r="R16" s="59">
        <f t="shared" si="0"/>
        <v>210.01942497991718</v>
      </c>
      <c r="S16" s="59">
        <f ca="1">AVERAGE(OFFSET($R$3,0,0,'Données projet'!$E$9+1,1))-AVERAGE(OFFSET($H$3,0,0,'Données projet'!$E$9+1,1))</f>
        <v>167.82976403567059</v>
      </c>
      <c r="T16" s="59">
        <f t="shared" si="34"/>
        <v>232.70925470547317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237.81022669869324</v>
      </c>
      <c r="AN16" s="59">
        <f ca="1">AVERAGE(OFFSET($AM$3,0,0,'Données projet'!$E$10+1,1))-AVERAGE(OFFSET($H$3,0,0,'Données projet'!$E$10+1,1))</f>
        <v>542.51810435067659</v>
      </c>
      <c r="AO16" s="59">
        <f t="shared" si="36"/>
        <v>325.7263575945085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233.80270813005566</v>
      </c>
      <c r="BI16" s="59">
        <f ca="1">AVERAGE(OFFSET($BH$3,0,0,'Données projet'!$E$11+1,1))-AVERAGE(OFFSET($H$3,0,0,'Données projet'!$E$11+1,1))</f>
        <v>492.39485179035256</v>
      </c>
      <c r="BJ16" s="59">
        <f t="shared" si="38"/>
        <v>297.32483725004124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5.5790144443152343</v>
      </c>
      <c r="CA16" s="13">
        <f t="shared" si="39"/>
        <v>2.1047972096983822</v>
      </c>
      <c r="CB16" s="20">
        <f t="shared" si="10"/>
        <v>13.382638630740383</v>
      </c>
      <c r="CC16" s="59">
        <f t="shared" si="11"/>
        <v>212.9236388823592</v>
      </c>
      <c r="CD16" s="59">
        <f ca="1">AVERAGE(OFFSET($CC$3,0,0,'Données projet'!$E$12+1,1))-AVERAGE(OFFSET($H$3,0,0,'Données projet'!$E$12+1,1))</f>
        <v>260.51631161522039</v>
      </c>
      <c r="CE16" s="59">
        <f t="shared" si="40"/>
        <v>171.3469666102674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6.1333333333333337</v>
      </c>
      <c r="CT16" s="12">
        <f>IF('Données projet'!$A$140&gt;35,CT15+CS16-DB15,IF(A16&lt;'Données projet'!$A$140,$CQ$205^A16,IF(A16='Données projet'!$A$140,'Données projet'!$B$140,CT15+CS16-DB15)))</f>
        <v>50.344200732896553</v>
      </c>
      <c r="CU16" s="17">
        <f>CT16*VLOOKUP('Données projet'!$B$13,Paramètres!$A$1:$I$89,3,0)*VLOOKUP('Données projet'!$B$13,Paramètres!$A$1:$I$89,5,0)</f>
        <v>30.10583203827214</v>
      </c>
      <c r="CV16" s="13">
        <f t="shared" si="41"/>
        <v>9.3344291866673093</v>
      </c>
      <c r="CW16" s="20">
        <f t="shared" si="13"/>
        <v>68.691788300102857</v>
      </c>
      <c r="CX16" s="59">
        <f t="shared" si="14"/>
        <v>268.23278855172168</v>
      </c>
      <c r="CY16" s="59">
        <f ca="1">AVERAGE(OFFSET($CX$3,0,0,'Données projet'!$E$13+1,1))-AVERAGE(OFFSET($H$3,0,0,'Données projet'!$E$13+1,1))</f>
        <v>301.2688576786212</v>
      </c>
      <c r="CZ16" s="59">
        <f t="shared" si="42"/>
        <v>417.62172165132927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5.666666666666667</v>
      </c>
      <c r="N17" s="13">
        <f>IF('Données projet'!$A$36&gt;35,N16+M17-V16,IF(A17&lt;'Données projet'!$A$36,$K$205^A17,IF(A17='Données projet'!$A$36,'Données projet'!$B$36,N16+M17-V16)))</f>
        <v>10.986925086180136</v>
      </c>
      <c r="O17" s="13">
        <f>N17*VLOOKUP('Données projet'!$B$9,Paramètres!$A$1:$I$89,3,0)*VLOOKUP('Données projet'!$B$9,Paramètres!$A$1:$I$89,5,0)</f>
        <v>5.141880940332304</v>
      </c>
      <c r="P17" s="13">
        <f t="shared" si="33"/>
        <v>1.95839133335087</v>
      </c>
      <c r="Q17" s="20">
        <f t="shared" si="2"/>
        <v>12.366307543331528</v>
      </c>
      <c r="R17" s="59">
        <f t="shared" si="0"/>
        <v>214.39616931560471</v>
      </c>
      <c r="S17" s="59">
        <f ca="1">AVERAGE(OFFSET($R$3,0,0,'Données projet'!$E$9+1,1))-AVERAGE(OFFSET($H$3,0,0,'Données projet'!$E$9+1,1))</f>
        <v>167.82976403567059</v>
      </c>
      <c r="T17" s="59">
        <f t="shared" si="34"/>
        <v>232.70925470547317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249.16390139133293</v>
      </c>
      <c r="AN17" s="59">
        <f ca="1">AVERAGE(OFFSET($AM$3,0,0,'Données projet'!$E$10+1,1))-AVERAGE(OFFSET($H$3,0,0,'Données projet'!$E$10+1,1))</f>
        <v>542.51810435067659</v>
      </c>
      <c r="AO17" s="59">
        <f t="shared" si="36"/>
        <v>325.7263575945085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244.22545806894149</v>
      </c>
      <c r="BI17" s="59">
        <f ca="1">AVERAGE(OFFSET($BH$3,0,0,'Données projet'!$E$11+1,1))-AVERAGE(OFFSET($H$3,0,0,'Données projet'!$E$11+1,1))</f>
        <v>492.39485179035256</v>
      </c>
      <c r="BJ17" s="59">
        <f t="shared" si="38"/>
        <v>297.32483725004124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6.3920819760943495</v>
      </c>
      <c r="CA17" s="13">
        <f t="shared" si="39"/>
        <v>2.3736551994720978</v>
      </c>
      <c r="CB17" s="20">
        <f t="shared" si="10"/>
        <v>15.266992247444895</v>
      </c>
      <c r="CC17" s="59">
        <f t="shared" si="11"/>
        <v>217.2968540197181</v>
      </c>
      <c r="CD17" s="59">
        <f ca="1">AVERAGE(OFFSET($CC$3,0,0,'Données projet'!$E$12+1,1))-AVERAGE(OFFSET($H$3,0,0,'Données projet'!$E$12+1,1))</f>
        <v>260.51631161522039</v>
      </c>
      <c r="CE17" s="59">
        <f t="shared" si="40"/>
        <v>171.3469666102674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6.1333333333333337</v>
      </c>
      <c r="CT17" s="12">
        <f>IF('Données projet'!$A$140&gt;35,CT16+CS17-DB16,IF(A17&lt;'Données projet'!$A$140,$CQ$205^A17,IF(A17='Données projet'!$A$140,'Données projet'!$B$140,CT16+CS17-DB16)))</f>
        <v>68.056347737933137</v>
      </c>
      <c r="CU17" s="17">
        <f>CT17*VLOOKUP('Données projet'!$B$13,Paramètres!$A$1:$I$89,3,0)*VLOOKUP('Données projet'!$B$13,Paramètres!$A$1:$I$89,5,0)</f>
        <v>40.697695947284018</v>
      </c>
      <c r="CV17" s="13">
        <f t="shared" si="41"/>
        <v>12.183384776222468</v>
      </c>
      <c r="CW17" s="20">
        <f t="shared" si="13"/>
        <v>92.101215593440472</v>
      </c>
      <c r="CX17" s="59">
        <f t="shared" si="14"/>
        <v>294.13107736571368</v>
      </c>
      <c r="CY17" s="59">
        <f ca="1">AVERAGE(OFFSET($CX$3,0,0,'Données projet'!$E$13+1,1))-AVERAGE(OFFSET($H$3,0,0,'Données projet'!$E$13+1,1))</f>
        <v>301.2688576786212</v>
      </c>
      <c r="CZ17" s="59">
        <f t="shared" si="42"/>
        <v>417.62172165132927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5.666666666666667</v>
      </c>
      <c r="N18" s="13">
        <f>IF('Données projet'!$A$36&gt;35,N17+M18-V17,IF(A18&lt;'Données projet'!$A$36,$K$205^A18,IF(A18='Données projet'!$A$36,'Données projet'!$B$36,N17+M18-V17)))</f>
        <v>13.038404810405304</v>
      </c>
      <c r="O18" s="13">
        <f>N18*VLOOKUP('Données projet'!$B$9,Paramètres!$A$1:$I$89,3,0)*VLOOKUP('Données projet'!$B$9,Paramètres!$A$1:$I$89,5,0)</f>
        <v>6.101973451269683</v>
      </c>
      <c r="P18" s="13">
        <f t="shared" si="33"/>
        <v>2.2782093720086061</v>
      </c>
      <c r="Q18" s="20">
        <f t="shared" si="2"/>
        <v>14.595485083876353</v>
      </c>
      <c r="R18" s="59">
        <f t="shared" si="0"/>
        <v>219.0922350167574</v>
      </c>
      <c r="S18" s="59">
        <f ca="1">AVERAGE(OFFSET($R$3,0,0,'Données projet'!$E$9+1,1))-AVERAGE(OFFSET($H$3,0,0,'Données projet'!$E$9+1,1))</f>
        <v>167.82976403567059</v>
      </c>
      <c r="T18" s="59">
        <f t="shared" si="34"/>
        <v>232.70925470547317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262.55577243500142</v>
      </c>
      <c r="AN18" s="59">
        <f ca="1">AVERAGE(OFFSET($AM$3,0,0,'Données projet'!$E$10+1,1))-AVERAGE(OFFSET($H$3,0,0,'Données projet'!$E$10+1,1))</f>
        <v>542.51810435067659</v>
      </c>
      <c r="AO18" s="59">
        <f t="shared" si="36"/>
        <v>325.7263575945085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256.46949622159559</v>
      </c>
      <c r="BI18" s="59">
        <f ca="1">AVERAGE(OFFSET($BH$3,0,0,'Données projet'!$E$11+1,1))-AVERAGE(OFFSET($H$3,0,0,'Données projet'!$E$11+1,1))</f>
        <v>492.39485179035256</v>
      </c>
      <c r="BJ18" s="59">
        <f t="shared" si="38"/>
        <v>297.32483725004124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7.3236433418349414</v>
      </c>
      <c r="CA18" s="13">
        <f t="shared" si="39"/>
        <v>2.6768559840443293</v>
      </c>
      <c r="CB18" s="20">
        <f t="shared" si="10"/>
        <v>17.417536325906397</v>
      </c>
      <c r="CC18" s="59">
        <f t="shared" si="11"/>
        <v>221.91428625878746</v>
      </c>
      <c r="CD18" s="59">
        <f ca="1">AVERAGE(OFFSET($CC$3,0,0,'Données projet'!$E$12+1,1))-AVERAGE(OFFSET($H$3,0,0,'Données projet'!$E$12+1,1))</f>
        <v>260.51631161522039</v>
      </c>
      <c r="CE18" s="59">
        <f t="shared" si="40"/>
        <v>171.3469666102674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92</v>
      </c>
      <c r="CR18" s="12">
        <f>VLOOKUP(A18,'Données projet'!$A$139:$I$159,9,0)</f>
        <v>6.1333333333333337</v>
      </c>
      <c r="CS18" s="12">
        <f t="array" ref="CS18">INDEX(CR:CR,MIN(IF(ISNUMBER(CR18:CR214),ROW(CR18:CR214),"")))</f>
        <v>6.1333333333333337</v>
      </c>
      <c r="CT18" s="12">
        <f>IF('Données projet'!$A$140&gt;35,CT17+CS18-DB17,IF(A18&lt;'Données projet'!$A$140,$CQ$205^A18,IF(A18='Données projet'!$A$140,'Données projet'!$B$140,CT17+CS18-DB17)))</f>
        <v>92</v>
      </c>
      <c r="CU18" s="17">
        <f>CT18*VLOOKUP('Données projet'!$B$13,Paramètres!$A$1:$I$89,3,0)*VLOOKUP('Données projet'!$B$13,Paramètres!$A$1:$I$89,5,0)</f>
        <v>55.016000000000005</v>
      </c>
      <c r="CV18" s="13">
        <f t="shared" si="41"/>
        <v>15.901868409640327</v>
      </c>
      <c r="CW18" s="20">
        <f t="shared" si="13"/>
        <v>123.51528748012358</v>
      </c>
      <c r="CX18" s="59">
        <f t="shared" si="14"/>
        <v>328.01203741300463</v>
      </c>
      <c r="CY18" s="59">
        <f ca="1">AVERAGE(OFFSET($CX$3,0,0,'Données projet'!$E$13+1,1))-AVERAGE(OFFSET($H$3,0,0,'Données projet'!$E$13+1,1))</f>
        <v>301.2688576786212</v>
      </c>
      <c r="CZ18" s="59">
        <f t="shared" si="42"/>
        <v>417.62172165132927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4</v>
      </c>
      <c r="DC18" s="16">
        <f>IF(ISNA(VLOOKUP(A18,'Données projet'!$A$139:$I$159,5,0)),0%,VLOOKUP(A18,'Données projet'!$A$139:$I$159,5,0)*VLOOKUP('Données projet'!$B$13,Paramètres!$A$1:$I$89,7,0))</f>
        <v>9.0000000000000011E-2</v>
      </c>
      <c r="DD18" s="16">
        <f>IF(ISNA(VLOOKUP(A18,'Données projet'!$A$139:$I$159,6,0)),0%,VLOOKUP(A18,'Données projet'!$A$139:$I$159,6,0)*VLOOKUP('Données projet'!$B$13,Paramètres!$A$1:$I$89,7,0))</f>
        <v>0.20250000000000001</v>
      </c>
      <c r="DE18" s="16">
        <f>IF(ISNA(VLOOKUP(A18,'Données projet'!$A$139:$I$159,7,0)),0%,VLOOKUP(A18,'Données projet'!$A$139:$I$159,7,0))</f>
        <v>0.35</v>
      </c>
      <c r="DF18" s="21">
        <f>EXP(-LN(2)/35)*DF17+(1-EXP(-LN(2)/35))/(LN(2)/35)*DB18*DC18*VLOOKUP('Données projet'!$B$13,Paramètres!$A$1:$I$89,3,0)*0.475*44/12</f>
        <v>0.28558279596702424</v>
      </c>
      <c r="DG18" s="21">
        <f>EXP(-LN(2)/25)*DG17+(1-EXP(-LN(2)/25))/(LN(2)/25)*Calculateur!DB18*Calculateur!DD18*VLOOKUP('Données projet'!$B$13,Paramètres!$A$1:$I$89,3,0)*0.475*44/12</f>
        <v>0.64003128228838313</v>
      </c>
      <c r="DH18" s="21">
        <f>EXP(-LN(2)/2)*DH17+(1-EXP(-LN(2)/2))/(LN(2)/2)*DB18*DE18*VLOOKUP('Données projet'!$B$13,Paramètres!$A$1:$I$89,3,0)*0.475*44/12</f>
        <v>0.94790487948915703</v>
      </c>
      <c r="DI18" s="22">
        <f t="shared" si="15"/>
        <v>1.8735189577445643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5.666666666666667</v>
      </c>
      <c r="N19" s="13">
        <f>IF('Données projet'!$A$36&gt;35,N18+M19-V18,IF(A19&lt;'Données projet'!$A$36,$K$205^A19,IF(A19='Données projet'!$A$36,'Données projet'!$B$36,N18+M19-V18)))</f>
        <v>15.472937028926689</v>
      </c>
      <c r="O19" s="13">
        <f>N19*VLOOKUP('Données projet'!$B$9,Paramètres!$A$1:$I$89,3,0)*VLOOKUP('Données projet'!$B$9,Paramètres!$A$1:$I$89,5,0)</f>
        <v>7.2413345295376894</v>
      </c>
      <c r="P19" s="13">
        <f t="shared" si="33"/>
        <v>2.6502557759113361</v>
      </c>
      <c r="Q19" s="20">
        <f t="shared" si="2"/>
        <v>17.227853115323715</v>
      </c>
      <c r="R19" s="59">
        <f t="shared" si="0"/>
        <v>224.16989903743777</v>
      </c>
      <c r="S19" s="59">
        <f ca="1">AVERAGE(OFFSET($R$3,0,0,'Données projet'!$E$9+1,1))-AVERAGE(OFFSET($H$3,0,0,'Données projet'!$E$9+1,1))</f>
        <v>167.82976403567059</v>
      </c>
      <c r="T19" s="59">
        <f t="shared" si="34"/>
        <v>232.70925470547317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278.46644464610415</v>
      </c>
      <c r="AN19" s="59">
        <f ca="1">AVERAGE(OFFSET($AM$3,0,0,'Données projet'!$E$10+1,1))-AVERAGE(OFFSET($H$3,0,0,'Données projet'!$E$10+1,1))</f>
        <v>542.51810435067659</v>
      </c>
      <c r="AO19" s="59">
        <f t="shared" si="36"/>
        <v>325.7263575945085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270.96474543463864</v>
      </c>
      <c r="BI19" s="59">
        <f ca="1">AVERAGE(OFFSET($BH$3,0,0,'Données projet'!$E$11+1,1))-AVERAGE(OFFSET($H$3,0,0,'Données projet'!$E$11+1,1))</f>
        <v>492.39485179035256</v>
      </c>
      <c r="BJ19" s="59">
        <f t="shared" si="38"/>
        <v>297.32483725004124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8.3909674498848439</v>
      </c>
      <c r="CA19" s="13">
        <f t="shared" si="39"/>
        <v>3.0187863683434557</v>
      </c>
      <c r="CB19" s="20">
        <f t="shared" si="10"/>
        <v>19.871987900080956</v>
      </c>
      <c r="CC19" s="59">
        <f t="shared" si="11"/>
        <v>226.81403382219503</v>
      </c>
      <c r="CD19" s="59">
        <f ca="1">AVERAGE(OFFSET($CC$3,0,0,'Données projet'!$E$12+1,1))-AVERAGE(OFFSET($H$3,0,0,'Données projet'!$E$12+1,1))</f>
        <v>260.51631161522039</v>
      </c>
      <c r="CE19" s="59">
        <f t="shared" si="40"/>
        <v>171.3469666102674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18.399999999999999</v>
      </c>
      <c r="CT19" s="12">
        <f>IF('Données projet'!$A$140&gt;35,CT18+CS19-DB18,IF(A19&lt;'Données projet'!$A$140,$CQ$205^A19,IF(A19='Données projet'!$A$140,'Données projet'!$B$140,CT18+CS19-DB18)))</f>
        <v>106.4</v>
      </c>
      <c r="CU19" s="17">
        <f>CT19*VLOOKUP('Données projet'!$B$13,Paramètres!$A$1:$I$89,3,0)*VLOOKUP('Données projet'!$B$13,Paramètres!$A$1:$I$89,5,0)</f>
        <v>63.627200000000009</v>
      </c>
      <c r="CV19" s="13">
        <f t="shared" si="41"/>
        <v>18.082182721748126</v>
      </c>
      <c r="CW19" s="20">
        <f t="shared" si="13"/>
        <v>142.310508240378</v>
      </c>
      <c r="CX19" s="59">
        <f t="shared" si="14"/>
        <v>349.25255416249206</v>
      </c>
      <c r="CY19" s="59">
        <f ca="1">AVERAGE(OFFSET($CX$3,0,0,'Données projet'!$E$13+1,1))-AVERAGE(OFFSET($H$3,0,0,'Données projet'!$E$13+1,1))</f>
        <v>301.2688576786212</v>
      </c>
      <c r="CZ19" s="59">
        <f t="shared" si="42"/>
        <v>417.62172165132927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0.27998269152641675</v>
      </c>
      <c r="DG19" s="21">
        <f>EXP(-LN(2)/25)*DG18+(1-EXP(-LN(2)/25))/(LN(2)/25)*Calculateur!DB19*Calculateur!DD19*VLOOKUP('Données projet'!$B$13,Paramètres!$A$1:$I$89,3,0)*0.475*44/12</f>
        <v>0.62252959321642498</v>
      </c>
      <c r="DH19" s="21">
        <f>EXP(-LN(2)/2)*DH18+(1-EXP(-LN(2)/2))/(LN(2)/2)*DB19*DE19*VLOOKUP('Données projet'!$B$13,Paramètres!$A$1:$I$89,3,0)*0.475*44/12</f>
        <v>0.67026996820660012</v>
      </c>
      <c r="DI19" s="22">
        <f t="shared" si="15"/>
        <v>1.572782252949442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5.666666666666667</v>
      </c>
      <c r="N20" s="13">
        <f>IF('Données projet'!$A$36&gt;35,N19+M20-V19,IF(A20&lt;'Données projet'!$A$36,$K$205^A20,IF(A20='Données projet'!$A$36,'Données projet'!$B$36,N19+M20-V19)))</f>
        <v>18.362045340858568</v>
      </c>
      <c r="O20" s="13">
        <f>N20*VLOOKUP('Données projet'!$B$9,Paramètres!$A$1:$I$89,3,0)*VLOOKUP('Données projet'!$B$9,Paramètres!$A$1:$I$89,5,0)</f>
        <v>8.5934372195218103</v>
      </c>
      <c r="P20" s="13">
        <f t="shared" si="33"/>
        <v>3.0830597767046952</v>
      </c>
      <c r="Q20" s="20">
        <f t="shared" si="2"/>
        <v>20.336565601761166</v>
      </c>
      <c r="R20" s="59">
        <f t="shared" si="0"/>
        <v>229.7026899176339</v>
      </c>
      <c r="S20" s="59">
        <f ca="1">AVERAGE(OFFSET($R$3,0,0,'Données projet'!$E$9+1,1))-AVERAGE(OFFSET($H$3,0,0,'Données projet'!$E$9+1,1))</f>
        <v>167.82976403567059</v>
      </c>
      <c r="T20" s="59">
        <f t="shared" si="34"/>
        <v>232.70925470547317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297.48876601578291</v>
      </c>
      <c r="AN20" s="59">
        <f ca="1">AVERAGE(OFFSET($AM$3,0,0,'Données projet'!$E$10+1,1))-AVERAGE(OFFSET($H$3,0,0,'Données projet'!$E$10+1,1))</f>
        <v>542.51810435067659</v>
      </c>
      <c r="AO20" s="59">
        <f t="shared" si="36"/>
        <v>325.7263575945085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288.24149918328646</v>
      </c>
      <c r="BI20" s="59">
        <f ca="1">AVERAGE(OFFSET($BH$3,0,0,'Données projet'!$E$11+1,1))-AVERAGE(OFFSET($H$3,0,0,'Données projet'!$E$11+1,1))</f>
        <v>492.39485179035256</v>
      </c>
      <c r="BJ20" s="59">
        <f t="shared" si="38"/>
        <v>297.32483725004124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9.6138399234753162</v>
      </c>
      <c r="CA20" s="13">
        <f t="shared" si="39"/>
        <v>3.404393509406427</v>
      </c>
      <c r="CB20" s="20">
        <f t="shared" si="10"/>
        <v>22.6734232289357</v>
      </c>
      <c r="CC20" s="59">
        <f t="shared" si="11"/>
        <v>232.03954754480841</v>
      </c>
      <c r="CD20" s="59">
        <f ca="1">AVERAGE(OFFSET($CC$3,0,0,'Données projet'!$E$12+1,1))-AVERAGE(OFFSET($H$3,0,0,'Données projet'!$E$12+1,1))</f>
        <v>260.51631161522039</v>
      </c>
      <c r="CE20" s="59">
        <f t="shared" si="40"/>
        <v>171.3469666102674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18.399999999999999</v>
      </c>
      <c r="CT20" s="12">
        <f>IF('Données projet'!$A$140&gt;35,CT19+CS20-DB19,IF(A20&lt;'Données projet'!$A$140,$CQ$205^A20,IF(A20='Données projet'!$A$140,'Données projet'!$B$140,CT19+CS20-DB19)))</f>
        <v>124.80000000000001</v>
      </c>
      <c r="CU20" s="17">
        <f>CT20*VLOOKUP('Données projet'!$B$13,Paramètres!$A$1:$I$89,3,0)*VLOOKUP('Données projet'!$B$13,Paramètres!$A$1:$I$89,5,0)</f>
        <v>74.630400000000009</v>
      </c>
      <c r="CV20" s="13">
        <f t="shared" si="41"/>
        <v>20.819027490528757</v>
      </c>
      <c r="CW20" s="20">
        <f t="shared" si="13"/>
        <v>166.24108621267092</v>
      </c>
      <c r="CX20" s="59">
        <f t="shared" si="14"/>
        <v>375.60721052854365</v>
      </c>
      <c r="CY20" s="59">
        <f ca="1">AVERAGE(OFFSET($CX$3,0,0,'Données projet'!$E$13+1,1))-AVERAGE(OFFSET($H$3,0,0,'Données projet'!$E$13+1,1))</f>
        <v>301.2688576786212</v>
      </c>
      <c r="CZ20" s="59">
        <f t="shared" si="42"/>
        <v>417.62172165132927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0.27449240171816314</v>
      </c>
      <c r="DG20" s="21">
        <f>EXP(-LN(2)/25)*DG19+(1-EXP(-LN(2)/25))/(LN(2)/25)*Calculateur!DB20*Calculateur!DD20*VLOOKUP('Données projet'!$B$13,Paramètres!$A$1:$I$89,3,0)*0.475*44/12</f>
        <v>0.60550648875251334</v>
      </c>
      <c r="DH20" s="21">
        <f>EXP(-LN(2)/2)*DH19+(1-EXP(-LN(2)/2))/(LN(2)/2)*DB20*DE20*VLOOKUP('Données projet'!$B$13,Paramètres!$A$1:$I$89,3,0)*0.475*44/12</f>
        <v>0.47395243974457857</v>
      </c>
      <c r="DI20" s="22">
        <f t="shared" si="15"/>
        <v>1.353951330215255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5.666666666666667</v>
      </c>
      <c r="N21" s="13">
        <f>IF('Données projet'!$A$36&gt;35,N20+M21-V20,IF(A21&lt;'Données projet'!$A$36,$K$205^A21,IF(A21='Données projet'!$A$36,'Données projet'!$B$36,N20+M21-V20)))</f>
        <v>21.790608238721305</v>
      </c>
      <c r="O21" s="13">
        <f>N21*VLOOKUP('Données projet'!$B$9,Paramètres!$A$1:$I$89,3,0)*VLOOKUP('Données projet'!$B$9,Paramètres!$A$1:$I$89,5,0)</f>
        <v>10.19800465572157</v>
      </c>
      <c r="P21" s="13">
        <f t="shared" si="33"/>
        <v>3.5865434850211249</v>
      </c>
      <c r="Q21" s="20">
        <f t="shared" si="2"/>
        <v>24.008088011793529</v>
      </c>
      <c r="R21" s="59">
        <f t="shared" si="0"/>
        <v>235.77744120379663</v>
      </c>
      <c r="S21" s="59">
        <f ca="1">AVERAGE(OFFSET($R$3,0,0,'Données projet'!$E$9+1,1))-AVERAGE(OFFSET($H$3,0,0,'Données projet'!$E$9+1,1))</f>
        <v>167.82976403567059</v>
      </c>
      <c r="T21" s="59">
        <f t="shared" si="34"/>
        <v>232.70925470547317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320.35413206775308</v>
      </c>
      <c r="AN21" s="59">
        <f ca="1">AVERAGE(OFFSET($AM$3,0,0,'Données projet'!$E$10+1,1))-AVERAGE(OFFSET($H$3,0,0,'Données projet'!$E$10+1,1))</f>
        <v>542.51810435067659</v>
      </c>
      <c r="AO21" s="59">
        <f t="shared" si="36"/>
        <v>325.7263575945085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308.95393822316214</v>
      </c>
      <c r="BI21" s="59">
        <f ca="1">AVERAGE(OFFSET($BH$3,0,0,'Données projet'!$E$11+1,1))-AVERAGE(OFFSET($H$3,0,0,'Données projet'!$E$11+1,1))</f>
        <v>492.39485179035256</v>
      </c>
      <c r="BJ21" s="59">
        <f t="shared" si="38"/>
        <v>297.32483725004124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11.014929878613264</v>
      </c>
      <c r="CA21" s="13">
        <f t="shared" si="39"/>
        <v>3.8392564934127869</v>
      </c>
      <c r="CB21" s="20">
        <f t="shared" si="10"/>
        <v>25.871041264612035</v>
      </c>
      <c r="CC21" s="59">
        <f t="shared" si="11"/>
        <v>237.64039445661516</v>
      </c>
      <c r="CD21" s="59">
        <f ca="1">AVERAGE(OFFSET($CC$3,0,0,'Données projet'!$E$12+1,1))-AVERAGE(OFFSET($H$3,0,0,'Données projet'!$E$12+1,1))</f>
        <v>260.51631161522039</v>
      </c>
      <c r="CE21" s="59">
        <f t="shared" si="40"/>
        <v>171.3469666102674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18.399999999999999</v>
      </c>
      <c r="CT21" s="12">
        <f>IF('Données projet'!$A$140&gt;35,CT20+CS21-DB20,IF(A21&lt;'Données projet'!$A$140,$CQ$205^A21,IF(A21='Données projet'!$A$140,'Données projet'!$B$140,CT20+CS21-DB20)))</f>
        <v>143.20000000000002</v>
      </c>
      <c r="CU21" s="17">
        <f>CT21*VLOOKUP('Données projet'!$B$13,Paramètres!$A$1:$I$89,3,0)*VLOOKUP('Données projet'!$B$13,Paramètres!$A$1:$I$89,5,0)</f>
        <v>85.633600000000015</v>
      </c>
      <c r="CV21" s="13">
        <f t="shared" si="41"/>
        <v>23.509125896343544</v>
      </c>
      <c r="CW21" s="20">
        <f t="shared" si="13"/>
        <v>190.09024760279837</v>
      </c>
      <c r="CX21" s="59">
        <f t="shared" si="14"/>
        <v>401.85960079480151</v>
      </c>
      <c r="CY21" s="59">
        <f ca="1">AVERAGE(OFFSET($CX$3,0,0,'Données projet'!$E$13+1,1))-AVERAGE(OFFSET($H$3,0,0,'Données projet'!$E$13+1,1))</f>
        <v>301.2688576786212</v>
      </c>
      <c r="CZ21" s="59">
        <f t="shared" si="42"/>
        <v>417.62172165132927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0.26910977314430329</v>
      </c>
      <c r="DG21" s="21">
        <f>EXP(-LN(2)/25)*DG20+(1-EXP(-LN(2)/25))/(LN(2)/25)*Calculateur!DB21*Calculateur!DD21*VLOOKUP('Données projet'!$B$13,Paramètres!$A$1:$I$89,3,0)*0.475*44/12</f>
        <v>0.58894888197537354</v>
      </c>
      <c r="DH21" s="21">
        <f>EXP(-LN(2)/2)*DH20+(1-EXP(-LN(2)/2))/(LN(2)/2)*DB21*DE21*VLOOKUP('Données projet'!$B$13,Paramètres!$A$1:$I$89,3,0)*0.475*44/12</f>
        <v>0.33513498410330012</v>
      </c>
      <c r="DI21" s="22">
        <f t="shared" si="15"/>
        <v>1.1931936392229769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5.666666666666667</v>
      </c>
      <c r="N22" s="13">
        <f>IF('Données projet'!$A$36&gt;35,N21+M22-V21,IF(A22&lt;'Données projet'!$A$36,$K$205^A22,IF(A22='Données projet'!$A$36,'Données projet'!$B$36,N21+M22-V21)))</f>
        <v>25.859352735441334</v>
      </c>
      <c r="O22" s="13">
        <f>N22*VLOOKUP('Données projet'!$B$9,Paramètres!$A$1:$I$89,3,0)*VLOOKUP('Données projet'!$B$9,Paramètres!$A$1:$I$89,5,0)</f>
        <v>12.102177080186545</v>
      </c>
      <c r="P22" s="13">
        <f t="shared" si="33"/>
        <v>4.1722493566752403</v>
      </c>
      <c r="Q22" s="20">
        <f t="shared" si="2"/>
        <v>28.34462604420094</v>
      </c>
      <c r="R22" s="59">
        <f t="shared" si="0"/>
        <v>242.49672028722446</v>
      </c>
      <c r="S22" s="59">
        <f ca="1">AVERAGE(OFFSET($R$3,0,0,'Données projet'!$E$9+1,1))-AVERAGE(OFFSET($H$3,0,0,'Données projet'!$E$9+1,1))</f>
        <v>167.82976403567059</v>
      </c>
      <c r="T22" s="59">
        <f t="shared" si="34"/>
        <v>232.70925470547317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347.96496845689671</v>
      </c>
      <c r="AN22" s="59">
        <f ca="1">AVERAGE(OFFSET($AM$3,0,0,'Données projet'!$E$10+1,1))-AVERAGE(OFFSET($H$3,0,0,'Données projet'!$E$10+1,1))</f>
        <v>542.51810435067659</v>
      </c>
      <c r="AO22" s="59">
        <f t="shared" si="36"/>
        <v>325.7263575945085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333.90916953776684</v>
      </c>
      <c r="BI22" s="59">
        <f ca="1">AVERAGE(OFFSET($BH$3,0,0,'Données projet'!$E$11+1,1))-AVERAGE(OFFSET($H$3,0,0,'Données projet'!$E$11+1,1))</f>
        <v>492.39485179035256</v>
      </c>
      <c r="BJ22" s="59">
        <f t="shared" si="38"/>
        <v>297.32483725004124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12.620210154997878</v>
      </c>
      <c r="CA22" s="13">
        <f t="shared" si="39"/>
        <v>4.329667055669546</v>
      </c>
      <c r="CB22" s="20">
        <f t="shared" si="10"/>
        <v>29.521036141912429</v>
      </c>
      <c r="CC22" s="59">
        <f t="shared" si="11"/>
        <v>243.67313038493594</v>
      </c>
      <c r="CD22" s="59">
        <f ca="1">AVERAGE(OFFSET($CC$3,0,0,'Données projet'!$E$12+1,1))-AVERAGE(OFFSET($H$3,0,0,'Données projet'!$E$12+1,1))</f>
        <v>260.51631161522039</v>
      </c>
      <c r="CE22" s="59">
        <f t="shared" si="40"/>
        <v>171.3469666102674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18.399999999999999</v>
      </c>
      <c r="CT22" s="12">
        <f>IF('Données projet'!$A$140&gt;35,CT21+CS22-DB21,IF(A22&lt;'Données projet'!$A$140,$CQ$205^A22,IF(A22='Données projet'!$A$140,'Données projet'!$B$140,CT21+CS22-DB21)))</f>
        <v>161.60000000000002</v>
      </c>
      <c r="CU22" s="17">
        <f>CT22*VLOOKUP('Données projet'!$B$13,Paramètres!$A$1:$I$89,3,0)*VLOOKUP('Données projet'!$B$13,Paramètres!$A$1:$I$89,5,0)</f>
        <v>96.636800000000022</v>
      </c>
      <c r="CV22" s="13">
        <f t="shared" si="41"/>
        <v>26.159173215164081</v>
      </c>
      <c r="CW22" s="20">
        <f t="shared" si="13"/>
        <v>213.86965334974414</v>
      </c>
      <c r="CX22" s="59">
        <f t="shared" si="14"/>
        <v>428.02174759276767</v>
      </c>
      <c r="CY22" s="59">
        <f ca="1">AVERAGE(OFFSET($CX$3,0,0,'Données projet'!$E$13+1,1))-AVERAGE(OFFSET($H$3,0,0,'Données projet'!$E$13+1,1))</f>
        <v>301.2688576786212</v>
      </c>
      <c r="CZ22" s="59">
        <f t="shared" si="42"/>
        <v>417.62172165132927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0.26383269463369757</v>
      </c>
      <c r="DG22" s="21">
        <f>EXP(-LN(2)/25)*DG21+(1-EXP(-LN(2)/25))/(LN(2)/25)*Calculateur!DB22*Calculateur!DD22*VLOOKUP('Données projet'!$B$13,Paramètres!$A$1:$I$89,3,0)*0.475*44/12</f>
        <v>0.57284404382628129</v>
      </c>
      <c r="DH22" s="21">
        <f>EXP(-LN(2)/2)*DH21+(1-EXP(-LN(2)/2))/(LN(2)/2)*DB22*DE22*VLOOKUP('Données projet'!$B$13,Paramètres!$A$1:$I$89,3,0)*0.475*44/12</f>
        <v>0.23697621987228934</v>
      </c>
      <c r="DI22" s="22">
        <f t="shared" si="15"/>
        <v>1.0736529583322683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5.666666666666667</v>
      </c>
      <c r="N23" s="13">
        <f>IF('Données projet'!$A$36&gt;35,N22+M23-V22,IF(A23&lt;'Données projet'!$A$36,$K$205^A23,IF(A23='Données projet'!$A$36,'Données projet'!$B$36,N22+M23-V22)))</f>
        <v>30.68781360162793</v>
      </c>
      <c r="O23" s="13">
        <f>N23*VLOOKUP('Données projet'!$B$9,Paramètres!$A$1:$I$89,3,0)*VLOOKUP('Données projet'!$B$9,Paramètres!$A$1:$I$89,5,0)</f>
        <v>14.361896765561871</v>
      </c>
      <c r="P23" s="13">
        <f t="shared" si="33"/>
        <v>4.8536048055679508</v>
      </c>
      <c r="Q23" s="20">
        <f t="shared" si="2"/>
        <v>33.466998569717767</v>
      </c>
      <c r="R23" s="59">
        <f t="shared" si="0"/>
        <v>249.98170145661348</v>
      </c>
      <c r="S23" s="59">
        <f ca="1">AVERAGE(OFFSET($R$3,0,0,'Données projet'!$E$9+1,1))-AVERAGE(OFFSET($H$3,0,0,'Données projet'!$E$9+1,1))</f>
        <v>167.82976403567059</v>
      </c>
      <c r="T23" s="59">
        <f t="shared" si="34"/>
        <v>232.70925470547317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381.43484595601308</v>
      </c>
      <c r="AN23" s="59">
        <f ca="1">AVERAGE(OFFSET($AM$3,0,0,'Données projet'!$E$10+1,1))-AVERAGE(OFFSET($H$3,0,0,'Données projet'!$E$10+1,1))</f>
        <v>542.51810435067659</v>
      </c>
      <c r="AO23" s="59">
        <f t="shared" si="36"/>
        <v>325.7263575945085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364.10308709124286</v>
      </c>
      <c r="BI23" s="59">
        <f ca="1">AVERAGE(OFFSET($BH$3,0,0,'Données projet'!$E$11+1,1))-AVERAGE(OFFSET($H$3,0,0,'Données projet'!$E$11+1,1))</f>
        <v>492.39485179035256</v>
      </c>
      <c r="BJ23" s="59">
        <f t="shared" si="38"/>
        <v>297.32483725004124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14.459438790032763</v>
      </c>
      <c r="CA23" s="13">
        <f t="shared" si="39"/>
        <v>4.8827206114292476</v>
      </c>
      <c r="CB23" s="20">
        <f t="shared" si="10"/>
        <v>33.687594290879673</v>
      </c>
      <c r="CC23" s="59">
        <f t="shared" si="11"/>
        <v>250.20229717777539</v>
      </c>
      <c r="CD23" s="59">
        <f ca="1">AVERAGE(OFFSET($CC$3,0,0,'Données projet'!$E$12+1,1))-AVERAGE(OFFSET($H$3,0,0,'Données projet'!$E$12+1,1))</f>
        <v>260.51631161522039</v>
      </c>
      <c r="CE23" s="59">
        <f t="shared" si="40"/>
        <v>171.3469666102674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180</v>
      </c>
      <c r="CR23" s="12">
        <f>VLOOKUP(A23,'Données projet'!$A$139:$I$159,9,0)</f>
        <v>18.399999999999999</v>
      </c>
      <c r="CS23" s="12">
        <f t="array" ref="CS23">INDEX(CR:CR,MIN(IF(ISNUMBER(CR23:CR219),ROW(CR23:CR219),"")))</f>
        <v>18.399999999999999</v>
      </c>
      <c r="CT23" s="12">
        <f>IF('Données projet'!$A$140&gt;35,CT22+CS23-DB22,IF(A23&lt;'Données projet'!$A$140,$CQ$205^A23,IF(A23='Données projet'!$A$140,'Données projet'!$B$140,CT22+CS23-DB22)))</f>
        <v>180.00000000000003</v>
      </c>
      <c r="CU23" s="17">
        <f>CT23*VLOOKUP('Données projet'!$B$13,Paramètres!$A$1:$I$89,3,0)*VLOOKUP('Données projet'!$B$13,Paramètres!$A$1:$I$89,5,0)</f>
        <v>107.64000000000001</v>
      </c>
      <c r="CV23" s="13">
        <f t="shared" si="41"/>
        <v>28.774250263353583</v>
      </c>
      <c r="CW23" s="20">
        <f t="shared" si="13"/>
        <v>237.58815254200752</v>
      </c>
      <c r="CX23" s="59">
        <f t="shared" si="14"/>
        <v>454.10285542890324</v>
      </c>
      <c r="CY23" s="59">
        <f ca="1">AVERAGE(OFFSET($CX$3,0,0,'Données projet'!$E$13+1,1))-AVERAGE(OFFSET($H$3,0,0,'Données projet'!$E$13+1,1))</f>
        <v>301.2688576786212</v>
      </c>
      <c r="CZ23" s="59">
        <f t="shared" si="42"/>
        <v>417.62172165132927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56</v>
      </c>
      <c r="DC23" s="16">
        <f>IF(ISNA(VLOOKUP(A23,'Données projet'!$A$139:$I$159,5,0)),0%,VLOOKUP(A23,'Données projet'!$A$139:$I$159,5,0)*VLOOKUP('Données projet'!$B$13,Paramètres!$A$1:$I$89,7,0))</f>
        <v>9.0000000000000011E-2</v>
      </c>
      <c r="DD23" s="16">
        <f>IF(ISNA(VLOOKUP(A23,'Données projet'!$A$139:$I$159,6,0)),0%,VLOOKUP(A23,'Données projet'!$A$139:$I$159,6,0)*VLOOKUP('Données projet'!$B$13,Paramètres!$A$1:$I$89,7,0))</f>
        <v>0.20250000000000001</v>
      </c>
      <c r="DE23" s="16">
        <f>IF(ISNA(VLOOKUP(A23,'Données projet'!$A$139:$I$159,7,0)),0%,VLOOKUP(A23,'Données projet'!$A$139:$I$159,7,0))</f>
        <v>0.35</v>
      </c>
      <c r="DF23" s="21">
        <f>EXP(-LN(2)/35)*DF22+(1-EXP(-LN(2)/35))/(LN(2)/35)*DB23*DC23*VLOOKUP('Données projet'!$B$13,Paramètres!$A$1:$I$89,3,0)*0.475*44/12</f>
        <v>4.2568182399523247</v>
      </c>
      <c r="DG23" s="21">
        <f>EXP(-LN(2)/25)*DG22+(1-EXP(-LN(2)/25))/(LN(2)/25)*Calculateur!DB23*Calculateur!DD23*VLOOKUP('Données projet'!$B$13,Paramètres!$A$1:$I$89,3,0)*0.475*44/12</f>
        <v>9.5176175453606557</v>
      </c>
      <c r="DH23" s="21">
        <f>EXP(-LN(2)/2)*DH22+(1-EXP(-LN(2)/2))/(LN(2)/2)*DB23*DE23*VLOOKUP('Données projet'!$B$13,Paramètres!$A$1:$I$89,3,0)*0.475*44/12</f>
        <v>13.43823580489985</v>
      </c>
      <c r="DI23" s="22">
        <f t="shared" si="15"/>
        <v>27.212671590212832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5.666666666666667</v>
      </c>
      <c r="N24" s="13">
        <f>IF('Données projet'!$A$36&gt;35,N23+M24-V23,IF(A24&lt;'Données projet'!$A$36,$K$205^A24,IF(A24='Données projet'!$A$36,'Données projet'!$B$36,N23+M24-V23)))</f>
        <v>36.417845151923039</v>
      </c>
      <c r="O24" s="13">
        <f>N24*VLOOKUP('Données projet'!$B$9,Paramètres!$A$1:$I$89,3,0)*VLOOKUP('Données projet'!$B$9,Paramètres!$A$1:$I$89,5,0)</f>
        <v>17.043551531099983</v>
      </c>
      <c r="P24" s="13">
        <f t="shared" si="33"/>
        <v>5.6462300295983905</v>
      </c>
      <c r="Q24" s="20">
        <f t="shared" si="2"/>
        <v>39.518036218216324</v>
      </c>
      <c r="R24" s="59">
        <f t="shared" si="0"/>
        <v>258.37556459409069</v>
      </c>
      <c r="S24" s="59">
        <f ca="1">AVERAGE(OFFSET($R$3,0,0,'Données projet'!$E$9+1,1))-AVERAGE(OFFSET($H$3,0,0,'Données projet'!$E$9+1,1))</f>
        <v>167.82976403567059</v>
      </c>
      <c r="T24" s="59">
        <f t="shared" si="34"/>
        <v>232.70925470547317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</v>
      </c>
      <c r="AI24" s="13">
        <f>IF('Données projet'!$A$62&gt;35,AI23+AH24-AQ23,IF(A24&lt;'Données projet'!$A$62,$AF$205^A24,IF(A24='Données projet'!$A$62,'Données projet'!$B$62,AI23+AH24-AQ23)))</f>
        <v>79</v>
      </c>
      <c r="AJ24" s="13">
        <f>AI24*VLOOKUP('Données projet'!$B$10,Paramètres!$A$1:$I$89,3,0)*VLOOKUP('Données projet'!$B$10,Paramètres!$A$1:$I$89,5,0)</f>
        <v>80.106000000000009</v>
      </c>
      <c r="AK24" s="13">
        <f t="shared" si="35"/>
        <v>22.163099682076496</v>
      </c>
      <c r="AL24" s="20">
        <f t="shared" si="4"/>
        <v>178.11868194628323</v>
      </c>
      <c r="AM24" s="59">
        <f t="shared" si="5"/>
        <v>396.97621032215761</v>
      </c>
      <c r="AN24" s="59">
        <f ca="1">AVERAGE(OFFSET($AM$3,0,0,'Données projet'!$E$10+1,1))-AVERAGE(OFFSET($H$3,0,0,'Données projet'!$E$10+1,1))</f>
        <v>542.51810435067659</v>
      </c>
      <c r="AO24" s="59">
        <f t="shared" si="36"/>
        <v>325.7263575945085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</v>
      </c>
      <c r="BD24" s="12">
        <f>IF('Données projet'!$A$88&gt;35,BD23+BC24-BL23,IF(A24&lt;'Données projet'!$A$88,$BA$205^A24,IF(A24='Données projet'!$A$88,'Données projet'!$B$88,BD23+BC24-BL23)))</f>
        <v>79</v>
      </c>
      <c r="BE24" s="13">
        <f>BD24*VLOOKUP('Données projet'!$B$11,Paramètres!$A$1:$I$89,3,0)*VLOOKUP('Données projet'!$B$11,Paramètres!$A$1:$I$89,5,0)</f>
        <v>71.479200000000006</v>
      </c>
      <c r="BF24" s="13">
        <f t="shared" si="37"/>
        <v>20.040346808618612</v>
      </c>
      <c r="BG24" s="20">
        <f t="shared" si="7"/>
        <v>159.39654402501074</v>
      </c>
      <c r="BH24" s="59">
        <f t="shared" si="8"/>
        <v>378.25407240088509</v>
      </c>
      <c r="BI24" s="59">
        <f ca="1">AVERAGE(OFFSET($BH$3,0,0,'Données projet'!$E$11+1,1))-AVERAGE(OFFSET($H$3,0,0,'Données projet'!$E$11+1,1))</f>
        <v>492.39485179035256</v>
      </c>
      <c r="BJ24" s="59">
        <f t="shared" si="38"/>
        <v>297.32483725004124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16.566710661304302</v>
      </c>
      <c r="CA24" s="13">
        <f t="shared" si="39"/>
        <v>5.5064189146038656</v>
      </c>
      <c r="CB24" s="20">
        <f t="shared" si="10"/>
        <v>38.444034011373397</v>
      </c>
      <c r="CC24" s="59">
        <f t="shared" si="11"/>
        <v>257.30156238724777</v>
      </c>
      <c r="CD24" s="59">
        <f ca="1">AVERAGE(OFFSET($CC$3,0,0,'Données projet'!$E$12+1,1))-AVERAGE(OFFSET($H$3,0,0,'Données projet'!$E$12+1,1))</f>
        <v>260.51631161522039</v>
      </c>
      <c r="CE24" s="59">
        <f t="shared" si="40"/>
        <v>171.3469666102674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20.2</v>
      </c>
      <c r="CT24" s="12">
        <f>IF('Données projet'!$A$140&gt;35,CT23+CS24-DB23,IF(A24&lt;'Données projet'!$A$140,$CQ$205^A24,IF(A24='Données projet'!$A$140,'Données projet'!$B$140,CT23+CS24-DB23)))</f>
        <v>144.20000000000002</v>
      </c>
      <c r="CU24" s="17">
        <f>CT24*VLOOKUP('Données projet'!$B$13,Paramètres!$A$1:$I$89,3,0)*VLOOKUP('Données projet'!$B$13,Paramètres!$A$1:$I$89,5,0)</f>
        <v>86.231600000000014</v>
      </c>
      <c r="CV24" s="13">
        <f t="shared" si="41"/>
        <v>23.65412759312937</v>
      </c>
      <c r="CW24" s="20">
        <f t="shared" si="13"/>
        <v>191.38430889136703</v>
      </c>
      <c r="CX24" s="59">
        <f t="shared" si="14"/>
        <v>410.24183726724141</v>
      </c>
      <c r="CY24" s="59">
        <f ca="1">AVERAGE(OFFSET($CX$3,0,0,'Données projet'!$E$13+1,1))-AVERAGE(OFFSET($H$3,0,0,'Données projet'!$E$13+1,1))</f>
        <v>301.2688576786212</v>
      </c>
      <c r="CZ24" s="59">
        <f t="shared" si="42"/>
        <v>417.62172165132927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4.1733446306696127</v>
      </c>
      <c r="DG24" s="21">
        <f>EXP(-LN(2)/25)*DG23+(1-EXP(-LN(2)/25))/(LN(2)/25)*Calculateur!DB24*Calculateur!DD24*VLOOKUP('Données projet'!$B$13,Paramètres!$A$1:$I$89,3,0)*0.475*44/12</f>
        <v>9.2573577930730142</v>
      </c>
      <c r="DH24" s="21">
        <f>EXP(-LN(2)/2)*DH23+(1-EXP(-LN(2)/2))/(LN(2)/2)*DB24*DE24*VLOOKUP('Données projet'!$B$13,Paramètres!$A$1:$I$89,3,0)*0.475*44/12</f>
        <v>9.5022676648285476</v>
      </c>
      <c r="DI24" s="22">
        <f t="shared" si="15"/>
        <v>22.932970088571174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5.666666666666667</v>
      </c>
      <c r="N25" s="13">
        <f>IF('Données projet'!$A$36&gt;35,N24+M25-V24,IF(A25&lt;'Données projet'!$A$36,$K$205^A25,IF(A25='Données projet'!$A$36,'Données projet'!$B$36,N24+M25-V24)))</f>
        <v>43.217788752441109</v>
      </c>
      <c r="O25" s="13">
        <f>N25*VLOOKUP('Données projet'!$B$9,Paramètres!$A$1:$I$89,3,0)*VLOOKUP('Données projet'!$B$9,Paramètres!$A$1:$I$89,5,0)</f>
        <v>20.22592513614244</v>
      </c>
      <c r="P25" s="13">
        <f t="shared" si="33"/>
        <v>6.5682961065488277</v>
      </c>
      <c r="Q25" s="20">
        <f t="shared" si="2"/>
        <v>46.666601997687287</v>
      </c>
      <c r="R25" s="59">
        <f t="shared" si="0"/>
        <v>267.8475159011557</v>
      </c>
      <c r="S25" s="59">
        <f ca="1">AVERAGE(OFFSET($R$3,0,0,'Données projet'!$E$9+1,1))-AVERAGE(OFFSET($H$3,0,0,'Données projet'!$E$9+1,1))</f>
        <v>167.82976403567059</v>
      </c>
      <c r="T25" s="59">
        <f t="shared" si="34"/>
        <v>232.70925470547317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</v>
      </c>
      <c r="AI25" s="13">
        <f>IF('Données projet'!$A$62&gt;35,AI24+AH25-AQ24,IF(A25&lt;'Données projet'!$A$62,$AF$205^A25,IF(A25='Données projet'!$A$62,'Données projet'!$B$62,AI24+AH25-AQ24)))</f>
        <v>85</v>
      </c>
      <c r="AJ25" s="13">
        <f>AI25*VLOOKUP('Données projet'!$B$10,Paramètres!$A$1:$I$89,3,0)*VLOOKUP('Données projet'!$B$10,Paramètres!$A$1:$I$89,5,0)</f>
        <v>86.19</v>
      </c>
      <c r="AK25" s="13">
        <f t="shared" si="35"/>
        <v>23.644044315518833</v>
      </c>
      <c r="AL25" s="20">
        <f t="shared" si="4"/>
        <v>191.29429384952866</v>
      </c>
      <c r="AM25" s="59">
        <f t="shared" si="5"/>
        <v>412.47520775299705</v>
      </c>
      <c r="AN25" s="59">
        <f ca="1">AVERAGE(OFFSET($AM$3,0,0,'Données projet'!$E$10+1,1))-AVERAGE(OFFSET($H$3,0,0,'Données projet'!$E$10+1,1))</f>
        <v>542.51810435067659</v>
      </c>
      <c r="AO25" s="59">
        <f t="shared" si="36"/>
        <v>325.7263575945085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</v>
      </c>
      <c r="BD25" s="12">
        <f>IF('Données projet'!$A$88&gt;35,BD24+BC25-BL24,IF(A25&lt;'Données projet'!$A$88,$BA$205^A25,IF(A25='Données projet'!$A$88,'Données projet'!$B$88,BD24+BC25-BL24)))</f>
        <v>85</v>
      </c>
      <c r="BE25" s="13">
        <f>BD25*VLOOKUP('Données projet'!$B$11,Paramètres!$A$1:$I$89,3,0)*VLOOKUP('Données projet'!$B$11,Paramètres!$A$1:$I$89,5,0)</f>
        <v>76.908000000000001</v>
      </c>
      <c r="BF25" s="13">
        <f t="shared" si="37"/>
        <v>21.379448490435635</v>
      </c>
      <c r="BG25" s="20">
        <f t="shared" si="7"/>
        <v>171.18397278750874</v>
      </c>
      <c r="BH25" s="59">
        <f t="shared" si="8"/>
        <v>392.36488669097713</v>
      </c>
      <c r="BI25" s="59">
        <f ca="1">AVERAGE(OFFSET($BH$3,0,0,'Données projet'!$E$11+1,1))-AVERAGE(OFFSET($H$3,0,0,'Données projet'!$E$11+1,1))</f>
        <v>492.39485179035256</v>
      </c>
      <c r="BJ25" s="59">
        <f t="shared" si="38"/>
        <v>297.32483725004124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18.981089523651683</v>
      </c>
      <c r="CA25" s="13">
        <f t="shared" si="39"/>
        <v>6.2097858296733257</v>
      </c>
      <c r="CB25" s="20">
        <f t="shared" si="10"/>
        <v>43.874107907041058</v>
      </c>
      <c r="CC25" s="59">
        <f t="shared" si="11"/>
        <v>265.05502181050946</v>
      </c>
      <c r="CD25" s="59">
        <f ca="1">AVERAGE(OFFSET($CC$3,0,0,'Données projet'!$E$12+1,1))-AVERAGE(OFFSET($H$3,0,0,'Données projet'!$E$12+1,1))</f>
        <v>260.51631161522039</v>
      </c>
      <c r="CE25" s="59">
        <f t="shared" si="40"/>
        <v>171.3469666102674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20.2</v>
      </c>
      <c r="CT25" s="12">
        <f>IF('Données projet'!$A$140&gt;35,CT24+CS25-DB24,IF(A25&lt;'Données projet'!$A$140,$CQ$205^A25,IF(A25='Données projet'!$A$140,'Données projet'!$B$140,CT24+CS25-DB24)))</f>
        <v>164.4</v>
      </c>
      <c r="CU25" s="17">
        <f>CT25*VLOOKUP('Données projet'!$B$13,Paramètres!$A$1:$I$89,3,0)*VLOOKUP('Données projet'!$B$13,Paramètres!$A$1:$I$89,5,0)</f>
        <v>98.311200000000014</v>
      </c>
      <c r="CV25" s="13">
        <f t="shared" si="41"/>
        <v>26.559266282665902</v>
      </c>
      <c r="CW25" s="20">
        <f t="shared" si="13"/>
        <v>217.48272877564315</v>
      </c>
      <c r="CX25" s="59">
        <f t="shared" si="14"/>
        <v>438.66364267911155</v>
      </c>
      <c r="CY25" s="59">
        <f ca="1">AVERAGE(OFFSET($CX$3,0,0,'Données projet'!$E$13+1,1))-AVERAGE(OFFSET($H$3,0,0,'Données projet'!$E$13+1,1))</f>
        <v>301.2688576786212</v>
      </c>
      <c r="CZ25" s="59">
        <f t="shared" si="42"/>
        <v>417.62172165132927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4.0915078879510602</v>
      </c>
      <c r="DG25" s="21">
        <f>EXP(-LN(2)/25)*DG24+(1-EXP(-LN(2)/25))/(LN(2)/25)*Calculateur!DB25*Calculateur!DD25*VLOOKUP('Données projet'!$B$13,Paramètres!$A$1:$I$89,3,0)*0.475*44/12</f>
        <v>9.0042148573981446</v>
      </c>
      <c r="DH25" s="21">
        <f>EXP(-LN(2)/2)*DH24+(1-EXP(-LN(2)/2))/(LN(2)/2)*DB25*DE25*VLOOKUP('Données projet'!$B$13,Paramètres!$A$1:$I$89,3,0)*0.475*44/12</f>
        <v>6.7191179024499261</v>
      </c>
      <c r="DI25" s="22">
        <f t="shared" si="15"/>
        <v>19.81484064779913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5.666666666666667</v>
      </c>
      <c r="N26" s="13">
        <f>IF('Données projet'!$A$36&gt;35,N25+M26-V25,IF(A26&lt;'Données projet'!$A$36,$K$205^A26,IF(A26='Données projet'!$A$36,'Données projet'!$B$36,N25+M26-V25)))</f>
        <v>51.287418485604626</v>
      </c>
      <c r="O26" s="13">
        <f>N26*VLOOKUP('Données projet'!$B$9,Paramètres!$A$1:$I$89,3,0)*VLOOKUP('Données projet'!$B$9,Paramètres!$A$1:$I$89,5,0)</f>
        <v>24.002511851262966</v>
      </c>
      <c r="P26" s="13">
        <f t="shared" si="33"/>
        <v>7.6409415693559897</v>
      </c>
      <c r="Q26" s="20">
        <f t="shared" si="2"/>
        <v>55.112348040911343</v>
      </c>
      <c r="R26" s="59">
        <f t="shared" si="0"/>
        <v>278.59754475045781</v>
      </c>
      <c r="S26" s="59">
        <f ca="1">AVERAGE(OFFSET($R$3,0,0,'Données projet'!$E$9+1,1))-AVERAGE(OFFSET($H$3,0,0,'Données projet'!$E$9+1,1))</f>
        <v>167.82976403567059</v>
      </c>
      <c r="T26" s="59">
        <f t="shared" si="34"/>
        <v>232.70925470547317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</v>
      </c>
      <c r="AI26" s="13">
        <f>IF('Données projet'!$A$62&gt;35,AI25+AH26-AQ25,IF(A26&lt;'Données projet'!$A$62,$AF$205^A26,IF(A26='Données projet'!$A$62,'Données projet'!$B$62,AI25+AH26-AQ25)))</f>
        <v>91</v>
      </c>
      <c r="AJ26" s="13">
        <f>AI26*VLOOKUP('Données projet'!$B$10,Paramètres!$A$1:$I$89,3,0)*VLOOKUP('Données projet'!$B$10,Paramètres!$A$1:$I$89,5,0)</f>
        <v>92.274000000000001</v>
      </c>
      <c r="AK26" s="13">
        <f t="shared" si="35"/>
        <v>25.112860036087575</v>
      </c>
      <c r="AL26" s="20">
        <f t="shared" si="4"/>
        <v>204.4487812295192</v>
      </c>
      <c r="AM26" s="59">
        <f t="shared" si="5"/>
        <v>427.9339779390657</v>
      </c>
      <c r="AN26" s="59">
        <f ca="1">AVERAGE(OFFSET($AM$3,0,0,'Données projet'!$E$10+1,1))-AVERAGE(OFFSET($H$3,0,0,'Données projet'!$E$10+1,1))</f>
        <v>542.51810435067659</v>
      </c>
      <c r="AO26" s="59">
        <f t="shared" si="36"/>
        <v>325.7263575945085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</v>
      </c>
      <c r="BD26" s="12">
        <f>IF('Données projet'!$A$88&gt;35,BD25+BC26-BL25,IF(A26&lt;'Données projet'!$A$88,$BA$205^A26,IF(A26='Données projet'!$A$88,'Données projet'!$B$88,BD25+BC26-BL25)))</f>
        <v>91</v>
      </c>
      <c r="BE26" s="13">
        <f>BD26*VLOOKUP('Données projet'!$B$11,Paramètres!$A$1:$I$89,3,0)*VLOOKUP('Données projet'!$B$11,Paramètres!$A$1:$I$89,5,0)</f>
        <v>82.336799999999997</v>
      </c>
      <c r="BF26" s="13">
        <f t="shared" si="37"/>
        <v>22.707582950885364</v>
      </c>
      <c r="BG26" s="20">
        <f t="shared" si="7"/>
        <v>182.95230030612535</v>
      </c>
      <c r="BH26" s="59">
        <f t="shared" si="8"/>
        <v>406.43749701567185</v>
      </c>
      <c r="BI26" s="59">
        <f ca="1">AVERAGE(OFFSET($BH$3,0,0,'Données projet'!$E$11+1,1))-AVERAGE(OFFSET($H$3,0,0,'Données projet'!$E$11+1,1))</f>
        <v>492.39485179035256</v>
      </c>
      <c r="BJ26" s="59">
        <f t="shared" si="38"/>
        <v>297.32483725004124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21.747332157276574</v>
      </c>
      <c r="CA26" s="13">
        <f t="shared" si="39"/>
        <v>7.002997891813278</v>
      </c>
      <c r="CB26" s="20">
        <f t="shared" si="10"/>
        <v>50.073491502164835</v>
      </c>
      <c r="CC26" s="59">
        <f t="shared" si="11"/>
        <v>273.55868821171134</v>
      </c>
      <c r="CD26" s="59">
        <f ca="1">AVERAGE(OFFSET($CC$3,0,0,'Données projet'!$E$12+1,1))-AVERAGE(OFFSET($H$3,0,0,'Données projet'!$E$12+1,1))</f>
        <v>260.51631161522039</v>
      </c>
      <c r="CE26" s="59">
        <f t="shared" si="40"/>
        <v>171.3469666102674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20.2</v>
      </c>
      <c r="CT26" s="12">
        <f>IF('Données projet'!$A$140&gt;35,CT25+CS26-DB25,IF(A26&lt;'Données projet'!$A$140,$CQ$205^A26,IF(A26='Données projet'!$A$140,'Données projet'!$B$140,CT25+CS26-DB25)))</f>
        <v>184.6</v>
      </c>
      <c r="CU26" s="17">
        <f>CT26*VLOOKUP('Données projet'!$B$13,Paramètres!$A$1:$I$89,3,0)*VLOOKUP('Données projet'!$B$13,Paramètres!$A$1:$I$89,5,0)</f>
        <v>110.3908</v>
      </c>
      <c r="CV26" s="13">
        <f t="shared" si="41"/>
        <v>29.423041087469858</v>
      </c>
      <c r="CW26" s="20">
        <f t="shared" si="13"/>
        <v>243.50910656067663</v>
      </c>
      <c r="CX26" s="59">
        <f t="shared" si="14"/>
        <v>466.9943032702231</v>
      </c>
      <c r="CY26" s="59">
        <f ca="1">AVERAGE(OFFSET($CX$3,0,0,'Données projet'!$E$13+1,1))-AVERAGE(OFFSET($H$3,0,0,'Données projet'!$E$13+1,1))</f>
        <v>301.2688576786212</v>
      </c>
      <c r="CZ26" s="59">
        <f t="shared" si="42"/>
        <v>417.62172165132927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4.0112759138417342</v>
      </c>
      <c r="DG26" s="21">
        <f>EXP(-LN(2)/25)*DG25+(1-EXP(-LN(2)/25))/(LN(2)/25)*Calculateur!DB26*Calculateur!DD26*VLOOKUP('Données projet'!$B$13,Paramètres!$A$1:$I$89,3,0)*0.475*44/12</f>
        <v>8.7579941286115126</v>
      </c>
      <c r="DH26" s="21">
        <f>EXP(-LN(2)/2)*DH25+(1-EXP(-LN(2)/2))/(LN(2)/2)*DB26*DE26*VLOOKUP('Données projet'!$B$13,Paramètres!$A$1:$I$89,3,0)*0.475*44/12</f>
        <v>4.7511338324142747</v>
      </c>
      <c r="DI26" s="22">
        <f t="shared" si="15"/>
        <v>17.520403874867522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5.666666666666667</v>
      </c>
      <c r="N27" s="13">
        <f>IF('Données projet'!$A$36&gt;35,N26+M27-V26,IF(A27&lt;'Données projet'!$A$36,$K$205^A27,IF(A27='Données projet'!$A$36,'Données projet'!$B$36,N26+M27-V26)))</f>
        <v>60.863810270000563</v>
      </c>
      <c r="O27" s="13">
        <f>N27*VLOOKUP('Données projet'!$B$9,Paramètres!$A$1:$I$89,3,0)*VLOOKUP('Données projet'!$B$9,Paramètres!$A$1:$I$89,5,0)</f>
        <v>28.484263206360264</v>
      </c>
      <c r="P27" s="13">
        <f t="shared" si="33"/>
        <v>8.8887570108329133</v>
      </c>
      <c r="Q27" s="20">
        <f t="shared" si="2"/>
        <v>65.091343544944792</v>
      </c>
      <c r="R27" s="59">
        <f t="shared" si="0"/>
        <v>290.86205172856461</v>
      </c>
      <c r="S27" s="59">
        <f ca="1">AVERAGE(OFFSET($R$3,0,0,'Données projet'!$E$9+1,1))-AVERAGE(OFFSET($H$3,0,0,'Données projet'!$E$9+1,1))</f>
        <v>167.82976403567059</v>
      </c>
      <c r="T27" s="59">
        <f t="shared" si="34"/>
        <v>232.70925470547317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</v>
      </c>
      <c r="AI27" s="13">
        <f>IF('Données projet'!$A$62&gt;35,AI26+AH27-AQ26,IF(A27&lt;'Données projet'!$A$62,$AF$205^A27,IF(A27='Données projet'!$A$62,'Données projet'!$B$62,AI26+AH27-AQ26)))</f>
        <v>97</v>
      </c>
      <c r="AJ27" s="13">
        <f>AI27*VLOOKUP('Données projet'!$B$10,Paramètres!$A$1:$I$89,3,0)*VLOOKUP('Données projet'!$B$10,Paramètres!$A$1:$I$89,5,0)</f>
        <v>98.358000000000004</v>
      </c>
      <c r="AK27" s="13">
        <f t="shared" si="35"/>
        <v>26.570437554143126</v>
      </c>
      <c r="AL27" s="20">
        <f t="shared" si="4"/>
        <v>217.58369540679928</v>
      </c>
      <c r="AM27" s="59">
        <f t="shared" si="5"/>
        <v>443.35440359041911</v>
      </c>
      <c r="AN27" s="59">
        <f ca="1">AVERAGE(OFFSET($AM$3,0,0,'Données projet'!$E$10+1,1))-AVERAGE(OFFSET($H$3,0,0,'Données projet'!$E$10+1,1))</f>
        <v>542.51810435067659</v>
      </c>
      <c r="AO27" s="59">
        <f t="shared" si="36"/>
        <v>325.7263575945085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</v>
      </c>
      <c r="BD27" s="12">
        <f>IF('Données projet'!$A$88&gt;35,BD26+BC27-BL26,IF(A27&lt;'Données projet'!$A$88,$BA$205^A27,IF(A27='Données projet'!$A$88,'Données projet'!$B$88,BD26+BC27-BL26)))</f>
        <v>97</v>
      </c>
      <c r="BE27" s="13">
        <f>BD27*VLOOKUP('Données projet'!$B$11,Paramètres!$A$1:$I$89,3,0)*VLOOKUP('Données projet'!$B$11,Paramètres!$A$1:$I$89,5,0)</f>
        <v>87.765600000000006</v>
      </c>
      <c r="BF27" s="13">
        <f t="shared" si="37"/>
        <v>24.025555589247954</v>
      </c>
      <c r="BG27" s="20">
        <f t="shared" si="7"/>
        <v>194.7029293179402</v>
      </c>
      <c r="BH27" s="59">
        <f t="shared" si="8"/>
        <v>420.47363750156001</v>
      </c>
      <c r="BI27" s="59">
        <f ca="1">AVERAGE(OFFSET($BH$3,0,0,'Données projet'!$E$11+1,1))-AVERAGE(OFFSET($H$3,0,0,'Données projet'!$E$11+1,1))</f>
        <v>492.39485179035256</v>
      </c>
      <c r="BJ27" s="59">
        <f t="shared" si="38"/>
        <v>297.32483725004124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24.91671805085759</v>
      </c>
      <c r="CA27" s="13">
        <f t="shared" si="39"/>
        <v>7.8975315442273644</v>
      </c>
      <c r="CB27" s="20">
        <f t="shared" si="10"/>
        <v>57.151484711439622</v>
      </c>
      <c r="CC27" s="59">
        <f t="shared" si="11"/>
        <v>282.92219289505942</v>
      </c>
      <c r="CD27" s="59">
        <f ca="1">AVERAGE(OFFSET($CC$3,0,0,'Données projet'!$E$12+1,1))-AVERAGE(OFFSET($H$3,0,0,'Données projet'!$E$12+1,1))</f>
        <v>260.51631161522039</v>
      </c>
      <c r="CE27" s="59">
        <f t="shared" si="40"/>
        <v>171.3469666102674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20.2</v>
      </c>
      <c r="CT27" s="12">
        <f>IF('Données projet'!$A$140&gt;35,CT26+CS27-DB26,IF(A27&lt;'Données projet'!$A$140,$CQ$205^A27,IF(A27='Données projet'!$A$140,'Données projet'!$B$140,CT26+CS27-DB26)))</f>
        <v>204.79999999999998</v>
      </c>
      <c r="CU27" s="17">
        <f>CT27*VLOOKUP('Données projet'!$B$13,Paramètres!$A$1:$I$89,3,0)*VLOOKUP('Données projet'!$B$13,Paramètres!$A$1:$I$89,5,0)</f>
        <v>122.4704</v>
      </c>
      <c r="CV27" s="13">
        <f t="shared" si="41"/>
        <v>32.250494410521227</v>
      </c>
      <c r="CW27" s="20">
        <f t="shared" si="13"/>
        <v>269.47222443165776</v>
      </c>
      <c r="CX27" s="59">
        <f t="shared" si="14"/>
        <v>495.2429326152776</v>
      </c>
      <c r="CY27" s="59">
        <f ca="1">AVERAGE(OFFSET($CX$3,0,0,'Données projet'!$E$13+1,1))-AVERAGE(OFFSET($H$3,0,0,'Données projet'!$E$13+1,1))</f>
        <v>301.2688576786212</v>
      </c>
      <c r="CZ27" s="59">
        <f t="shared" si="42"/>
        <v>417.62172165132927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3.9326172398080201</v>
      </c>
      <c r="DG27" s="21">
        <f>EXP(-LN(2)/25)*DG26+(1-EXP(-LN(2)/25))/(LN(2)/25)*Calculateur!DB27*Calculateur!DD27*VLOOKUP('Données projet'!$B$13,Paramètres!$A$1:$I$89,3,0)*0.475*44/12</f>
        <v>8.5185063186017356</v>
      </c>
      <c r="DH27" s="21">
        <f>EXP(-LN(2)/2)*DH26+(1-EXP(-LN(2)/2))/(LN(2)/2)*DB27*DE27*VLOOKUP('Données projet'!$B$13,Paramètres!$A$1:$I$89,3,0)*0.475*44/12</f>
        <v>3.3595589512249635</v>
      </c>
      <c r="DI27" s="22">
        <f t="shared" si="15"/>
        <v>15.810682509634718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5.666666666666667</v>
      </c>
      <c r="N28" s="13">
        <f>IF('Données projet'!$A$36&gt;35,N27+M28-V27,IF(A28&lt;'Données projet'!$A$36,$K$205^A28,IF(A28='Données projet'!$A$36,'Données projet'!$B$36,N27+M28-V27)))</f>
        <v>72.228306862868891</v>
      </c>
      <c r="O28" s="13">
        <f>N28*VLOOKUP('Données projet'!$B$9,Paramètres!$A$1:$I$89,3,0)*VLOOKUP('Données projet'!$B$9,Paramètres!$A$1:$I$89,5,0)</f>
        <v>33.802847611822642</v>
      </c>
      <c r="P28" s="13">
        <f t="shared" si="33"/>
        <v>10.340348827492802</v>
      </c>
      <c r="Q28" s="20">
        <f t="shared" si="2"/>
        <v>76.882733798474405</v>
      </c>
      <c r="R28" s="59">
        <f t="shared" si="0"/>
        <v>304.92050776480653</v>
      </c>
      <c r="S28" s="59">
        <f ca="1">AVERAGE(OFFSET($R$3,0,0,'Données projet'!$E$9+1,1))-AVERAGE(OFFSET($H$3,0,0,'Données projet'!$E$9+1,1))</f>
        <v>167.82976403567059</v>
      </c>
      <c r="T28" s="59">
        <f t="shared" si="34"/>
        <v>232.70925470547317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6</v>
      </c>
      <c r="AH28" s="12">
        <f t="array" ref="AH28">INDEX(AG:AG,MIN(IF(ISNUMBER(AG28:AG224),ROW(AG28:AG224),"")))</f>
        <v>6</v>
      </c>
      <c r="AI28" s="13">
        <f>IF('Données projet'!$A$62&gt;35,AI27+AH28-AQ27,IF(A28&lt;'Données projet'!$A$62,$AF$205^A28,IF(A28='Données projet'!$A$62,'Données projet'!$B$62,AI27+AH28-AQ27)))</f>
        <v>103</v>
      </c>
      <c r="AJ28" s="13">
        <f>AI28*VLOOKUP('Données projet'!$B$10,Paramètres!$A$1:$I$89,3,0)*VLOOKUP('Données projet'!$B$10,Paramètres!$A$1:$I$89,5,0)</f>
        <v>104.44200000000001</v>
      </c>
      <c r="AK28" s="13">
        <f t="shared" si="35"/>
        <v>28.017551161766285</v>
      </c>
      <c r="AL28" s="20">
        <f t="shared" si="4"/>
        <v>230.70038494007625</v>
      </c>
      <c r="AM28" s="59">
        <f t="shared" si="5"/>
        <v>458.73815890640833</v>
      </c>
      <c r="AN28" s="59">
        <f ca="1">AVERAGE(OFFSET($AM$3,0,0,'Données projet'!$E$10+1,1))-AVERAGE(OFFSET($H$3,0,0,'Données projet'!$E$10+1,1))</f>
        <v>542.51810435067659</v>
      </c>
      <c r="AO28" s="59">
        <f t="shared" si="36"/>
        <v>325.7263575945085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6</v>
      </c>
      <c r="BC28" s="12">
        <f t="array" ref="BC28">INDEX(BB:BB,MIN(IF(ISNUMBER(BB28:BB224),ROW(BB28:BB224),"")))</f>
        <v>6</v>
      </c>
      <c r="BD28" s="12">
        <f>IF('Données projet'!$A$88&gt;35,BD27+BC28-BL27,IF(A28&lt;'Données projet'!$A$88,$BA$205^A28,IF(A28='Données projet'!$A$88,'Données projet'!$B$88,BD27+BC28-BL27)))</f>
        <v>103</v>
      </c>
      <c r="BE28" s="13">
        <f>BD28*VLOOKUP('Données projet'!$B$11,Paramètres!$A$1:$I$89,3,0)*VLOOKUP('Données projet'!$B$11,Paramètres!$A$1:$I$89,5,0)</f>
        <v>93.194400000000002</v>
      </c>
      <c r="BF28" s="13">
        <f t="shared" si="37"/>
        <v>25.33406653691528</v>
      </c>
      <c r="BG28" s="20">
        <f t="shared" si="7"/>
        <v>206.43707921846078</v>
      </c>
      <c r="BH28" s="59">
        <f t="shared" si="8"/>
        <v>434.47485318479289</v>
      </c>
      <c r="BI28" s="59">
        <f ca="1">AVERAGE(OFFSET($BH$3,0,0,'Données projet'!$E$11+1,1))-AVERAGE(OFFSET($H$3,0,0,'Données projet'!$E$11+1,1))</f>
        <v>492.39485179035256</v>
      </c>
      <c r="BJ28" s="59">
        <f t="shared" si="38"/>
        <v>297.32483725004124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28.548000000000002</v>
      </c>
      <c r="CA28" s="13">
        <f t="shared" si="39"/>
        <v>8.9063291829603273</v>
      </c>
      <c r="CB28" s="20">
        <f t="shared" si="10"/>
        <v>65.232956660322571</v>
      </c>
      <c r="CC28" s="59">
        <f t="shared" si="11"/>
        <v>293.27073062665465</v>
      </c>
      <c r="CD28" s="59">
        <f ca="1">AVERAGE(OFFSET($CC$3,0,0,'Données projet'!$E$12+1,1))-AVERAGE(OFFSET($H$3,0,0,'Données projet'!$E$12+1,1))</f>
        <v>260.51631161522039</v>
      </c>
      <c r="CE28" s="59">
        <f t="shared" si="40"/>
        <v>171.3469666102674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225</v>
      </c>
      <c r="CR28" s="12">
        <f>VLOOKUP(A28,'Données projet'!$A$139:$I$159,9,0)</f>
        <v>20.2</v>
      </c>
      <c r="CS28" s="12">
        <f t="array" ref="CS28">INDEX(CR:CR,MIN(IF(ISNUMBER(CR28:CR224),ROW(CR28:CR224),"")))</f>
        <v>20.2</v>
      </c>
      <c r="CT28" s="12">
        <f>IF('Données projet'!$A$140&gt;35,CT27+CS28-DB27,IF(A28&lt;'Données projet'!$A$140,$CQ$205^A28,IF(A28='Données projet'!$A$140,'Données projet'!$B$140,CT27+CS28-DB27)))</f>
        <v>224.99999999999997</v>
      </c>
      <c r="CU28" s="17">
        <f>CT28*VLOOKUP('Données projet'!$B$13,Paramètres!$A$1:$I$89,3,0)*VLOOKUP('Données projet'!$B$13,Paramètres!$A$1:$I$89,5,0)</f>
        <v>134.54999999999998</v>
      </c>
      <c r="CV28" s="13">
        <f t="shared" si="41"/>
        <v>35.045616486142094</v>
      </c>
      <c r="CW28" s="20">
        <f t="shared" si="13"/>
        <v>295.37903204669743</v>
      </c>
      <c r="CX28" s="59">
        <f t="shared" si="14"/>
        <v>523.4168060130296</v>
      </c>
      <c r="CY28" s="59">
        <f ca="1">AVERAGE(OFFSET($CX$3,0,0,'Données projet'!$E$13+1,1))-AVERAGE(OFFSET($H$3,0,0,'Données projet'!$E$13+1,1))</f>
        <v>301.2688576786212</v>
      </c>
      <c r="CZ28" s="59">
        <f t="shared" si="42"/>
        <v>417.62172165132927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56</v>
      </c>
      <c r="DC28" s="16">
        <f>IF(ISNA(VLOOKUP(A28,'Données projet'!$A$139:$I$159,5,0)),0%,VLOOKUP(A28,'Données projet'!$A$139:$I$159,5,0)*VLOOKUP('Données projet'!$B$13,Paramètres!$A$1:$I$89,7,0))</f>
        <v>9.0000000000000011E-2</v>
      </c>
      <c r="DD28" s="16">
        <f>IF(ISNA(VLOOKUP(A28,'Données projet'!$A$139:$I$159,6,0)),0%,VLOOKUP(A28,'Données projet'!$A$139:$I$159,6,0)*VLOOKUP('Données projet'!$B$13,Paramètres!$A$1:$I$89,7,0))</f>
        <v>0.20250000000000001</v>
      </c>
      <c r="DE28" s="16">
        <f>IF(ISNA(VLOOKUP(A28,'Données projet'!$A$139:$I$159,7,0)),0%,VLOOKUP(A28,'Données projet'!$A$139:$I$159,7,0))</f>
        <v>0.35</v>
      </c>
      <c r="DF28" s="21">
        <f>EXP(-LN(2)/35)*DF27+(1-EXP(-LN(2)/35))/(LN(2)/35)*DB28*DC28*VLOOKUP('Données projet'!$B$13,Paramètres!$A$1:$I$89,3,0)*0.475*44/12</f>
        <v>7.8536601579333922</v>
      </c>
      <c r="DG28" s="21">
        <f>EXP(-LN(2)/25)*DG27+(1-EXP(-LN(2)/25))/(LN(2)/25)*Calculateur!DB28*Calculateur!DD28*VLOOKUP('Données projet'!$B$13,Paramètres!$A$1:$I$89,3,0)*0.475*44/12</f>
        <v>17.246005267388156</v>
      </c>
      <c r="DH28" s="21">
        <f>EXP(-LN(2)/2)*DH27+(1-EXP(-LN(2)/2))/(LN(2)/2)*DB28*DE28*VLOOKUP('Données projet'!$B$13,Paramètres!$A$1:$I$89,3,0)*0.475*44/12</f>
        <v>15.646235229055339</v>
      </c>
      <c r="DI28" s="22">
        <f t="shared" si="15"/>
        <v>40.745900654376882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5.666666666666667</v>
      </c>
      <c r="N29" s="13">
        <f>IF('Données projet'!$A$36&gt;35,N28+M29-V28,IF(A29&lt;'Données projet'!$A$36,$K$205^A29,IF(A29='Données projet'!$A$36,'Données projet'!$B$36,N28+M29-V28)))</f>
        <v>85.714783368535649</v>
      </c>
      <c r="O29" s="13">
        <f>N29*VLOOKUP('Données projet'!$B$9,Paramètres!$A$1:$I$89,3,0)*VLOOKUP('Données projet'!$B$9,Paramètres!$A$1:$I$89,5,0)</f>
        <v>40.114518616474683</v>
      </c>
      <c r="P29" s="13">
        <f t="shared" si="33"/>
        <v>12.028995026405015</v>
      </c>
      <c r="Q29" s="20">
        <f t="shared" si="2"/>
        <v>90.816619594682138</v>
      </c>
      <c r="R29" s="59">
        <f t="shared" si="0"/>
        <v>321.1033336438723</v>
      </c>
      <c r="S29" s="59">
        <f ca="1">AVERAGE(OFFSET($R$3,0,0,'Données projet'!$E$9+1,1))-AVERAGE(OFFSET($H$3,0,0,'Données projet'!$E$9+1,1))</f>
        <v>167.82976403567059</v>
      </c>
      <c r="T29" s="59">
        <f t="shared" si="34"/>
        <v>232.70925470547317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</v>
      </c>
      <c r="AI29" s="13">
        <f>IF('Données projet'!$A$62&gt;35,AI28+AH29-AQ28,IF(A29&lt;'Données projet'!$A$62,$AF$205^A29,IF(A29='Données projet'!$A$62,'Données projet'!$B$62,AI28+AH29-AQ28)))</f>
        <v>106.6</v>
      </c>
      <c r="AJ29" s="13">
        <f>AI29*VLOOKUP('Données projet'!$B$10,Paramètres!$A$1:$I$89,3,0)*VLOOKUP('Données projet'!$B$10,Paramètres!$A$1:$I$89,5,0)</f>
        <v>108.0924</v>
      </c>
      <c r="AK29" s="13">
        <f t="shared" si="35"/>
        <v>28.881082556732348</v>
      </c>
      <c r="AL29" s="20">
        <f t="shared" si="4"/>
        <v>238.56214878630877</v>
      </c>
      <c r="AM29" s="59">
        <f t="shared" si="5"/>
        <v>468.84886283549895</v>
      </c>
      <c r="AN29" s="59">
        <f ca="1">AVERAGE(OFFSET($AM$3,0,0,'Données projet'!$E$10+1,1))-AVERAGE(OFFSET($H$3,0,0,'Données projet'!$E$10+1,1))</f>
        <v>542.51810435067659</v>
      </c>
      <c r="AO29" s="59">
        <f t="shared" si="36"/>
        <v>325.7263575945085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106.6</v>
      </c>
      <c r="BE29" s="13">
        <f>BD29*VLOOKUP('Données projet'!$B$11,Paramètres!$A$1:$I$89,3,0)*VLOOKUP('Données projet'!$B$11,Paramètres!$A$1:$I$89,5,0)</f>
        <v>96.451679999999996</v>
      </c>
      <c r="BF29" s="13">
        <f t="shared" si="37"/>
        <v>26.114890017542621</v>
      </c>
      <c r="BG29" s="20">
        <f t="shared" si="7"/>
        <v>213.47010944722004</v>
      </c>
      <c r="BH29" s="59">
        <f t="shared" si="8"/>
        <v>443.75682349641022</v>
      </c>
      <c r="BI29" s="59">
        <f ca="1">AVERAGE(OFFSET($BH$3,0,0,'Données projet'!$E$11+1,1))-AVERAGE(OFFSET($H$3,0,0,'Données projet'!$E$11+1,1))</f>
        <v>492.39485179035256</v>
      </c>
      <c r="BJ29" s="59">
        <f t="shared" si="38"/>
        <v>297.32483725004124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33.115679999999998</v>
      </c>
      <c r="CA29" s="13">
        <f t="shared" si="39"/>
        <v>10.154389597618938</v>
      </c>
      <c r="CB29" s="20">
        <f t="shared" si="10"/>
        <v>75.36203788251963</v>
      </c>
      <c r="CC29" s="59">
        <f t="shared" si="11"/>
        <v>305.6487519317098</v>
      </c>
      <c r="CD29" s="59">
        <f ca="1">AVERAGE(OFFSET($CC$3,0,0,'Données projet'!$E$12+1,1))-AVERAGE(OFFSET($H$3,0,0,'Données projet'!$E$12+1,1))</f>
        <v>260.51631161522039</v>
      </c>
      <c r="CE29" s="59">
        <f t="shared" si="40"/>
        <v>171.3469666102674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21.6</v>
      </c>
      <c r="CT29" s="12">
        <f>IF('Données projet'!$A$140&gt;35,CT28+CS29-DB28,IF(A29&lt;'Données projet'!$A$140,$CQ$205^A29,IF(A29='Données projet'!$A$140,'Données projet'!$B$140,CT28+CS29-DB28)))</f>
        <v>190.59999999999997</v>
      </c>
      <c r="CU29" s="17">
        <f>CT29*VLOOKUP('Données projet'!$B$13,Paramètres!$A$1:$I$89,3,0)*VLOOKUP('Données projet'!$B$13,Paramètres!$A$1:$I$89,5,0)</f>
        <v>113.97879999999999</v>
      </c>
      <c r="CV29" s="13">
        <f t="shared" si="41"/>
        <v>30.266473511018898</v>
      </c>
      <c r="CW29" s="20">
        <f t="shared" si="13"/>
        <v>251.22718469835789</v>
      </c>
      <c r="CX29" s="59">
        <f t="shared" si="14"/>
        <v>481.51389874754807</v>
      </c>
      <c r="CY29" s="59">
        <f ca="1">AVERAGE(OFFSET($CX$3,0,0,'Données projet'!$E$13+1,1))-AVERAGE(OFFSET($H$3,0,0,'Données projet'!$E$13+1,1))</f>
        <v>301.2688576786212</v>
      </c>
      <c r="CZ29" s="59">
        <f t="shared" si="42"/>
        <v>417.62172165132927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7.699654672496016</v>
      </c>
      <c r="DG29" s="21">
        <f>EXP(-LN(2)/25)*DG28+(1-EXP(-LN(2)/25))/(LN(2)/25)*Calculateur!DB29*Calculateur!DD29*VLOOKUP('Données projet'!$B$13,Paramètres!$A$1:$I$89,3,0)*0.475*44/12</f>
        <v>16.774412346423425</v>
      </c>
      <c r="DH29" s="21">
        <f>EXP(-LN(2)/2)*DH28+(1-EXP(-LN(2)/2))/(LN(2)/2)*DB29*DE29*VLOOKUP('Données projet'!$B$13,Paramètres!$A$1:$I$89,3,0)*0.475*44/12</f>
        <v>11.063559030504885</v>
      </c>
      <c r="DI29" s="22">
        <f t="shared" si="15"/>
        <v>35.537626049424325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5.666666666666667</v>
      </c>
      <c r="N30" s="13">
        <f>IF('Données projet'!$A$36&gt;35,N29+M30-V29,IF(A30&lt;'Données projet'!$A$36,$K$205^A30,IF(A30='Données projet'!$A$36,'Données projet'!$B$36,N29+M30-V29)))</f>
        <v>101.71945608338704</v>
      </c>
      <c r="O30" s="13">
        <f>N30*VLOOKUP('Données projet'!$B$9,Paramètres!$A$1:$I$89,3,0)*VLOOKUP('Données projet'!$B$9,Paramètres!$A$1:$I$89,5,0)</f>
        <v>47.604705447025133</v>
      </c>
      <c r="P30" s="13">
        <f t="shared" si="33"/>
        <v>13.993408129574757</v>
      </c>
      <c r="Q30" s="20">
        <f t="shared" si="2"/>
        <v>107.28338114591146</v>
      </c>
      <c r="R30" s="59">
        <f t="shared" si="0"/>
        <v>339.80122401847495</v>
      </c>
      <c r="S30" s="59">
        <f ca="1">AVERAGE(OFFSET($R$3,0,0,'Données projet'!$E$9+1,1))-AVERAGE(OFFSET($H$3,0,0,'Données projet'!$E$9+1,1))</f>
        <v>167.82976403567059</v>
      </c>
      <c r="T30" s="59">
        <f t="shared" si="34"/>
        <v>232.70925470547317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</v>
      </c>
      <c r="AI30" s="13">
        <f>IF('Données projet'!$A$62&gt;35,AI29+AH30-AQ29,IF(A30&lt;'Données projet'!$A$62,$AF$205^A30,IF(A30='Données projet'!$A$62,'Données projet'!$B$62,AI29+AH30-AQ29)))</f>
        <v>110.19999999999999</v>
      </c>
      <c r="AJ30" s="13">
        <f>AI30*VLOOKUP('Données projet'!$B$10,Paramètres!$A$1:$I$89,3,0)*VLOOKUP('Données projet'!$B$10,Paramètres!$A$1:$I$89,5,0)</f>
        <v>111.7428</v>
      </c>
      <c r="AK30" s="13">
        <f t="shared" si="35"/>
        <v>29.741225429709573</v>
      </c>
      <c r="AL30" s="20">
        <f t="shared" si="4"/>
        <v>246.4180109567441</v>
      </c>
      <c r="AM30" s="59">
        <f t="shared" si="5"/>
        <v>478.93585382930758</v>
      </c>
      <c r="AN30" s="59">
        <f ca="1">AVERAGE(OFFSET($AM$3,0,0,'Données projet'!$E$10+1,1))-AVERAGE(OFFSET($H$3,0,0,'Données projet'!$E$10+1,1))</f>
        <v>542.51810435067659</v>
      </c>
      <c r="AO30" s="59">
        <f t="shared" si="36"/>
        <v>325.7263575945085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110.19999999999999</v>
      </c>
      <c r="BE30" s="13">
        <f>BD30*VLOOKUP('Données projet'!$B$11,Paramètres!$A$1:$I$89,3,0)*VLOOKUP('Données projet'!$B$11,Paramètres!$A$1:$I$89,5,0)</f>
        <v>99.70895999999999</v>
      </c>
      <c r="BF30" s="13">
        <f t="shared" si="37"/>
        <v>26.892649524411862</v>
      </c>
      <c r="BG30" s="20">
        <f t="shared" si="7"/>
        <v>220.49780325501729</v>
      </c>
      <c r="BH30" s="59">
        <f t="shared" si="8"/>
        <v>453.01564612758079</v>
      </c>
      <c r="BI30" s="59">
        <f ca="1">AVERAGE(OFFSET($BH$3,0,0,'Données projet'!$E$11+1,1))-AVERAGE(OFFSET($H$3,0,0,'Données projet'!$E$11+1,1))</f>
        <v>492.39485179035256</v>
      </c>
      <c r="BJ30" s="59">
        <f t="shared" si="38"/>
        <v>297.32483725004124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37.683359999999993</v>
      </c>
      <c r="CA30" s="13">
        <f t="shared" si="39"/>
        <v>11.382505490682499</v>
      </c>
      <c r="CB30" s="20">
        <f t="shared" si="10"/>
        <v>85.456382396271991</v>
      </c>
      <c r="CC30" s="59">
        <f t="shared" si="11"/>
        <v>317.97422526883548</v>
      </c>
      <c r="CD30" s="59">
        <f ca="1">AVERAGE(OFFSET($CC$3,0,0,'Données projet'!$E$12+1,1))-AVERAGE(OFFSET($H$3,0,0,'Données projet'!$E$12+1,1))</f>
        <v>260.51631161522039</v>
      </c>
      <c r="CE30" s="59">
        <f t="shared" si="40"/>
        <v>171.3469666102674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21.6</v>
      </c>
      <c r="CT30" s="12">
        <f>IF('Données projet'!$A$140&gt;35,CT29+CS30-DB29,IF(A30&lt;'Données projet'!$A$140,$CQ$205^A30,IF(A30='Données projet'!$A$140,'Données projet'!$B$140,CT29+CS30-DB29)))</f>
        <v>212.19999999999996</v>
      </c>
      <c r="CU30" s="17">
        <f>CT30*VLOOKUP('Données projet'!$B$13,Paramètres!$A$1:$I$89,3,0)*VLOOKUP('Données projet'!$B$13,Paramètres!$A$1:$I$89,5,0)</f>
        <v>126.89559999999997</v>
      </c>
      <c r="CV30" s="13">
        <f t="shared" si="41"/>
        <v>33.278017701950297</v>
      </c>
      <c r="CW30" s="20">
        <f t="shared" si="13"/>
        <v>278.96905083089666</v>
      </c>
      <c r="CX30" s="59">
        <f t="shared" si="14"/>
        <v>511.48689370346017</v>
      </c>
      <c r="CY30" s="59">
        <f ca="1">AVERAGE(OFFSET($CX$3,0,0,'Données projet'!$E$13+1,1))-AVERAGE(OFFSET($H$3,0,0,'Données projet'!$E$13+1,1))</f>
        <v>301.2688576786212</v>
      </c>
      <c r="CZ30" s="59">
        <f t="shared" si="42"/>
        <v>417.62172165132927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7.5486691406939954</v>
      </c>
      <c r="DG30" s="21">
        <f>EXP(-LN(2)/25)*DG29+(1-EXP(-LN(2)/25))/(LN(2)/25)*Calculateur!DB30*Calculateur!DD30*VLOOKUP('Données projet'!$B$13,Paramètres!$A$1:$I$89,3,0)*0.475*44/12</f>
        <v>16.315715158682469</v>
      </c>
      <c r="DH30" s="21">
        <f>EXP(-LN(2)/2)*DH29+(1-EXP(-LN(2)/2))/(LN(2)/2)*DB30*DE30*VLOOKUP('Données projet'!$B$13,Paramètres!$A$1:$I$89,3,0)*0.475*44/12</f>
        <v>7.8231176145276704</v>
      </c>
      <c r="DI30" s="22">
        <f t="shared" si="15"/>
        <v>31.687501913904136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5.666666666666667</v>
      </c>
      <c r="N31" s="13">
        <f>IF('Données projet'!$A$36&gt;35,N30+M31-V30,IF(A31&lt;'Données projet'!$A$36,$K$205^A31,IF(A31='Données projet'!$A$36,'Données projet'!$B$36,N30+M31-V30)))</f>
        <v>120.71252284933438</v>
      </c>
      <c r="O31" s="13">
        <f>N31*VLOOKUP('Données projet'!$B$9,Paramètres!$A$1:$I$89,3,0)*VLOOKUP('Données projet'!$B$9,Paramètres!$A$1:$I$89,5,0)</f>
        <v>56.493460693488487</v>
      </c>
      <c r="P31" s="13">
        <f t="shared" si="33"/>
        <v>16.278622665568623</v>
      </c>
      <c r="Q31" s="20">
        <f t="shared" si="2"/>
        <v>126.74471185035777</v>
      </c>
      <c r="R31" s="59">
        <f t="shared" si="0"/>
        <v>361.47618127234188</v>
      </c>
      <c r="S31" s="59">
        <f ca="1">AVERAGE(OFFSET($R$3,0,0,'Données projet'!$E$9+1,1))-AVERAGE(OFFSET($H$3,0,0,'Données projet'!$E$9+1,1))</f>
        <v>167.82976403567059</v>
      </c>
      <c r="T31" s="59">
        <f t="shared" si="34"/>
        <v>232.70925470547317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</v>
      </c>
      <c r="AI31" s="13">
        <f>IF('Données projet'!$A$62&gt;35,AI30+AH31-AQ30,IF(A31&lt;'Données projet'!$A$62,$AF$205^A31,IF(A31='Données projet'!$A$62,'Données projet'!$B$62,AI30+AH31-AQ30)))</f>
        <v>113.79999999999998</v>
      </c>
      <c r="AJ31" s="13">
        <f>AI31*VLOOKUP('Données projet'!$B$10,Paramètres!$A$1:$I$89,3,0)*VLOOKUP('Données projet'!$B$10,Paramètres!$A$1:$I$89,5,0)</f>
        <v>115.39319999999998</v>
      </c>
      <c r="AK31" s="13">
        <f t="shared" si="35"/>
        <v>30.598103171409555</v>
      </c>
      <c r="AL31" s="20">
        <f t="shared" si="4"/>
        <v>254.26818635687155</v>
      </c>
      <c r="AM31" s="59">
        <f t="shared" si="5"/>
        <v>488.99965577885564</v>
      </c>
      <c r="AN31" s="59">
        <f ca="1">AVERAGE(OFFSET($AM$3,0,0,'Données projet'!$E$10+1,1))-AVERAGE(OFFSET($H$3,0,0,'Données projet'!$E$10+1,1))</f>
        <v>542.51810435067659</v>
      </c>
      <c r="AO31" s="59">
        <f t="shared" si="36"/>
        <v>325.7263575945085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113.79999999999998</v>
      </c>
      <c r="BE31" s="13">
        <f>BD31*VLOOKUP('Données projet'!$B$11,Paramètres!$A$1:$I$89,3,0)*VLOOKUP('Données projet'!$B$11,Paramètres!$A$1:$I$89,5,0)</f>
        <v>102.96623999999998</v>
      </c>
      <c r="BF31" s="13">
        <f t="shared" si="37"/>
        <v>27.6674566300326</v>
      </c>
      <c r="BG31" s="20">
        <f t="shared" si="7"/>
        <v>227.5203549639734</v>
      </c>
      <c r="BH31" s="59">
        <f t="shared" si="8"/>
        <v>462.25182438595749</v>
      </c>
      <c r="BI31" s="59">
        <f ca="1">AVERAGE(OFFSET($BH$3,0,0,'Données projet'!$E$11+1,1))-AVERAGE(OFFSET($H$3,0,0,'Données projet'!$E$11+1,1))</f>
        <v>492.39485179035256</v>
      </c>
      <c r="BJ31" s="59">
        <f t="shared" si="38"/>
        <v>297.32483725004124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42.251039999999989</v>
      </c>
      <c r="CA31" s="13">
        <f t="shared" si="39"/>
        <v>12.593370905616945</v>
      </c>
      <c r="CB31" s="20">
        <f t="shared" si="10"/>
        <v>95.520682327282813</v>
      </c>
      <c r="CC31" s="59">
        <f t="shared" si="11"/>
        <v>330.25215174926689</v>
      </c>
      <c r="CD31" s="59">
        <f ca="1">AVERAGE(OFFSET($CC$3,0,0,'Données projet'!$E$12+1,1))-AVERAGE(OFFSET($H$3,0,0,'Données projet'!$E$12+1,1))</f>
        <v>260.51631161522039</v>
      </c>
      <c r="CE31" s="59">
        <f t="shared" si="40"/>
        <v>171.3469666102674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21.6</v>
      </c>
      <c r="CT31" s="12">
        <f>IF('Données projet'!$A$140&gt;35,CT30+CS31-DB30,IF(A31&lt;'Données projet'!$A$140,$CQ$205^A31,IF(A31='Données projet'!$A$140,'Données projet'!$B$140,CT30+CS31-DB30)))</f>
        <v>233.79999999999995</v>
      </c>
      <c r="CU31" s="17">
        <f>CT31*VLOOKUP('Données projet'!$B$13,Paramètres!$A$1:$I$89,3,0)*VLOOKUP('Données projet'!$B$13,Paramètres!$A$1:$I$89,5,0)</f>
        <v>139.8124</v>
      </c>
      <c r="CV31" s="13">
        <f t="shared" si="41"/>
        <v>36.254025616047976</v>
      </c>
      <c r="CW31" s="20">
        <f t="shared" si="13"/>
        <v>306.64902461461685</v>
      </c>
      <c r="CX31" s="59">
        <f t="shared" si="14"/>
        <v>541.38049403660091</v>
      </c>
      <c r="CY31" s="59">
        <f ca="1">AVERAGE(OFFSET($CX$3,0,0,'Données projet'!$E$13+1,1))-AVERAGE(OFFSET($H$3,0,0,'Données projet'!$E$13+1,1))</f>
        <v>301.2688576786212</v>
      </c>
      <c r="CZ31" s="59">
        <f t="shared" si="42"/>
        <v>417.62172165132927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7.4006443430785316</v>
      </c>
      <c r="DG31" s="21">
        <f>EXP(-LN(2)/25)*DG30+(1-EXP(-LN(2)/25))/(LN(2)/25)*Calculateur!DB31*Calculateur!DD31*VLOOKUP('Données projet'!$B$13,Paramètres!$A$1:$I$89,3,0)*0.475*44/12</f>
        <v>15.869561069662126</v>
      </c>
      <c r="DH31" s="21">
        <f>EXP(-LN(2)/2)*DH30+(1-EXP(-LN(2)/2))/(LN(2)/2)*DB31*DE31*VLOOKUP('Données projet'!$B$13,Paramètres!$A$1:$I$89,3,0)*0.475*44/12</f>
        <v>5.5317795152524436</v>
      </c>
      <c r="DI31" s="22">
        <f t="shared" si="15"/>
        <v>28.801984927993104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5.666666666666667</v>
      </c>
      <c r="N32" s="13">
        <f>IF('Données projet'!$A$36&gt;35,N31+M32-V31,IF(A32&lt;'Données projet'!$A$36,$K$205^A32,IF(A32='Données projet'!$A$36,'Données projet'!$B$36,N31+M32-V31)))</f>
        <v>143.25197689521377</v>
      </c>
      <c r="O32" s="13">
        <f>N32*VLOOKUP('Données projet'!$B$9,Paramètres!$A$1:$I$89,3,0)*VLOOKUP('Données projet'!$B$9,Paramètres!$A$1:$I$89,5,0)</f>
        <v>67.041925186960043</v>
      </c>
      <c r="P32" s="13">
        <f t="shared" si="33"/>
        <v>18.93702759429323</v>
      </c>
      <c r="Q32" s="20">
        <f t="shared" si="2"/>
        <v>149.74667609401612</v>
      </c>
      <c r="R32" s="59">
        <f t="shared" si="0"/>
        <v>386.67457341679199</v>
      </c>
      <c r="S32" s="59">
        <f ca="1">AVERAGE(OFFSET($R$3,0,0,'Données projet'!$E$9+1,1))-AVERAGE(OFFSET($H$3,0,0,'Données projet'!$E$9+1,1))</f>
        <v>167.82976403567059</v>
      </c>
      <c r="T32" s="59">
        <f t="shared" si="34"/>
        <v>232.70925470547317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</v>
      </c>
      <c r="AI32" s="13">
        <f>IF('Données projet'!$A$62&gt;35,AI31+AH32-AQ31,IF(A32&lt;'Données projet'!$A$62,$AF$205^A32,IF(A32='Données projet'!$A$62,'Données projet'!$B$62,AI31+AH32-AQ31)))</f>
        <v>117.39999999999998</v>
      </c>
      <c r="AJ32" s="13">
        <f>AI32*VLOOKUP('Données projet'!$B$10,Paramètres!$A$1:$I$89,3,0)*VLOOKUP('Données projet'!$B$10,Paramètres!$A$1:$I$89,5,0)</f>
        <v>119.04359999999998</v>
      </c>
      <c r="AK32" s="13">
        <f t="shared" si="35"/>
        <v>31.451830922409044</v>
      </c>
      <c r="AL32" s="20">
        <f t="shared" si="4"/>
        <v>262.11287552319567</v>
      </c>
      <c r="AM32" s="59">
        <f t="shared" si="5"/>
        <v>499.0407728459715</v>
      </c>
      <c r="AN32" s="59">
        <f ca="1">AVERAGE(OFFSET($AM$3,0,0,'Données projet'!$E$10+1,1))-AVERAGE(OFFSET($H$3,0,0,'Données projet'!$E$10+1,1))</f>
        <v>542.51810435067659</v>
      </c>
      <c r="AO32" s="59">
        <f t="shared" si="36"/>
        <v>325.7263575945085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117.39999999999998</v>
      </c>
      <c r="BE32" s="13">
        <f>BD32*VLOOKUP('Données projet'!$B$11,Paramètres!$A$1:$I$89,3,0)*VLOOKUP('Données projet'!$B$11,Paramètres!$A$1:$I$89,5,0)</f>
        <v>106.22351999999998</v>
      </c>
      <c r="BF32" s="13">
        <f t="shared" si="37"/>
        <v>28.439415446966855</v>
      </c>
      <c r="BG32" s="20">
        <f t="shared" si="7"/>
        <v>234.5379459034672</v>
      </c>
      <c r="BH32" s="59">
        <f t="shared" si="8"/>
        <v>471.46584322624301</v>
      </c>
      <c r="BI32" s="59">
        <f ca="1">AVERAGE(OFFSET($BH$3,0,0,'Données projet'!$E$11+1,1))-AVERAGE(OFFSET($H$3,0,0,'Données projet'!$E$11+1,1))</f>
        <v>492.39485179035256</v>
      </c>
      <c r="BJ32" s="59">
        <f t="shared" si="38"/>
        <v>297.32483725004124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46.818719999999992</v>
      </c>
      <c r="CA32" s="13">
        <f t="shared" si="39"/>
        <v>13.789063354733791</v>
      </c>
      <c r="CB32" s="20">
        <f t="shared" si="10"/>
        <v>105.55855600949467</v>
      </c>
      <c r="CC32" s="59">
        <f t="shared" si="11"/>
        <v>342.48645333227051</v>
      </c>
      <c r="CD32" s="59">
        <f ca="1">AVERAGE(OFFSET($CC$3,0,0,'Données projet'!$E$12+1,1))-AVERAGE(OFFSET($H$3,0,0,'Données projet'!$E$12+1,1))</f>
        <v>260.51631161522039</v>
      </c>
      <c r="CE32" s="59">
        <f t="shared" si="40"/>
        <v>171.3469666102674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21.6</v>
      </c>
      <c r="CT32" s="12">
        <f>IF('Données projet'!$A$140&gt;35,CT31+CS32-DB31,IF(A32&lt;'Données projet'!$A$140,$CQ$205^A32,IF(A32='Données projet'!$A$140,'Données projet'!$B$140,CT31+CS32-DB31)))</f>
        <v>255.39999999999995</v>
      </c>
      <c r="CU32" s="17">
        <f>CT32*VLOOKUP('Données projet'!$B$13,Paramètres!$A$1:$I$89,3,0)*VLOOKUP('Données projet'!$B$13,Paramètres!$A$1:$I$89,5,0)</f>
        <v>152.72919999999999</v>
      </c>
      <c r="CV32" s="13">
        <f t="shared" si="41"/>
        <v>39.198153748932519</v>
      </c>
      <c r="CW32" s="20">
        <f t="shared" si="13"/>
        <v>334.27347444605743</v>
      </c>
      <c r="CX32" s="59">
        <f t="shared" si="14"/>
        <v>571.20137176883327</v>
      </c>
      <c r="CY32" s="59">
        <f ca="1">AVERAGE(OFFSET($CX$3,0,0,'Données projet'!$E$13+1,1))-AVERAGE(OFFSET($H$3,0,0,'Données projet'!$E$13+1,1))</f>
        <v>301.2688576786212</v>
      </c>
      <c r="CZ32" s="59">
        <f t="shared" si="42"/>
        <v>417.62172165132927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7.2555222214580954</v>
      </c>
      <c r="DG32" s="21">
        <f>EXP(-LN(2)/25)*DG31+(1-EXP(-LN(2)/25))/(LN(2)/25)*Calculateur!DB32*Calculateur!DD32*VLOOKUP('Données projet'!$B$13,Paramètres!$A$1:$I$89,3,0)*0.475*44/12</f>
        <v>15.435607087668268</v>
      </c>
      <c r="DH32" s="21">
        <f>EXP(-LN(2)/2)*DH31+(1-EXP(-LN(2)/2))/(LN(2)/2)*DB32*DE32*VLOOKUP('Données projet'!$B$13,Paramètres!$A$1:$I$89,3,0)*0.475*44/12</f>
        <v>3.9115588072638356</v>
      </c>
      <c r="DI32" s="22">
        <f t="shared" si="15"/>
        <v>26.602688116390198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170</v>
      </c>
      <c r="L33" s="12">
        <f>VLOOKUP(A33,'Données projet'!$A$35:$I$55,9,0)</f>
        <v>5.666666666666667</v>
      </c>
      <c r="M33" s="12">
        <f t="array" ref="M33">INDEX(L:L,MIN(IF(ISNUMBER(L33:L229),ROW(L33:L229),"")))</f>
        <v>5.666666666666667</v>
      </c>
      <c r="N33" s="13">
        <f>IF('Données projet'!$A$36&gt;35,N32+M33-V32,IF(A33&lt;'Données projet'!$A$36,$K$205^A33,IF(A33='Données projet'!$A$36,'Données projet'!$B$36,N32+M33-V32)))</f>
        <v>170</v>
      </c>
      <c r="O33" s="13">
        <f>N33*VLOOKUP('Données projet'!$B$9,Paramètres!$A$1:$I$89,3,0)*VLOOKUP('Données projet'!$B$9,Paramètres!$A$1:$I$89,5,0)</f>
        <v>79.56</v>
      </c>
      <c r="P33" s="13">
        <f t="shared" si="33"/>
        <v>22.029567333453311</v>
      </c>
      <c r="Q33" s="20">
        <f t="shared" si="2"/>
        <v>176.93516310576453</v>
      </c>
      <c r="R33" s="59">
        <f t="shared" si="0"/>
        <v>416.04258803880651</v>
      </c>
      <c r="S33" s="59">
        <f ca="1">AVERAGE(OFFSET($R$3,0,0,'Données projet'!$E$9+1,1))-AVERAGE(OFFSET($H$3,0,0,'Données projet'!$E$9+1,1))</f>
        <v>167.82976403567059</v>
      </c>
      <c r="T33" s="59">
        <f t="shared" si="34"/>
        <v>232.70925470547317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0.35</v>
      </c>
      <c r="Z33" s="21">
        <f>EXP(-LN(2)/35)*Z32+(1-EXP(-LN(2)/35))/(LN(2)/35)*V33*W33*VLOOKUP('Données projet'!$B$9,Paramètres!$A$1:$I$89,3,0)*0.475*44/12</f>
        <v>4.7804076716219273</v>
      </c>
      <c r="AA33" s="21">
        <f>EXP(-LN(2)/25)*AA32+(1-EXP(-LN(2)/25))/(LN(2)/25)*Calculateur!V33*Calculateur!X33*VLOOKUP('Données projet'!$B$9,Paramètres!$A$1:$I$89,3,0)*0.475*44/12</f>
        <v>10.713567116566411</v>
      </c>
      <c r="AB33" s="21">
        <f>EXP(-LN(2)/2)*AB32+(1-EXP(-LN(2)/2))/(LN(2)/2)*V33*Y33*VLOOKUP('Données projet'!$B$9,Paramètres!$A$1:$I$89,3,0)*0.475*44/12</f>
        <v>12.982175523438457</v>
      </c>
      <c r="AC33" s="22">
        <f t="shared" si="3"/>
        <v>28.476150311626796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3.6</v>
      </c>
      <c r="AH33" s="12">
        <f t="array" ref="AH33">INDEX(AG:AG,MIN(IF(ISNUMBER(AG33:AG229),ROW(AG33:AG229),"")))</f>
        <v>3.6</v>
      </c>
      <c r="AI33" s="13">
        <f>IF('Données projet'!$A$62&gt;35,AI32+AH33-AQ32,IF(A33&lt;'Données projet'!$A$62,$AF$205^A33,IF(A33='Données projet'!$A$62,'Données projet'!$B$62,AI32+AH33-AQ32)))</f>
        <v>120.99999999999997</v>
      </c>
      <c r="AJ33" s="13">
        <f>AI33*VLOOKUP('Données projet'!$B$10,Paramètres!$A$1:$I$89,3,0)*VLOOKUP('Données projet'!$B$10,Paramètres!$A$1:$I$89,5,0)</f>
        <v>122.69399999999997</v>
      </c>
      <c r="AK33" s="13">
        <f t="shared" si="35"/>
        <v>32.302516360650685</v>
      </c>
      <c r="AL33" s="20">
        <f t="shared" si="4"/>
        <v>269.95226599479992</v>
      </c>
      <c r="AM33" s="59">
        <f t="shared" si="5"/>
        <v>509.05969092784187</v>
      </c>
      <c r="AN33" s="59">
        <f ca="1">AVERAGE(OFFSET($AM$3,0,0,'Données projet'!$E$10+1,1))-AVERAGE(OFFSET($H$3,0,0,'Données projet'!$E$10+1,1))</f>
        <v>542.51810435067659</v>
      </c>
      <c r="AO33" s="59">
        <f t="shared" si="36"/>
        <v>325.7263575945085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120.99999999999997</v>
      </c>
      <c r="BE33" s="13">
        <f>BD33*VLOOKUP('Données projet'!$B$11,Paramètres!$A$1:$I$89,3,0)*VLOOKUP('Données projet'!$B$11,Paramètres!$A$1:$I$89,5,0)</f>
        <v>109.48079999999997</v>
      </c>
      <c r="BF33" s="13">
        <f t="shared" si="37"/>
        <v>29.208623339903898</v>
      </c>
      <c r="BG33" s="20">
        <f t="shared" si="7"/>
        <v>241.55074565033257</v>
      </c>
      <c r="BH33" s="59">
        <f t="shared" si="8"/>
        <v>480.65817058337456</v>
      </c>
      <c r="BI33" s="59">
        <f ca="1">AVERAGE(OFFSET($BH$3,0,0,'Données projet'!$E$11+1,1))-AVERAGE(OFFSET($H$3,0,0,'Données projet'!$E$11+1,1))</f>
        <v>492.39485179035256</v>
      </c>
      <c r="BJ33" s="59">
        <f t="shared" si="38"/>
        <v>297.32483725004124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51.386399999999988</v>
      </c>
      <c r="CA33" s="13">
        <f t="shared" si="39"/>
        <v>14.971231585009825</v>
      </c>
      <c r="CB33" s="20">
        <f t="shared" si="10"/>
        <v>115.57287501055875</v>
      </c>
      <c r="CC33" s="59">
        <f t="shared" si="11"/>
        <v>354.68029994360074</v>
      </c>
      <c r="CD33" s="59">
        <f ca="1">AVERAGE(OFFSET($CC$3,0,0,'Données projet'!$E$12+1,1))-AVERAGE(OFFSET($H$3,0,0,'Données projet'!$E$12+1,1))</f>
        <v>260.51631161522039</v>
      </c>
      <c r="CE33" s="59">
        <f t="shared" si="40"/>
        <v>171.3469666102674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277</v>
      </c>
      <c r="CR33" s="12">
        <f>VLOOKUP(A33,'Données projet'!$A$139:$I$159,9,0)</f>
        <v>21.6</v>
      </c>
      <c r="CS33" s="12">
        <f t="array" ref="CS33">INDEX(CR:CR,MIN(IF(ISNUMBER(CR33:CR229),ROW(CR33:CR229),"")))</f>
        <v>21.6</v>
      </c>
      <c r="CT33" s="12">
        <f>IF('Données projet'!$A$140&gt;35,CT32+CS33-DB32,IF(A33&lt;'Données projet'!$A$140,$CQ$205^A33,IF(A33='Données projet'!$A$140,'Données projet'!$B$140,CT32+CS33-DB32)))</f>
        <v>276.99999999999994</v>
      </c>
      <c r="CU33" s="17">
        <f>CT33*VLOOKUP('Données projet'!$B$13,Paramètres!$A$1:$I$89,3,0)*VLOOKUP('Données projet'!$B$13,Paramètres!$A$1:$I$89,5,0)</f>
        <v>165.64599999999996</v>
      </c>
      <c r="CV33" s="13">
        <f t="shared" si="41"/>
        <v>42.113404814327666</v>
      </c>
      <c r="CW33" s="20">
        <f t="shared" si="13"/>
        <v>361.84763005162063</v>
      </c>
      <c r="CX33" s="59">
        <f t="shared" si="14"/>
        <v>600.95505498466264</v>
      </c>
      <c r="CY33" s="59">
        <f ca="1">AVERAGE(OFFSET($CX$3,0,0,'Données projet'!$E$13+1,1))-AVERAGE(OFFSET($H$3,0,0,'Données projet'!$E$13+1,1))</f>
        <v>301.2688576786212</v>
      </c>
      <c r="CZ33" s="59">
        <f t="shared" si="42"/>
        <v>417.62172165132927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0.13500000000000001</v>
      </c>
      <c r="DD33" s="16">
        <f>IF(ISNA(VLOOKUP(A33,'Données projet'!$A$139:$I$159,6,0)),0%,VLOOKUP(A33,'Données projet'!$A$139:$I$159,6,0)*VLOOKUP('Données projet'!$B$13,Paramètres!$A$1:$I$89,7,0))</f>
        <v>0.17550000000000002</v>
      </c>
      <c r="DE33" s="16">
        <f>IF(ISNA(VLOOKUP(A33,'Données projet'!$A$139:$I$159,7,0)),0%,VLOOKUP(A33,'Données projet'!$A$139:$I$159,7,0))</f>
        <v>0.31</v>
      </c>
      <c r="DF33" s="21">
        <f>EXP(-LN(2)/35)*DF32+(1-EXP(-LN(2)/35))/(LN(2)/35)*DB33*DC33*VLOOKUP('Données projet'!$B$13,Paramètres!$A$1:$I$89,3,0)*0.475*44/12</f>
        <v>13.110484571434391</v>
      </c>
      <c r="DG33" s="21">
        <f>EXP(-LN(2)/25)*DG32+(1-EXP(-LN(2)/25))/(LN(2)/25)*Calculateur!DB33*Calculateur!DD33*VLOOKUP('Données projet'!$B$13,Paramètres!$A$1:$I$89,3,0)*0.475*44/12</f>
        <v>22.779232491898398</v>
      </c>
      <c r="DH33" s="21">
        <f>EXP(-LN(2)/2)*DH32+(1-EXP(-LN(2)/2))/(LN(2)/2)*DB33*DE33*VLOOKUP('Données projet'!$B$13,Paramètres!$A$1:$I$89,3,0)*0.475*44/12</f>
        <v>14.519910263291772</v>
      </c>
      <c r="DI33" s="22">
        <f t="shared" si="15"/>
        <v>50.409627326624559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110</v>
      </c>
      <c r="O34" s="13">
        <f>N34*VLOOKUP('Données projet'!$B$9,Paramètres!$A$1:$I$89,3,0)*VLOOKUP('Données projet'!$B$9,Paramètres!$A$1:$I$89,5,0)</f>
        <v>51.480000000000004</v>
      </c>
      <c r="P34" s="13">
        <f t="shared" si="33"/>
        <v>14.995324806875232</v>
      </c>
      <c r="Q34" s="20">
        <f t="shared" si="2"/>
        <v>115.77785737197435</v>
      </c>
      <c r="R34" s="59">
        <f t="shared" si="0"/>
        <v>355.82598058479192</v>
      </c>
      <c r="S34" s="59">
        <f ca="1">AVERAGE(OFFSET($R$3,0,0,'Données projet'!$E$9+1,1))-AVERAGE(OFFSET($H$3,0,0,'Données projet'!$E$9+1,1))</f>
        <v>167.82976403567059</v>
      </c>
      <c r="T34" s="59">
        <f t="shared" si="34"/>
        <v>232.70925470547317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4.6866667929421935</v>
      </c>
      <c r="AA34" s="21">
        <f>EXP(-LN(2)/25)*AA33+(1-EXP(-LN(2)/25))/(LN(2)/25)*Calculateur!V34*Calculateur!X34*VLOOKUP('Données projet'!$B$9,Paramètres!$A$1:$I$89,3,0)*0.475*44/12</f>
        <v>10.420604060361894</v>
      </c>
      <c r="AB34" s="21">
        <f>EXP(-LN(2)/2)*AB33+(1-EXP(-LN(2)/2))/(LN(2)/2)*V34*Y34*VLOOKUP('Données projet'!$B$9,Paramètres!$A$1:$I$89,3,0)*0.475*44/12</f>
        <v>9.1797843471773497</v>
      </c>
      <c r="AC34" s="22">
        <f t="shared" si="3"/>
        <v>24.287055200481436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103.79999999999998</v>
      </c>
      <c r="AJ34" s="13">
        <f>AI34*VLOOKUP('Données projet'!$B$10,Paramètres!$A$1:$I$89,3,0)*VLOOKUP('Données projet'!$B$10,Paramètres!$A$1:$I$89,5,0)</f>
        <v>105.25319999999998</v>
      </c>
      <c r="AK34" s="13">
        <f t="shared" si="35"/>
        <v>28.209746498519397</v>
      </c>
      <c r="AL34" s="20">
        <f t="shared" si="4"/>
        <v>232.44796515158791</v>
      </c>
      <c r="AM34" s="59">
        <f t="shared" si="5"/>
        <v>472.49608836440547</v>
      </c>
      <c r="AN34" s="59">
        <f ca="1">AVERAGE(OFFSET($AM$3,0,0,'Données projet'!$E$10+1,1))-AVERAGE(OFFSET($H$3,0,0,'Données projet'!$E$10+1,1))</f>
        <v>542.51810435067659</v>
      </c>
      <c r="AO34" s="59">
        <f t="shared" si="36"/>
        <v>325.7263575945085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103.79999999999998</v>
      </c>
      <c r="BE34" s="13">
        <f>BD34*VLOOKUP('Données projet'!$B$11,Paramètres!$A$1:$I$89,3,0)*VLOOKUP('Données projet'!$B$11,Paramètres!$A$1:$I$89,5,0)</f>
        <v>93.918239999999983</v>
      </c>
      <c r="BF34" s="13">
        <f t="shared" si="37"/>
        <v>25.507853654185997</v>
      </c>
      <c r="BG34" s="20">
        <f t="shared" si="7"/>
        <v>208.00044644770722</v>
      </c>
      <c r="BH34" s="59">
        <f t="shared" si="8"/>
        <v>448.04856966052478</v>
      </c>
      <c r="BI34" s="59">
        <f ca="1">AVERAGE(OFFSET($BH$3,0,0,'Données projet'!$E$11+1,1))-AVERAGE(OFFSET($H$3,0,0,'Données projet'!$E$11+1,1))</f>
        <v>492.39485179035256</v>
      </c>
      <c r="BJ34" s="59">
        <f t="shared" si="38"/>
        <v>297.32483725004124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</v>
      </c>
      <c r="BY34" s="12">
        <f>IF('Données projet'!$A$114&gt;35,BY33+BX34-CG33,IF(A34&lt;'Données projet'!$A$114,$BV$205^A34,IF(A34='Données projet'!$A$114,'Données projet'!$B$114,BY33+BX34-CG33)))</f>
        <v>58.999999999999986</v>
      </c>
      <c r="BZ34" s="13">
        <f>BY34*VLOOKUP('Données projet'!$B$12,Paramètres!$A$1:$I$89,3,0)*VLOOKUP('Données projet'!$B$12,Paramètres!$A$1:$I$89,5,0)</f>
        <v>56.144399999999983</v>
      </c>
      <c r="CA34" s="13">
        <f t="shared" si="39"/>
        <v>16.189716344887636</v>
      </c>
      <c r="CB34" s="20">
        <f t="shared" si="10"/>
        <v>125.98191930067928</v>
      </c>
      <c r="CC34" s="59">
        <f t="shared" si="11"/>
        <v>366.03004251349682</v>
      </c>
      <c r="CD34" s="59">
        <f ca="1">AVERAGE(OFFSET($CC$3,0,0,'Données projet'!$E$12+1,1))-AVERAGE(OFFSET($H$3,0,0,'Données projet'!$E$12+1,1))</f>
        <v>260.51631161522039</v>
      </c>
      <c r="CE34" s="59">
        <f t="shared" si="40"/>
        <v>171.3469666102674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21.8</v>
      </c>
      <c r="CT34" s="12">
        <f>IF('Données projet'!$A$140&gt;35,CT33+CS34-DB33,IF(A34&lt;'Données projet'!$A$140,$CQ$205^A34,IF(A34='Données projet'!$A$140,'Données projet'!$B$140,CT33+CS34-DB33)))</f>
        <v>242.79999999999995</v>
      </c>
      <c r="CU34" s="17">
        <f>CT34*VLOOKUP('Données projet'!$B$13,Paramètres!$A$1:$I$89,3,0)*VLOOKUP('Données projet'!$B$13,Paramètres!$A$1:$I$89,5,0)</f>
        <v>145.1944</v>
      </c>
      <c r="CV34" s="13">
        <f t="shared" si="41"/>
        <v>37.484434798807726</v>
      </c>
      <c r="CW34" s="20">
        <f t="shared" si="13"/>
        <v>318.1656372745901</v>
      </c>
      <c r="CX34" s="59">
        <f t="shared" si="14"/>
        <v>558.21376048740763</v>
      </c>
      <c r="CY34" s="59">
        <f ca="1">AVERAGE(OFFSET($CX$3,0,0,'Données projet'!$E$13+1,1))-AVERAGE(OFFSET($H$3,0,0,'Données projet'!$E$13+1,1))</f>
        <v>301.2688576786212</v>
      </c>
      <c r="CZ34" s="59">
        <f t="shared" si="42"/>
        <v>417.62172165132927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12.853395965594553</v>
      </c>
      <c r="DG34" s="21">
        <f>EXP(-LN(2)/25)*DG33+(1-EXP(-LN(2)/25))/(LN(2)/25)*Calculateur!DB34*Calculateur!DD34*VLOOKUP('Données projet'!$B$13,Paramètres!$A$1:$I$89,3,0)*0.475*44/12</f>
        <v>22.156333181499662</v>
      </c>
      <c r="DH34" s="21">
        <f>EXP(-LN(2)/2)*DH33+(1-EXP(-LN(2)/2))/(LN(2)/2)*DB34*DE34*VLOOKUP('Données projet'!$B$13,Paramètres!$A$1:$I$89,3,0)*0.475*44/12</f>
        <v>10.267127009393761</v>
      </c>
      <c r="DI34" s="22">
        <f t="shared" si="15"/>
        <v>45.276856156487973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120</v>
      </c>
      <c r="O35" s="13">
        <f>N35*VLOOKUP('Données projet'!$B$9,Paramètres!$A$1:$I$89,3,0)*VLOOKUP('Données projet'!$B$9,Paramètres!$A$1:$I$89,5,0)</f>
        <v>56.16</v>
      </c>
      <c r="P35" s="13">
        <f t="shared" si="33"/>
        <v>16.193691060657031</v>
      </c>
      <c r="Q35" s="20">
        <f t="shared" ref="Q35:Q66" si="53">(O35+P35)*0.475*44/12</f>
        <v>126.01601193064431</v>
      </c>
      <c r="R35" s="59">
        <f t="shared" si="0"/>
        <v>366.9885144111696</v>
      </c>
      <c r="S35" s="59">
        <f ca="1">AVERAGE(OFFSET($R$3,0,0,'Données projet'!$E$9+1,1))-AVERAGE(OFFSET($H$3,0,0,'Données projet'!$E$9+1,1))</f>
        <v>167.82976403567059</v>
      </c>
      <c r="T35" s="59">
        <f t="shared" si="34"/>
        <v>232.70925470547317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4.5947641157170791</v>
      </c>
      <c r="AA35" s="21">
        <f>EXP(-LN(2)/25)*AA34+(1-EXP(-LN(2)/25))/(LN(2)/25)*Calculateur!V35*Calculateur!X35*VLOOKUP('Données projet'!$B$9,Paramètres!$A$1:$I$89,3,0)*0.475*44/12</f>
        <v>10.135652094335548</v>
      </c>
      <c r="AB35" s="21">
        <f>EXP(-LN(2)/2)*AB34+(1-EXP(-LN(2)/2))/(LN(2)/2)*V35*Y35*VLOOKUP('Données projet'!$B$9,Paramètres!$A$1:$I$89,3,0)*0.475*44/12</f>
        <v>6.4910877617192284</v>
      </c>
      <c r="AC35" s="22">
        <f t="shared" si="3"/>
        <v>21.221503971771856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114.59999999999998</v>
      </c>
      <c r="AJ35" s="13">
        <f>AI35*VLOOKUP('Données projet'!$B$10,Paramètres!$A$1:$I$89,3,0)*VLOOKUP('Données projet'!$B$10,Paramètres!$A$1:$I$89,5,0)</f>
        <v>116.20439999999999</v>
      </c>
      <c r="AK35" s="13">
        <f t="shared" si="35"/>
        <v>30.788088768016376</v>
      </c>
      <c r="AL35" s="20">
        <f t="shared" si="4"/>
        <v>256.01191793762843</v>
      </c>
      <c r="AM35" s="59">
        <f t="shared" si="5"/>
        <v>496.98442041815372</v>
      </c>
      <c r="AN35" s="59">
        <f ca="1">AVERAGE(OFFSET($AM$3,0,0,'Données projet'!$E$10+1,1))-AVERAGE(OFFSET($H$3,0,0,'Données projet'!$E$10+1,1))</f>
        <v>542.51810435067659</v>
      </c>
      <c r="AO35" s="59">
        <f t="shared" si="36"/>
        <v>325.7263575945085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114.59999999999998</v>
      </c>
      <c r="BE35" s="13">
        <f>BD35*VLOOKUP('Données projet'!$B$11,Paramètres!$A$1:$I$89,3,0)*VLOOKUP('Données projet'!$B$11,Paramètres!$A$1:$I$89,5,0)</f>
        <v>103.69007999999998</v>
      </c>
      <c r="BF35" s="13">
        <f t="shared" si="37"/>
        <v>27.83924565319537</v>
      </c>
      <c r="BG35" s="20">
        <f t="shared" si="7"/>
        <v>229.08024217931521</v>
      </c>
      <c r="BH35" s="59">
        <f t="shared" si="8"/>
        <v>470.05274465984053</v>
      </c>
      <c r="BI35" s="59">
        <f ca="1">AVERAGE(OFFSET($BH$3,0,0,'Données projet'!$E$11+1,1))-AVERAGE(OFFSET($H$3,0,0,'Données projet'!$E$11+1,1))</f>
        <v>492.39485179035256</v>
      </c>
      <c r="BJ35" s="59">
        <f t="shared" si="38"/>
        <v>297.32483725004124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</v>
      </c>
      <c r="BY35" s="12">
        <f>IF('Données projet'!$A$114&gt;35,BY34+BX35-CG34,IF(A35&lt;'Données projet'!$A$114,$BV$205^A35,IF(A35='Données projet'!$A$114,'Données projet'!$B$114,BY34+BX35-CG34)))</f>
        <v>63.999999999999986</v>
      </c>
      <c r="BZ35" s="13">
        <f>BY35*VLOOKUP('Données projet'!$B$12,Paramètres!$A$1:$I$89,3,0)*VLOOKUP('Données projet'!$B$12,Paramètres!$A$1:$I$89,5,0)</f>
        <v>60.902399999999993</v>
      </c>
      <c r="CA35" s="13">
        <f t="shared" si="39"/>
        <v>17.396225443744882</v>
      </c>
      <c r="CB35" s="20">
        <f t="shared" si="10"/>
        <v>136.37010598118897</v>
      </c>
      <c r="CC35" s="59">
        <f t="shared" si="11"/>
        <v>377.34260846171429</v>
      </c>
      <c r="CD35" s="59">
        <f ca="1">AVERAGE(OFFSET($CC$3,0,0,'Données projet'!$E$12+1,1))-AVERAGE(OFFSET($H$3,0,0,'Données projet'!$E$12+1,1))</f>
        <v>260.51631161522039</v>
      </c>
      <c r="CE35" s="59">
        <f t="shared" si="40"/>
        <v>171.3469666102674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21.8</v>
      </c>
      <c r="CT35" s="12">
        <f>IF('Données projet'!$A$140&gt;35,CT34+CS35-DB34,IF(A35&lt;'Données projet'!$A$140,$CQ$205^A35,IF(A35='Données projet'!$A$140,'Données projet'!$B$140,CT34+CS35-DB34)))</f>
        <v>264.59999999999997</v>
      </c>
      <c r="CU35" s="17">
        <f>CT35*VLOOKUP('Données projet'!$B$13,Paramètres!$A$1:$I$89,3,0)*VLOOKUP('Données projet'!$B$13,Paramètres!$A$1:$I$89,5,0)</f>
        <v>158.23079999999999</v>
      </c>
      <c r="CV35" s="13">
        <f t="shared" si="41"/>
        <v>40.443209539379019</v>
      </c>
      <c r="CW35" s="20">
        <f t="shared" si="13"/>
        <v>346.02389994775172</v>
      </c>
      <c r="CX35" s="59">
        <f t="shared" si="14"/>
        <v>586.99640242827707</v>
      </c>
      <c r="CY35" s="59">
        <f ca="1">AVERAGE(OFFSET($CX$3,0,0,'Données projet'!$E$13+1,1))-AVERAGE(OFFSET($H$3,0,0,'Données projet'!$E$13+1,1))</f>
        <v>301.2688576786212</v>
      </c>
      <c r="CZ35" s="59">
        <f t="shared" si="42"/>
        <v>417.62172165132927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12.601348710506667</v>
      </c>
      <c r="DG35" s="21">
        <f>EXP(-LN(2)/25)*DG34+(1-EXP(-LN(2)/25))/(LN(2)/25)*Calculateur!DB35*Calculateur!DD35*VLOOKUP('Données projet'!$B$13,Paramètres!$A$1:$I$89,3,0)*0.475*44/12</f>
        <v>21.550467085500632</v>
      </c>
      <c r="DH35" s="21">
        <f>EXP(-LN(2)/2)*DH34+(1-EXP(-LN(2)/2))/(LN(2)/2)*DB35*DE35*VLOOKUP('Données projet'!$B$13,Paramètres!$A$1:$I$89,3,0)*0.475*44/12</f>
        <v>7.2599551316458868</v>
      </c>
      <c r="DI35" s="22">
        <f t="shared" si="15"/>
        <v>41.411770927653187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130</v>
      </c>
      <c r="O36" s="13">
        <f>N36*VLOOKUP('Données projet'!$B$9,Paramètres!$A$1:$I$89,3,0)*VLOOKUP('Données projet'!$B$9,Paramètres!$A$1:$I$89,5,0)</f>
        <v>60.839999999999996</v>
      </c>
      <c r="P36" s="13">
        <f t="shared" si="33"/>
        <v>17.380475216531455</v>
      </c>
      <c r="Q36" s="20">
        <f t="shared" si="53"/>
        <v>136.23399433545893</v>
      </c>
      <c r="R36" s="59">
        <f t="shared" si="0"/>
        <v>378.11484016999964</v>
      </c>
      <c r="S36" s="59">
        <f ca="1">AVERAGE(OFFSET($R$3,0,0,'Données projet'!$E$9+1,1))-AVERAGE(OFFSET($H$3,0,0,'Données projet'!$E$9+1,1))</f>
        <v>167.82976403567059</v>
      </c>
      <c r="T36" s="59">
        <f t="shared" si="34"/>
        <v>232.70925470547317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4.5046635939372512</v>
      </c>
      <c r="AA36" s="21">
        <f>EXP(-LN(2)/25)*AA35+(1-EXP(-LN(2)/25))/(LN(2)/25)*Calculateur!V36*Calculateur!X36*VLOOKUP('Données projet'!$B$9,Paramètres!$A$1:$I$89,3,0)*0.475*44/12</f>
        <v>9.8584921548051643</v>
      </c>
      <c r="AB36" s="21">
        <f>EXP(-LN(2)/2)*AB35+(1-EXP(-LN(2)/2))/(LN(2)/2)*V36*Y36*VLOOKUP('Données projet'!$B$9,Paramètres!$A$1:$I$89,3,0)*0.475*44/12</f>
        <v>4.5898921735886749</v>
      </c>
      <c r="AC36" s="22">
        <f t="shared" si="3"/>
        <v>18.953047922331088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125.39999999999998</v>
      </c>
      <c r="AJ36" s="13">
        <f>AI36*VLOOKUP('Données projet'!$B$10,Paramètres!$A$1:$I$89,3,0)*VLOOKUP('Données projet'!$B$10,Paramètres!$A$1:$I$89,5,0)</f>
        <v>127.15559999999999</v>
      </c>
      <c r="AK36" s="13">
        <f t="shared" si="35"/>
        <v>33.338258149231912</v>
      </c>
      <c r="AL36" s="20">
        <f t="shared" si="4"/>
        <v>279.52680294324551</v>
      </c>
      <c r="AM36" s="59">
        <f t="shared" si="5"/>
        <v>521.40764877778622</v>
      </c>
      <c r="AN36" s="59">
        <f ca="1">AVERAGE(OFFSET($AM$3,0,0,'Données projet'!$E$10+1,1))-AVERAGE(OFFSET($H$3,0,0,'Données projet'!$E$10+1,1))</f>
        <v>542.51810435067659</v>
      </c>
      <c r="AO36" s="59">
        <f t="shared" si="36"/>
        <v>325.7263575945085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125.39999999999998</v>
      </c>
      <c r="BE36" s="13">
        <f>BD36*VLOOKUP('Données projet'!$B$11,Paramètres!$A$1:$I$89,3,0)*VLOOKUP('Données projet'!$B$11,Paramètres!$A$1:$I$89,5,0)</f>
        <v>113.46191999999998</v>
      </c>
      <c r="BF36" s="13">
        <f t="shared" si="37"/>
        <v>30.145163126535493</v>
      </c>
      <c r="BG36" s="20">
        <f t="shared" si="7"/>
        <v>250.11566977871595</v>
      </c>
      <c r="BH36" s="59">
        <f t="shared" si="8"/>
        <v>491.99651561325669</v>
      </c>
      <c r="BI36" s="59">
        <f ca="1">AVERAGE(OFFSET($BH$3,0,0,'Données projet'!$E$11+1,1))-AVERAGE(OFFSET($H$3,0,0,'Données projet'!$E$11+1,1))</f>
        <v>492.39485179035256</v>
      </c>
      <c r="BJ36" s="59">
        <f t="shared" si="38"/>
        <v>297.32483725004124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</v>
      </c>
      <c r="BY36" s="12">
        <f>IF('Données projet'!$A$114&gt;35,BY35+BX36-CG35,IF(A36&lt;'Données projet'!$A$114,$BV$205^A36,IF(A36='Données projet'!$A$114,'Données projet'!$B$114,BY35+BX36-CG35)))</f>
        <v>68.999999999999986</v>
      </c>
      <c r="BZ36" s="13">
        <f>BY36*VLOOKUP('Données projet'!$B$12,Paramètres!$A$1:$I$89,3,0)*VLOOKUP('Données projet'!$B$12,Paramètres!$A$1:$I$89,5,0)</f>
        <v>65.660399999999981</v>
      </c>
      <c r="CA36" s="13">
        <f t="shared" si="39"/>
        <v>18.591800852927584</v>
      </c>
      <c r="CB36" s="20">
        <f t="shared" si="10"/>
        <v>146.73924981884883</v>
      </c>
      <c r="CC36" s="59">
        <f t="shared" si="11"/>
        <v>388.62009565338957</v>
      </c>
      <c r="CD36" s="59">
        <f ca="1">AVERAGE(OFFSET($CC$3,0,0,'Données projet'!$E$12+1,1))-AVERAGE(OFFSET($H$3,0,0,'Données projet'!$E$12+1,1))</f>
        <v>260.51631161522039</v>
      </c>
      <c r="CE36" s="59">
        <f t="shared" si="40"/>
        <v>171.3469666102674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21.8</v>
      </c>
      <c r="CT36" s="12">
        <f>IF('Données projet'!$A$140&gt;35,CT35+CS36-DB35,IF(A36&lt;'Données projet'!$A$140,$CQ$205^A36,IF(A36='Données projet'!$A$140,'Données projet'!$B$140,CT35+CS36-DB35)))</f>
        <v>286.39999999999998</v>
      </c>
      <c r="CU36" s="17">
        <f>CT36*VLOOKUP('Données projet'!$B$13,Paramètres!$A$1:$I$89,3,0)*VLOOKUP('Données projet'!$B$13,Paramètres!$A$1:$I$89,5,0)</f>
        <v>171.2672</v>
      </c>
      <c r="CV36" s="13">
        <f t="shared" si="41"/>
        <v>43.373711445811836</v>
      </c>
      <c r="CW36" s="20">
        <f t="shared" si="13"/>
        <v>373.83292076812228</v>
      </c>
      <c r="CX36" s="59">
        <f t="shared" si="14"/>
        <v>615.71376660266299</v>
      </c>
      <c r="CY36" s="59">
        <f ca="1">AVERAGE(OFFSET($CX$3,0,0,'Données projet'!$E$13+1,1))-AVERAGE(OFFSET($H$3,0,0,'Données projet'!$E$13+1,1))</f>
        <v>301.2688576786212</v>
      </c>
      <c r="CZ36" s="59">
        <f t="shared" si="42"/>
        <v>417.62172165132927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12.354243948357409</v>
      </c>
      <c r="DG36" s="21">
        <f>EXP(-LN(2)/25)*DG35+(1-EXP(-LN(2)/25))/(LN(2)/25)*Calculateur!DB36*Calculateur!DD36*VLOOKUP('Données projet'!$B$13,Paramètres!$A$1:$I$89,3,0)*0.475*44/12</f>
        <v>20.961168429757809</v>
      </c>
      <c r="DH36" s="21">
        <f>EXP(-LN(2)/2)*DH35+(1-EXP(-LN(2)/2))/(LN(2)/2)*DB36*DE36*VLOOKUP('Données projet'!$B$13,Paramètres!$A$1:$I$89,3,0)*0.475*44/12</f>
        <v>5.1335635046968813</v>
      </c>
      <c r="DI36" s="22">
        <f t="shared" si="15"/>
        <v>38.4489758828121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140</v>
      </c>
      <c r="O37" s="13">
        <f>N37*VLOOKUP('Données projet'!$B$9,Paramètres!$A$1:$I$89,3,0)*VLOOKUP('Données projet'!$B$9,Paramètres!$A$1:$I$89,5,0)</f>
        <v>65.52</v>
      </c>
      <c r="P37" s="13">
        <f t="shared" si="33"/>
        <v>18.556669503136725</v>
      </c>
      <c r="Q37" s="20">
        <f t="shared" si="53"/>
        <v>146.43353271796309</v>
      </c>
      <c r="R37" s="59">
        <f t="shared" si="0"/>
        <v>389.20696418007867</v>
      </c>
      <c r="S37" s="59">
        <f ca="1">AVERAGE(OFFSET($R$3,0,0,'Données projet'!$E$9+1,1))-AVERAGE(OFFSET($H$3,0,0,'Données projet'!$E$9+1,1))</f>
        <v>167.82976403567059</v>
      </c>
      <c r="T37" s="59">
        <f t="shared" si="34"/>
        <v>232.70925470547317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4.4163298884336335</v>
      </c>
      <c r="AA37" s="21">
        <f>EXP(-LN(2)/25)*AA36+(1-EXP(-LN(2)/25))/(LN(2)/25)*Calculateur!V37*Calculateur!X37*VLOOKUP('Données projet'!$B$9,Paramètres!$A$1:$I$89,3,0)*0.475*44/12</f>
        <v>9.5889111683964465</v>
      </c>
      <c r="AB37" s="21">
        <f>EXP(-LN(2)/2)*AB36+(1-EXP(-LN(2)/2))/(LN(2)/2)*V37*Y37*VLOOKUP('Données projet'!$B$9,Paramètres!$A$1:$I$89,3,0)*0.475*44/12</f>
        <v>3.2455438808596142</v>
      </c>
      <c r="AC37" s="22">
        <f t="shared" si="3"/>
        <v>17.250784937689694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136.19999999999999</v>
      </c>
      <c r="AJ37" s="13">
        <f>AI37*VLOOKUP('Données projet'!$B$10,Paramètres!$A$1:$I$89,3,0)*VLOOKUP('Données projet'!$B$10,Paramètres!$A$1:$I$89,5,0)</f>
        <v>138.10679999999999</v>
      </c>
      <c r="AK37" s="13">
        <f t="shared" si="35"/>
        <v>35.862956890686135</v>
      </c>
      <c r="AL37" s="20">
        <f t="shared" si="4"/>
        <v>302.9973265846117</v>
      </c>
      <c r="AM37" s="59">
        <f t="shared" si="5"/>
        <v>545.77075804672722</v>
      </c>
      <c r="AN37" s="59">
        <f ca="1">AVERAGE(OFFSET($AM$3,0,0,'Données projet'!$E$10+1,1))-AVERAGE(OFFSET($H$3,0,0,'Données projet'!$E$10+1,1))</f>
        <v>542.51810435067659</v>
      </c>
      <c r="AO37" s="59">
        <f t="shared" si="36"/>
        <v>325.7263575945085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136.19999999999999</v>
      </c>
      <c r="BE37" s="13">
        <f>BD37*VLOOKUP('Données projet'!$B$11,Paramètres!$A$1:$I$89,3,0)*VLOOKUP('Données projet'!$B$11,Paramètres!$A$1:$I$89,5,0)</f>
        <v>123.23375999999998</v>
      </c>
      <c r="BF37" s="13">
        <f t="shared" si="37"/>
        <v>32.428049504876462</v>
      </c>
      <c r="BG37" s="20">
        <f t="shared" si="7"/>
        <v>271.11098488765975</v>
      </c>
      <c r="BH37" s="59">
        <f t="shared" si="8"/>
        <v>513.88441634977539</v>
      </c>
      <c r="BI37" s="59">
        <f ca="1">AVERAGE(OFFSET($BH$3,0,0,'Données projet'!$E$11+1,1))-AVERAGE(OFFSET($H$3,0,0,'Données projet'!$E$11+1,1))</f>
        <v>492.39485179035256</v>
      </c>
      <c r="BJ37" s="59">
        <f t="shared" si="38"/>
        <v>297.32483725004124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</v>
      </c>
      <c r="BY37" s="12">
        <f>IF('Données projet'!$A$114&gt;35,BY36+BX37-CG36,IF(A37&lt;'Données projet'!$A$114,$BV$205^A37,IF(A37='Données projet'!$A$114,'Données projet'!$B$114,BY36+BX37-CG36)))</f>
        <v>73.999999999999986</v>
      </c>
      <c r="BZ37" s="13">
        <f>BY37*VLOOKUP('Données projet'!$B$12,Paramètres!$A$1:$I$89,3,0)*VLOOKUP('Données projet'!$B$12,Paramètres!$A$1:$I$89,5,0)</f>
        <v>70.418399999999991</v>
      </c>
      <c r="CA37" s="13">
        <f t="shared" si="39"/>
        <v>19.777324972922738</v>
      </c>
      <c r="CB37" s="20">
        <f t="shared" si="10"/>
        <v>157.09088766117375</v>
      </c>
      <c r="CC37" s="59">
        <f t="shared" si="11"/>
        <v>399.86431912328931</v>
      </c>
      <c r="CD37" s="59">
        <f ca="1">AVERAGE(OFFSET($CC$3,0,0,'Données projet'!$E$12+1,1))-AVERAGE(OFFSET($H$3,0,0,'Données projet'!$E$12+1,1))</f>
        <v>260.51631161522039</v>
      </c>
      <c r="CE37" s="59">
        <f t="shared" si="40"/>
        <v>171.3469666102674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21.8</v>
      </c>
      <c r="CT37" s="12">
        <f>IF('Données projet'!$A$140&gt;35,CT36+CS37-DB36,IF(A37&lt;'Données projet'!$A$140,$CQ$205^A37,IF(A37='Données projet'!$A$140,'Données projet'!$B$140,CT36+CS37-DB36)))</f>
        <v>308.2</v>
      </c>
      <c r="CU37" s="17">
        <f>CT37*VLOOKUP('Données projet'!$B$13,Paramètres!$A$1:$I$89,3,0)*VLOOKUP('Données projet'!$B$13,Paramètres!$A$1:$I$89,5,0)</f>
        <v>184.30359999999999</v>
      </c>
      <c r="CV37" s="13">
        <f t="shared" si="41"/>
        <v>46.27833726438655</v>
      </c>
      <c r="CW37" s="20">
        <f t="shared" si="13"/>
        <v>401.59687406880653</v>
      </c>
      <c r="CX37" s="59">
        <f t="shared" si="14"/>
        <v>644.37030553092211</v>
      </c>
      <c r="CY37" s="59">
        <f ca="1">AVERAGE(OFFSET($CX$3,0,0,'Données projet'!$E$13+1,1))-AVERAGE(OFFSET($H$3,0,0,'Données projet'!$E$13+1,1))</f>
        <v>301.2688576786212</v>
      </c>
      <c r="CZ37" s="59">
        <f t="shared" si="42"/>
        <v>417.62172165132927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12.111984759874876</v>
      </c>
      <c r="DG37" s="21">
        <f>EXP(-LN(2)/25)*DG36+(1-EXP(-LN(2)/25))/(LN(2)/25)*Calculateur!DB37*Calculateur!DD37*VLOOKUP('Données projet'!$B$13,Paramètres!$A$1:$I$89,3,0)*0.475*44/12</f>
        <v>20.387984176746141</v>
      </c>
      <c r="DH37" s="21">
        <f>EXP(-LN(2)/2)*DH36+(1-EXP(-LN(2)/2))/(LN(2)/2)*DB37*DE37*VLOOKUP('Données projet'!$B$13,Paramètres!$A$1:$I$89,3,0)*0.475*44/12</f>
        <v>3.6299775658229438</v>
      </c>
      <c r="DI37" s="22">
        <f t="shared" si="15"/>
        <v>36.129946502443957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150</v>
      </c>
      <c r="O38" s="13">
        <f>N38*VLOOKUP('Données projet'!$B$9,Paramètres!$A$1:$I$89,3,0)*VLOOKUP('Données projet'!$B$9,Paramètres!$A$1:$I$89,5,0)</f>
        <v>70.2</v>
      </c>
      <c r="P38" s="13">
        <f t="shared" si="33"/>
        <v>19.723116370112194</v>
      </c>
      <c r="Q38" s="20">
        <f t="shared" si="53"/>
        <v>156.61609434461207</v>
      </c>
      <c r="R38" s="59">
        <f t="shared" si="0"/>
        <v>400.2666270691866</v>
      </c>
      <c r="S38" s="59">
        <f ca="1">AVERAGE(OFFSET($R$3,0,0,'Données projet'!$E$9+1,1))-AVERAGE(OFFSET($H$3,0,0,'Données projet'!$E$9+1,1))</f>
        <v>167.82976403567059</v>
      </c>
      <c r="T38" s="59">
        <f t="shared" si="34"/>
        <v>232.70925470547317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4.3297283530167014</v>
      </c>
      <c r="AA38" s="21">
        <f>EXP(-LN(2)/25)*AA37+(1-EXP(-LN(2)/25))/(LN(2)/25)*Calculateur!V38*Calculateur!X38*VLOOKUP('Données projet'!$B$9,Paramètres!$A$1:$I$89,3,0)*0.475*44/12</f>
        <v>9.3267018882377233</v>
      </c>
      <c r="AB38" s="21">
        <f>EXP(-LN(2)/2)*AB37+(1-EXP(-LN(2)/2))/(LN(2)/2)*V38*Y38*VLOOKUP('Données projet'!$B$9,Paramètres!$A$1:$I$89,3,0)*0.475*44/12</f>
        <v>2.2949460867943374</v>
      </c>
      <c r="AC38" s="22">
        <f t="shared" si="3"/>
        <v>15.951376328048763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</v>
      </c>
      <c r="AJ38" s="13">
        <f>AI38*VLOOKUP('Données projet'!$B$10,Paramètres!$A$1:$I$89,3,0)*VLOOKUP('Données projet'!$B$10,Paramètres!$A$1:$I$89,5,0)</f>
        <v>149.05799999999999</v>
      </c>
      <c r="AK38" s="13">
        <f t="shared" si="35"/>
        <v>38.364434314370335</v>
      </c>
      <c r="AL38" s="20">
        <f t="shared" si="4"/>
        <v>326.42740643086165</v>
      </c>
      <c r="AM38" s="59">
        <f t="shared" si="5"/>
        <v>570.07793915543618</v>
      </c>
      <c r="AN38" s="59">
        <f ca="1">AVERAGE(OFFSET($AM$3,0,0,'Données projet'!$E$10+1,1))-AVERAGE(OFFSET($H$3,0,0,'Données projet'!$E$10+1,1))</f>
        <v>542.51810435067659</v>
      </c>
      <c r="AO38" s="59">
        <f t="shared" si="36"/>
        <v>325.7263575945085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</v>
      </c>
      <c r="BE38" s="13">
        <f>BD38*VLOOKUP('Données projet'!$B$11,Paramètres!$A$1:$I$89,3,0)*VLOOKUP('Données projet'!$B$11,Paramètres!$A$1:$I$89,5,0)</f>
        <v>133.00559999999999</v>
      </c>
      <c r="BF38" s="13">
        <f t="shared" si="37"/>
        <v>34.689938673073549</v>
      </c>
      <c r="BG38" s="20">
        <f t="shared" si="7"/>
        <v>292.06972985560304</v>
      </c>
      <c r="BH38" s="59">
        <f t="shared" si="8"/>
        <v>535.72026258017752</v>
      </c>
      <c r="BI38" s="59">
        <f ca="1">AVERAGE(OFFSET($BH$3,0,0,'Données projet'!$E$11+1,1))-AVERAGE(OFFSET($H$3,0,0,'Données projet'!$E$11+1,1))</f>
        <v>492.39485179035256</v>
      </c>
      <c r="BJ38" s="59">
        <f t="shared" si="38"/>
        <v>297.32483725004124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79</v>
      </c>
      <c r="BW38" s="12">
        <f>VLOOKUP(A38,'Données projet'!$A$113:$I$133,9,0)</f>
        <v>5</v>
      </c>
      <c r="BX38" s="12">
        <f t="array" ref="BX38">INDEX(BW:BW,MIN(IF(ISNUMBER(BW38:BW234),ROW(BW38:BW234),"")))</f>
        <v>5</v>
      </c>
      <c r="BY38" s="12">
        <f>IF('Données projet'!$A$114&gt;35,BY37+BX38-CG37,IF(A38&lt;'Données projet'!$A$114,$BV$205^A38,IF(A38='Données projet'!$A$114,'Données projet'!$B$114,BY37+BX38-CG37)))</f>
        <v>78.999999999999986</v>
      </c>
      <c r="BZ38" s="13">
        <f>BY38*VLOOKUP('Données projet'!$B$12,Paramètres!$A$1:$I$89,3,0)*VLOOKUP('Données projet'!$B$12,Paramètres!$A$1:$I$89,5,0)</f>
        <v>75.176399999999987</v>
      </c>
      <c r="CA38" s="13">
        <f t="shared" si="39"/>
        <v>20.95355421300528</v>
      </c>
      <c r="CB38" s="20">
        <f t="shared" si="10"/>
        <v>167.42633692098417</v>
      </c>
      <c r="CC38" s="59">
        <f t="shared" si="11"/>
        <v>411.07686964555865</v>
      </c>
      <c r="CD38" s="59">
        <f ca="1">AVERAGE(OFFSET($CC$3,0,0,'Données projet'!$E$12+1,1))-AVERAGE(OFFSET($H$3,0,0,'Données projet'!$E$12+1,1))</f>
        <v>260.51631161522039</v>
      </c>
      <c r="CE38" s="59">
        <f t="shared" si="40"/>
        <v>171.3469666102674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13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330</v>
      </c>
      <c r="CR38" s="12">
        <f>VLOOKUP(A38,'Données projet'!$A$139:$I$159,9,0)</f>
        <v>21.8</v>
      </c>
      <c r="CS38" s="12">
        <f t="array" ref="CS38">INDEX(CR:CR,MIN(IF(ISNUMBER(CR38:CR234),ROW(CR38:CR234),"")))</f>
        <v>21.8</v>
      </c>
      <c r="CT38" s="12">
        <f>IF('Données projet'!$A$140&gt;35,CT37+CS38-DB37,IF(A38&lt;'Données projet'!$A$140,$CQ$205^A38,IF(A38='Données projet'!$A$140,'Données projet'!$B$140,CT37+CS38-DB37)))</f>
        <v>330</v>
      </c>
      <c r="CU38" s="17">
        <f>CT38*VLOOKUP('Données projet'!$B$13,Paramètres!$A$1:$I$89,3,0)*VLOOKUP('Données projet'!$B$13,Paramètres!$A$1:$I$89,5,0)</f>
        <v>197.34000000000003</v>
      </c>
      <c r="CV38" s="13">
        <f t="shared" si="41"/>
        <v>49.15912547427002</v>
      </c>
      <c r="CW38" s="20">
        <f t="shared" si="13"/>
        <v>429.3193102010203</v>
      </c>
      <c r="CX38" s="59">
        <f t="shared" si="14"/>
        <v>672.96984292559478</v>
      </c>
      <c r="CY38" s="59">
        <f ca="1">AVERAGE(OFFSET($CX$3,0,0,'Données projet'!$E$13+1,1))-AVERAGE(OFFSET($H$3,0,0,'Données projet'!$E$13+1,1))</f>
        <v>301.2688576786212</v>
      </c>
      <c r="CZ38" s="59">
        <f t="shared" si="42"/>
        <v>417.62172165132927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56</v>
      </c>
      <c r="DC38" s="16">
        <f>IF(ISNA(VLOOKUP(A38,'Données projet'!$A$139:$I$159,5,0)),0%,VLOOKUP(A38,'Données projet'!$A$139:$I$159,5,0)*VLOOKUP('Données projet'!$B$13,Paramètres!$A$1:$I$89,7,0))</f>
        <v>0.18000000000000002</v>
      </c>
      <c r="DD38" s="16">
        <f>IF(ISNA(VLOOKUP(A38,'Données projet'!$A$139:$I$159,6,0)),0%,VLOOKUP(A38,'Données projet'!$A$139:$I$159,6,0)*VLOOKUP('Données projet'!$B$13,Paramètres!$A$1:$I$89,7,0))</f>
        <v>0.15300000000000002</v>
      </c>
      <c r="DE38" s="16">
        <f>IF(ISNA(VLOOKUP(A38,'Données projet'!$A$139:$I$159,7,0)),0%,VLOOKUP(A38,'Données projet'!$A$139:$I$159,7,0))</f>
        <v>0.26</v>
      </c>
      <c r="DF38" s="21">
        <f>EXP(-LN(2)/35)*DF37+(1-EXP(-LN(2)/35))/(LN(2)/35)*DB38*DC38*VLOOKUP('Données projet'!$B$13,Paramètres!$A$1:$I$89,3,0)*0.475*44/12</f>
        <v>19.87079441339165</v>
      </c>
      <c r="DG38" s="21">
        <f>EXP(-LN(2)/25)*DG37+(1-EXP(-LN(2)/25))/(LN(2)/25)*Calculateur!DB38*Calculateur!DD38*VLOOKUP('Données projet'!$B$13,Paramètres!$A$1:$I$89,3,0)*0.475*44/12</f>
        <v>26.600582352148205</v>
      </c>
      <c r="DH38" s="21">
        <f>EXP(-LN(2)/2)*DH37+(1-EXP(-LN(2)/2))/(LN(2)/2)*DB38*DE38*VLOOKUP('Données projet'!$B$13,Paramètres!$A$1:$I$89,3,0)*0.475*44/12</f>
        <v>12.424992499035678</v>
      </c>
      <c r="DI38" s="22">
        <f t="shared" si="15"/>
        <v>58.89636926457554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160</v>
      </c>
      <c r="O39" s="13">
        <f>N39*VLOOKUP('Données projet'!$B$9,Paramètres!$A$1:$I$89,3,0)*VLOOKUP('Données projet'!$B$9,Paramètres!$A$1:$I$89,5,0)</f>
        <v>74.88</v>
      </c>
      <c r="P39" s="13">
        <f t="shared" si="33"/>
        <v>20.880539585643231</v>
      </c>
      <c r="Q39" s="20">
        <f t="shared" si="53"/>
        <v>166.78293977832863</v>
      </c>
      <c r="R39" s="59">
        <f t="shared" si="0"/>
        <v>411.29535801936305</v>
      </c>
      <c r="S39" s="59">
        <f ca="1">AVERAGE(OFFSET($R$3,0,0,'Données projet'!$E$9+1,1))-AVERAGE(OFFSET($H$3,0,0,'Données projet'!$E$9+1,1))</f>
        <v>167.82976403567059</v>
      </c>
      <c r="T39" s="59">
        <f t="shared" si="34"/>
        <v>232.70925470547317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4.2448250208875749</v>
      </c>
      <c r="AA39" s="21">
        <f>EXP(-LN(2)/25)*AA38+(1-EXP(-LN(2)/25))/(LN(2)/25)*Calculateur!V39*Calculateur!X39*VLOOKUP('Données projet'!$B$9,Paramètres!$A$1:$I$89,3,0)*0.475*44/12</f>
        <v>9.0716627346339269</v>
      </c>
      <c r="AB39" s="21">
        <f>EXP(-LN(2)/2)*AB38+(1-EXP(-LN(2)/2))/(LN(2)/2)*V39*Y39*VLOOKUP('Données projet'!$B$9,Paramètres!$A$1:$I$89,3,0)*0.475*44/12</f>
        <v>1.6227719404298071</v>
      </c>
      <c r="AC39" s="22">
        <f t="shared" si="3"/>
        <v>14.939259695951309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130.19999999999999</v>
      </c>
      <c r="AJ39" s="13">
        <f>AI39*VLOOKUP('Données projet'!$B$10,Paramètres!$A$1:$I$89,3,0)*VLOOKUP('Données projet'!$B$10,Paramètres!$A$1:$I$89,5,0)</f>
        <v>132.02279999999999</v>
      </c>
      <c r="AK39" s="13">
        <f t="shared" si="35"/>
        <v>34.463348169992798</v>
      </c>
      <c r="AL39" s="20">
        <f t="shared" si="4"/>
        <v>289.96337472940411</v>
      </c>
      <c r="AM39" s="59">
        <f t="shared" si="5"/>
        <v>534.47579297043853</v>
      </c>
      <c r="AN39" s="59">
        <f ca="1">AVERAGE(OFFSET($AM$3,0,0,'Données projet'!$E$10+1,1))-AVERAGE(OFFSET($H$3,0,0,'Données projet'!$E$10+1,1))</f>
        <v>542.51810435067659</v>
      </c>
      <c r="AO39" s="59">
        <f t="shared" si="36"/>
        <v>325.7263575945085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130.19999999999999</v>
      </c>
      <c r="BE39" s="13">
        <f>BD39*VLOOKUP('Données projet'!$B$11,Paramètres!$A$1:$I$89,3,0)*VLOOKUP('Données projet'!$B$11,Paramètres!$A$1:$I$89,5,0)</f>
        <v>117.80495999999999</v>
      </c>
      <c r="BF39" s="13">
        <f t="shared" si="37"/>
        <v>31.162493487829593</v>
      </c>
      <c r="BG39" s="20">
        <f t="shared" si="7"/>
        <v>259.45164815796983</v>
      </c>
      <c r="BH39" s="59">
        <f t="shared" si="8"/>
        <v>503.96406639900425</v>
      </c>
      <c r="BI39" s="59">
        <f ca="1">AVERAGE(OFFSET($BH$3,0,0,'Données projet'!$E$11+1,1))-AVERAGE(OFFSET($H$3,0,0,'Données projet'!$E$11+1,1))</f>
        <v>492.39485179035256</v>
      </c>
      <c r="BJ39" s="59">
        <f t="shared" si="38"/>
        <v>297.32483725004124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</v>
      </c>
      <c r="BY39" s="12">
        <f>IF('Données projet'!$A$114&gt;35,BY38+BX39-CG38,IF(A39&lt;'Données projet'!$A$114,$BV$205^A39,IF(A39='Données projet'!$A$114,'Données projet'!$B$114,BY38+BX39-CG38)))</f>
        <v>71.399999999999991</v>
      </c>
      <c r="BZ39" s="13">
        <f>BY39*VLOOKUP('Données projet'!$B$12,Paramètres!$A$1:$I$89,3,0)*VLOOKUP('Données projet'!$B$12,Paramètres!$A$1:$I$89,5,0)</f>
        <v>67.944239999999994</v>
      </c>
      <c r="CA39" s="13">
        <f t="shared" si="39"/>
        <v>19.162057636242221</v>
      </c>
      <c r="CB39" s="20">
        <f t="shared" si="10"/>
        <v>151.71013504978851</v>
      </c>
      <c r="CC39" s="59">
        <f t="shared" si="11"/>
        <v>396.22255329082293</v>
      </c>
      <c r="CD39" s="59">
        <f ca="1">AVERAGE(OFFSET($CC$3,0,0,'Données projet'!$E$12+1,1))-AVERAGE(OFFSET($H$3,0,0,'Données projet'!$E$12+1,1))</f>
        <v>260.51631161522039</v>
      </c>
      <c r="CE39" s="59">
        <f t="shared" si="40"/>
        <v>171.3469666102674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21</v>
      </c>
      <c r="CT39" s="12">
        <f>IF('Données projet'!$A$140&gt;35,CT38+CS39-DB38,IF(A39&lt;'Données projet'!$A$140,$CQ$205^A39,IF(A39='Données projet'!$A$140,'Données projet'!$B$140,CT38+CS39-DB38)))</f>
        <v>295</v>
      </c>
      <c r="CU39" s="17">
        <f>CT39*VLOOKUP('Données projet'!$B$13,Paramètres!$A$1:$I$89,3,0)*VLOOKUP('Données projet'!$B$13,Paramètres!$A$1:$I$89,5,0)</f>
        <v>176.41000000000003</v>
      </c>
      <c r="CV39" s="13">
        <f t="shared" si="41"/>
        <v>44.522543239204609</v>
      </c>
      <c r="CW39" s="20">
        <f t="shared" si="13"/>
        <v>384.79084614161474</v>
      </c>
      <c r="CX39" s="59">
        <f t="shared" si="14"/>
        <v>629.3032643826491</v>
      </c>
      <c r="CY39" s="59">
        <f ca="1">AVERAGE(OFFSET($CX$3,0,0,'Données projet'!$E$13+1,1))-AVERAGE(OFFSET($H$3,0,0,'Données projet'!$E$13+1,1))</f>
        <v>301.2688576786212</v>
      </c>
      <c r="CZ39" s="59">
        <f t="shared" si="42"/>
        <v>417.62172165132927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19.481140254932882</v>
      </c>
      <c r="DG39" s="21">
        <f>EXP(-LN(2)/25)*DG38+(1-EXP(-LN(2)/25))/(LN(2)/25)*Calculateur!DB39*Calculateur!DD39*VLOOKUP('Données projet'!$B$13,Paramètres!$A$1:$I$89,3,0)*0.475*44/12</f>
        <v>25.873188028864885</v>
      </c>
      <c r="DH39" s="21">
        <f>EXP(-LN(2)/2)*DH38+(1-EXP(-LN(2)/2))/(LN(2)/2)*DB39*DE39*VLOOKUP('Données projet'!$B$13,Paramètres!$A$1:$I$89,3,0)*0.475*44/12</f>
        <v>8.7857964522601169</v>
      </c>
      <c r="DI39" s="22">
        <f t="shared" si="15"/>
        <v>54.140124736057885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79.56</v>
      </c>
      <c r="P40" s="13">
        <f t="shared" si="33"/>
        <v>22.029567333453311</v>
      </c>
      <c r="Q40" s="20">
        <f t="shared" si="53"/>
        <v>176.93516310576453</v>
      </c>
      <c r="R40" s="59">
        <f t="shared" si="0"/>
        <v>422.29451507643563</v>
      </c>
      <c r="S40" s="59">
        <f ca="1">AVERAGE(OFFSET($R$3,0,0,'Données projet'!$E$9+1,1))-AVERAGE(OFFSET($H$3,0,0,'Données projet'!$E$9+1,1))</f>
        <v>167.82976403567059</v>
      </c>
      <c r="T40" s="59">
        <f t="shared" si="34"/>
        <v>232.70925470547317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4.1615865913155812</v>
      </c>
      <c r="AA40" s="21">
        <f>EXP(-LN(2)/25)*AA39+(1-EXP(-LN(2)/25))/(LN(2)/25)*Calculateur!V40*Calculateur!X40*VLOOKUP('Données projet'!$B$9,Paramètres!$A$1:$I$89,3,0)*0.475*44/12</f>
        <v>8.8235976400973524</v>
      </c>
      <c r="AB40" s="21">
        <f>EXP(-LN(2)/2)*AB39+(1-EXP(-LN(2)/2))/(LN(2)/2)*V40*Y40*VLOOKUP('Données projet'!$B$9,Paramètres!$A$1:$I$89,3,0)*0.475*44/12</f>
        <v>1.1474730433971687</v>
      </c>
      <c r="AC40" s="22">
        <f t="shared" si="3"/>
        <v>14.132657274810102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141.39999999999998</v>
      </c>
      <c r="AJ40" s="13">
        <f>AI40*VLOOKUP('Données projet'!$B$10,Paramètres!$A$1:$I$89,3,0)*VLOOKUP('Données projet'!$B$10,Paramètres!$A$1:$I$89,5,0)</f>
        <v>143.37959999999998</v>
      </c>
      <c r="AK40" s="13">
        <f t="shared" si="35"/>
        <v>37.070146308317469</v>
      </c>
      <c r="AL40" s="20">
        <f t="shared" si="4"/>
        <v>314.28330815365291</v>
      </c>
      <c r="AM40" s="59">
        <f t="shared" si="5"/>
        <v>559.64266012432404</v>
      </c>
      <c r="AN40" s="59">
        <f ca="1">AVERAGE(OFFSET($AM$3,0,0,'Données projet'!$E$10+1,1))-AVERAGE(OFFSET($H$3,0,0,'Données projet'!$E$10+1,1))</f>
        <v>542.51810435067659</v>
      </c>
      <c r="AO40" s="59">
        <f t="shared" si="36"/>
        <v>325.7263575945085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141.39999999999998</v>
      </c>
      <c r="BE40" s="13">
        <f>BD40*VLOOKUP('Données projet'!$B$11,Paramètres!$A$1:$I$89,3,0)*VLOOKUP('Données projet'!$B$11,Paramètres!$A$1:$I$89,5,0)</f>
        <v>127.93871999999999</v>
      </c>
      <c r="BF40" s="13">
        <f t="shared" si="37"/>
        <v>33.519615889545641</v>
      </c>
      <c r="BG40" s="20">
        <f t="shared" si="7"/>
        <v>281.2066016742919</v>
      </c>
      <c r="BH40" s="59">
        <f t="shared" si="8"/>
        <v>526.56595364496297</v>
      </c>
      <c r="BI40" s="59">
        <f ca="1">AVERAGE(OFFSET($BH$3,0,0,'Données projet'!$E$11+1,1))-AVERAGE(OFFSET($H$3,0,0,'Données projet'!$E$11+1,1))</f>
        <v>492.39485179035256</v>
      </c>
      <c r="BJ40" s="59">
        <f t="shared" si="38"/>
        <v>297.32483725004124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</v>
      </c>
      <c r="BY40" s="12">
        <f>IF('Données projet'!$A$114&gt;35,BY39+BX40-CG39,IF(A40&lt;'Données projet'!$A$114,$BV$205^A40,IF(A40='Données projet'!$A$114,'Données projet'!$B$114,BY39+BX40-CG39)))</f>
        <v>76.8</v>
      </c>
      <c r="BZ40" s="13">
        <f>BY40*VLOOKUP('Données projet'!$B$12,Paramètres!$A$1:$I$89,3,0)*VLOOKUP('Données projet'!$B$12,Paramètres!$A$1:$I$89,5,0)</f>
        <v>73.082880000000003</v>
      </c>
      <c r="CA40" s="13">
        <f t="shared" si="39"/>
        <v>20.437114411232702</v>
      </c>
      <c r="CB40" s="20">
        <f t="shared" si="10"/>
        <v>162.88065693289695</v>
      </c>
      <c r="CC40" s="59">
        <f t="shared" si="11"/>
        <v>408.24000890356808</v>
      </c>
      <c r="CD40" s="59">
        <f ca="1">AVERAGE(OFFSET($CC$3,0,0,'Données projet'!$E$12+1,1))-AVERAGE(OFFSET($H$3,0,0,'Données projet'!$E$12+1,1))</f>
        <v>260.51631161522039</v>
      </c>
      <c r="CE40" s="59">
        <f t="shared" si="40"/>
        <v>171.3469666102674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21</v>
      </c>
      <c r="CT40" s="12">
        <f>IF('Données projet'!$A$140&gt;35,CT39+CS40-DB39,IF(A40&lt;'Données projet'!$A$140,$CQ$205^A40,IF(A40='Données projet'!$A$140,'Données projet'!$B$140,CT39+CS40-DB39)))</f>
        <v>316</v>
      </c>
      <c r="CU40" s="17">
        <f>CT40*VLOOKUP('Données projet'!$B$13,Paramètres!$A$1:$I$89,3,0)*VLOOKUP('Données projet'!$B$13,Paramètres!$A$1:$I$89,5,0)</f>
        <v>188.96800000000002</v>
      </c>
      <c r="CV40" s="13">
        <f t="shared" si="41"/>
        <v>47.311720031947068</v>
      </c>
      <c r="CW40" s="20">
        <f t="shared" si="13"/>
        <v>411.52051238897451</v>
      </c>
      <c r="CX40" s="59">
        <f t="shared" si="14"/>
        <v>656.87986435964558</v>
      </c>
      <c r="CY40" s="59">
        <f ca="1">AVERAGE(OFFSET($CX$3,0,0,'Données projet'!$E$13+1,1))-AVERAGE(OFFSET($H$3,0,0,'Données projet'!$E$13+1,1))</f>
        <v>301.2688576786212</v>
      </c>
      <c r="CZ40" s="59">
        <f t="shared" si="42"/>
        <v>417.62172165132927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19.099126976855921</v>
      </c>
      <c r="DG40" s="21">
        <f>EXP(-LN(2)/25)*DG39+(1-EXP(-LN(2)/25))/(LN(2)/25)*Calculateur!DB40*Calculateur!DD40*VLOOKUP('Données projet'!$B$13,Paramètres!$A$1:$I$89,3,0)*0.475*44/12</f>
        <v>25.16568434160375</v>
      </c>
      <c r="DH40" s="21">
        <f>EXP(-LN(2)/2)*DH39+(1-EXP(-LN(2)/2))/(LN(2)/2)*DB40*DE40*VLOOKUP('Données projet'!$B$13,Paramètres!$A$1:$I$89,3,0)*0.475*44/12</f>
        <v>6.21249624951784</v>
      </c>
      <c r="DI40" s="22">
        <f t="shared" si="15"/>
        <v>50.477307567977512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180</v>
      </c>
      <c r="O41" s="13">
        <f>N41*VLOOKUP('Données projet'!$B$9,Paramètres!$A$1:$I$89,3,0)*VLOOKUP('Données projet'!$B$9,Paramètres!$A$1:$I$89,5,0)</f>
        <v>84.24</v>
      </c>
      <c r="P41" s="13">
        <f t="shared" si="33"/>
        <v>23.170749718409468</v>
      </c>
      <c r="Q41" s="20">
        <f t="shared" si="53"/>
        <v>187.07372242622981</v>
      </c>
      <c r="R41" s="59">
        <f t="shared" si="0"/>
        <v>433.26531571978853</v>
      </c>
      <c r="S41" s="59">
        <f ca="1">AVERAGE(OFFSET($R$3,0,0,'Données projet'!$E$9+1,1))-AVERAGE(OFFSET($H$3,0,0,'Données projet'!$E$9+1,1))</f>
        <v>167.82976403567059</v>
      </c>
      <c r="T41" s="59">
        <f t="shared" si="34"/>
        <v>232.70925470547317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4.0799804165770652</v>
      </c>
      <c r="AA41" s="21">
        <f>EXP(-LN(2)/25)*AA40+(1-EXP(-LN(2)/25))/(LN(2)/25)*Calculateur!V41*Calculateur!X41*VLOOKUP('Données projet'!$B$9,Paramètres!$A$1:$I$89,3,0)*0.475*44/12</f>
        <v>8.5823158986160575</v>
      </c>
      <c r="AB41" s="21">
        <f>EXP(-LN(2)/2)*AB40+(1-EXP(-LN(2)/2))/(LN(2)/2)*V41*Y41*VLOOKUP('Données projet'!$B$9,Paramètres!$A$1:$I$89,3,0)*0.475*44/12</f>
        <v>0.81138597021490355</v>
      </c>
      <c r="AC41" s="22">
        <f t="shared" si="3"/>
        <v>13.473682285408026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152.59999999999997</v>
      </c>
      <c r="AJ41" s="13">
        <f>AI41*VLOOKUP('Données projet'!$B$10,Paramètres!$A$1:$I$89,3,0)*VLOOKUP('Données projet'!$B$10,Paramètres!$A$1:$I$89,5,0)</f>
        <v>154.73639999999997</v>
      </c>
      <c r="AK41" s="13">
        <f t="shared" si="35"/>
        <v>39.652994320183666</v>
      </c>
      <c r="AL41" s="20">
        <f t="shared" si="4"/>
        <v>338.56152844098648</v>
      </c>
      <c r="AM41" s="59">
        <f t="shared" si="5"/>
        <v>584.75312173454518</v>
      </c>
      <c r="AN41" s="59">
        <f ca="1">AVERAGE(OFFSET($AM$3,0,0,'Données projet'!$E$10+1,1))-AVERAGE(OFFSET($H$3,0,0,'Données projet'!$E$10+1,1))</f>
        <v>542.51810435067659</v>
      </c>
      <c r="AO41" s="59">
        <f t="shared" si="36"/>
        <v>325.7263575945085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152.59999999999997</v>
      </c>
      <c r="BE41" s="13">
        <f>BD41*VLOOKUP('Données projet'!$B$11,Paramètres!$A$1:$I$89,3,0)*VLOOKUP('Données projet'!$B$11,Paramètres!$A$1:$I$89,5,0)</f>
        <v>138.07247999999996</v>
      </c>
      <c r="BF41" s="13">
        <f t="shared" si="37"/>
        <v>35.855082076777961</v>
      </c>
      <c r="BG41" s="20">
        <f t="shared" si="7"/>
        <v>302.92383728372153</v>
      </c>
      <c r="BH41" s="59">
        <f t="shared" si="8"/>
        <v>549.11543057728022</v>
      </c>
      <c r="BI41" s="59">
        <f ca="1">AVERAGE(OFFSET($BH$3,0,0,'Données projet'!$E$11+1,1))-AVERAGE(OFFSET($H$3,0,0,'Données projet'!$E$11+1,1))</f>
        <v>492.39485179035256</v>
      </c>
      <c r="BJ41" s="59">
        <f t="shared" si="38"/>
        <v>297.32483725004124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</v>
      </c>
      <c r="BY41" s="12">
        <f>IF('Données projet'!$A$114&gt;35,BY40+BX41-CG40,IF(A41&lt;'Données projet'!$A$114,$BV$205^A41,IF(A41='Données projet'!$A$114,'Données projet'!$B$114,BY40+BX41-CG40)))</f>
        <v>82.2</v>
      </c>
      <c r="BZ41" s="13">
        <f>BY41*VLOOKUP('Données projet'!$B$12,Paramètres!$A$1:$I$89,3,0)*VLOOKUP('Données projet'!$B$12,Paramètres!$A$1:$I$89,5,0)</f>
        <v>78.221520000000012</v>
      </c>
      <c r="CA41" s="13">
        <f t="shared" si="39"/>
        <v>21.701769187765223</v>
      </c>
      <c r="CB41" s="20">
        <f t="shared" si="10"/>
        <v>174.03306200202442</v>
      </c>
      <c r="CC41" s="59">
        <f t="shared" si="11"/>
        <v>420.22465529558315</v>
      </c>
      <c r="CD41" s="59">
        <f ca="1">AVERAGE(OFFSET($CC$3,0,0,'Données projet'!$E$12+1,1))-AVERAGE(OFFSET($H$3,0,0,'Données projet'!$E$12+1,1))</f>
        <v>260.51631161522039</v>
      </c>
      <c r="CE41" s="59">
        <f t="shared" si="40"/>
        <v>171.3469666102674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21</v>
      </c>
      <c r="CT41" s="12">
        <f>IF('Données projet'!$A$140&gt;35,CT40+CS41-DB40,IF(A41&lt;'Données projet'!$A$140,$CQ$205^A41,IF(A41='Données projet'!$A$140,'Données projet'!$B$140,CT40+CS41-DB40)))</f>
        <v>337</v>
      </c>
      <c r="CU41" s="17">
        <f>CT41*VLOOKUP('Données projet'!$B$13,Paramètres!$A$1:$I$89,3,0)*VLOOKUP('Données projet'!$B$13,Paramètres!$A$1:$I$89,5,0)</f>
        <v>201.52600000000001</v>
      </c>
      <c r="CV41" s="13">
        <f t="shared" si="41"/>
        <v>50.079387833316794</v>
      </c>
      <c r="CW41" s="20">
        <f t="shared" si="13"/>
        <v>438.21271714302679</v>
      </c>
      <c r="CX41" s="59">
        <f t="shared" si="14"/>
        <v>684.40431043658555</v>
      </c>
      <c r="CY41" s="59">
        <f ca="1">AVERAGE(OFFSET($CX$3,0,0,'Données projet'!$E$13+1,1))-AVERAGE(OFFSET($H$3,0,0,'Données projet'!$E$13+1,1))</f>
        <v>301.2688576786212</v>
      </c>
      <c r="CZ41" s="59">
        <f t="shared" si="42"/>
        <v>417.62172165132927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18.724604746156956</v>
      </c>
      <c r="DG41" s="21">
        <f>EXP(-LN(2)/25)*DG40+(1-EXP(-LN(2)/25))/(LN(2)/25)*Calculateur!DB41*Calculateur!DD41*VLOOKUP('Données projet'!$B$13,Paramètres!$A$1:$I$89,3,0)*0.475*44/12</f>
        <v>24.477527379876772</v>
      </c>
      <c r="DH41" s="21">
        <f>EXP(-LN(2)/2)*DH40+(1-EXP(-LN(2)/2))/(LN(2)/2)*DB41*DE41*VLOOKUP('Données projet'!$B$13,Paramètres!$A$1:$I$89,3,0)*0.475*44/12</f>
        <v>4.3928982261300584</v>
      </c>
      <c r="DI41" s="22">
        <f t="shared" si="15"/>
        <v>47.595030352163789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190</v>
      </c>
      <c r="O42" s="13">
        <f>N42*VLOOKUP('Données projet'!$B$9,Paramètres!$A$1:$I$89,3,0)*VLOOKUP('Données projet'!$B$9,Paramètres!$A$1:$I$89,5,0)</f>
        <v>88.919999999999987</v>
      </c>
      <c r="P42" s="13">
        <f t="shared" si="33"/>
        <v>24.30457227046648</v>
      </c>
      <c r="Q42" s="20">
        <f t="shared" si="53"/>
        <v>197.19946337106239</v>
      </c>
      <c r="R42" s="59">
        <f t="shared" si="0"/>
        <v>444.20886046116948</v>
      </c>
      <c r="S42" s="59">
        <f ca="1">AVERAGE(OFFSET($R$3,0,0,'Données projet'!$E$9+1,1))-AVERAGE(OFFSET($H$3,0,0,'Données projet'!$E$9+1,1))</f>
        <v>167.82976403567059</v>
      </c>
      <c r="T42" s="59">
        <f t="shared" si="34"/>
        <v>232.70925470547317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3.9999744891503197</v>
      </c>
      <c r="AA42" s="21">
        <f>EXP(-LN(2)/25)*AA41+(1-EXP(-LN(2)/25))/(LN(2)/25)*Calculateur!V42*Calculateur!X42*VLOOKUP('Données projet'!$B$9,Paramètres!$A$1:$I$89,3,0)*0.475*44/12</f>
        <v>8.3476320190440241</v>
      </c>
      <c r="AB42" s="21">
        <f>EXP(-LN(2)/2)*AB41+(1-EXP(-LN(2)/2))/(LN(2)/2)*V42*Y42*VLOOKUP('Données projet'!$B$9,Paramètres!$A$1:$I$89,3,0)*0.475*44/12</f>
        <v>0.57373652169858436</v>
      </c>
      <c r="AC42" s="22">
        <f t="shared" si="3"/>
        <v>12.921343029892929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163.79999999999995</v>
      </c>
      <c r="AJ42" s="13">
        <f>AI42*VLOOKUP('Données projet'!$B$10,Paramètres!$A$1:$I$89,3,0)*VLOOKUP('Données projet'!$B$10,Paramètres!$A$1:$I$89,5,0)</f>
        <v>166.09319999999997</v>
      </c>
      <c r="AK42" s="13">
        <f t="shared" si="35"/>
        <v>42.213849908165905</v>
      </c>
      <c r="AL42" s="20">
        <f t="shared" si="4"/>
        <v>362.80144525672222</v>
      </c>
      <c r="AM42" s="59">
        <f t="shared" si="5"/>
        <v>609.8108423468293</v>
      </c>
      <c r="AN42" s="59">
        <f ca="1">AVERAGE(OFFSET($AM$3,0,0,'Données projet'!$E$10+1,1))-AVERAGE(OFFSET($H$3,0,0,'Données projet'!$E$10+1,1))</f>
        <v>542.51810435067659</v>
      </c>
      <c r="AO42" s="59">
        <f t="shared" si="36"/>
        <v>325.7263575945085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163.79999999999995</v>
      </c>
      <c r="BE42" s="13">
        <f>BD42*VLOOKUP('Données projet'!$B$11,Paramètres!$A$1:$I$89,3,0)*VLOOKUP('Données projet'!$B$11,Paramètres!$A$1:$I$89,5,0)</f>
        <v>148.20623999999995</v>
      </c>
      <c r="BF42" s="13">
        <f t="shared" si="37"/>
        <v>38.170662245893794</v>
      </c>
      <c r="BG42" s="20">
        <f t="shared" si="7"/>
        <v>324.60643807826494</v>
      </c>
      <c r="BH42" s="59">
        <f t="shared" si="8"/>
        <v>571.61583516837209</v>
      </c>
      <c r="BI42" s="59">
        <f ca="1">AVERAGE(OFFSET($BH$3,0,0,'Données projet'!$E$11+1,1))-AVERAGE(OFFSET($H$3,0,0,'Données projet'!$E$11+1,1))</f>
        <v>492.39485179035256</v>
      </c>
      <c r="BJ42" s="59">
        <f t="shared" si="38"/>
        <v>297.32483725004124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</v>
      </c>
      <c r="BY42" s="12">
        <f>IF('Données projet'!$A$114&gt;35,BY41+BX42-CG41,IF(A42&lt;'Données projet'!$A$114,$BV$205^A42,IF(A42='Données projet'!$A$114,'Données projet'!$B$114,BY41+BX42-CG41)))</f>
        <v>87.600000000000009</v>
      </c>
      <c r="BZ42" s="13">
        <f>BY42*VLOOKUP('Données projet'!$B$12,Paramètres!$A$1:$I$89,3,0)*VLOOKUP('Données projet'!$B$12,Paramètres!$A$1:$I$89,5,0)</f>
        <v>83.360160000000008</v>
      </c>
      <c r="CA42" s="13">
        <f t="shared" si="39"/>
        <v>22.956783071137561</v>
      </c>
      <c r="CB42" s="20">
        <f t="shared" si="10"/>
        <v>185.16867584889792</v>
      </c>
      <c r="CC42" s="59">
        <f t="shared" si="11"/>
        <v>432.17807293900501</v>
      </c>
      <c r="CD42" s="59">
        <f ca="1">AVERAGE(OFFSET($CC$3,0,0,'Données projet'!$E$12+1,1))-AVERAGE(OFFSET($H$3,0,0,'Données projet'!$E$12+1,1))</f>
        <v>260.51631161522039</v>
      </c>
      <c r="CE42" s="59">
        <f t="shared" si="40"/>
        <v>171.3469666102674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21</v>
      </c>
      <c r="CT42" s="12">
        <f>IF('Données projet'!$A$140&gt;35,CT41+CS42-DB41,IF(A42&lt;'Données projet'!$A$140,$CQ$205^A42,IF(A42='Données projet'!$A$140,'Données projet'!$B$140,CT41+CS42-DB41)))</f>
        <v>358</v>
      </c>
      <c r="CU42" s="17">
        <f>CT42*VLOOKUP('Données projet'!$B$13,Paramètres!$A$1:$I$89,3,0)*VLOOKUP('Données projet'!$B$13,Paramètres!$A$1:$I$89,5,0)</f>
        <v>214.084</v>
      </c>
      <c r="CV42" s="13">
        <f t="shared" si="41"/>
        <v>52.827039557879814</v>
      </c>
      <c r="CW42" s="20">
        <f t="shared" si="13"/>
        <v>464.87006056330733</v>
      </c>
      <c r="CX42" s="59">
        <f t="shared" si="14"/>
        <v>711.87945765341442</v>
      </c>
      <c r="CY42" s="59">
        <f ca="1">AVERAGE(OFFSET($CX$3,0,0,'Données projet'!$E$13+1,1))-AVERAGE(OFFSET($H$3,0,0,'Données projet'!$E$13+1,1))</f>
        <v>301.2688576786212</v>
      </c>
      <c r="CZ42" s="59">
        <f t="shared" si="42"/>
        <v>417.62172165132927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18.357426667965996</v>
      </c>
      <c r="DG42" s="21">
        <f>EXP(-LN(2)/25)*DG41+(1-EXP(-LN(2)/25))/(LN(2)/25)*Calculateur!DB42*Calculateur!DD42*VLOOKUP('Données projet'!$B$13,Paramètres!$A$1:$I$89,3,0)*0.475*44/12</f>
        <v>23.808188106456821</v>
      </c>
      <c r="DH42" s="21">
        <f>EXP(-LN(2)/2)*DH41+(1-EXP(-LN(2)/2))/(LN(2)/2)*DB42*DE42*VLOOKUP('Données projet'!$B$13,Paramètres!$A$1:$I$89,3,0)*0.475*44/12</f>
        <v>3.10624812475892</v>
      </c>
      <c r="DI42" s="22">
        <f t="shared" si="15"/>
        <v>45.271862899181741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200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200</v>
      </c>
      <c r="O43" s="13">
        <f>N43*VLOOKUP('Données projet'!$B$9,Paramètres!$A$1:$I$89,3,0)*VLOOKUP('Données projet'!$B$9,Paramètres!$A$1:$I$89,5,0)</f>
        <v>93.600000000000009</v>
      </c>
      <c r="P43" s="13">
        <f t="shared" si="33"/>
        <v>25.431466524572937</v>
      </c>
      <c r="Q43" s="20">
        <f t="shared" si="53"/>
        <v>207.31313753029789</v>
      </c>
      <c r="R43" s="59">
        <f t="shared" si="0"/>
        <v>455.12615134941871</v>
      </c>
      <c r="S43" s="59">
        <f ca="1">AVERAGE(OFFSET($R$3,0,0,'Données projet'!$E$9+1,1))-AVERAGE(OFFSET($H$3,0,0,'Données projet'!$E$9+1,1))</f>
        <v>167.82976403567059</v>
      </c>
      <c r="T43" s="59">
        <f t="shared" si="34"/>
        <v>232.70925470547317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50</v>
      </c>
      <c r="W43" s="16">
        <f>IF(ISNA(VLOOKUP(A43,'Données projet'!$A$35:$I$55,5,0)),0%,VLOOKUP(A43,'Données projet'!$A$35:$I$55,5,0)*VLOOKUP('Données projet'!$B$9,Paramètres!$A$1:$I$89,7,0))</f>
        <v>0.16500000000000001</v>
      </c>
      <c r="X43" s="16">
        <f>IF(ISNA(VLOOKUP(A43,'Données projet'!$A$35:$I$55,6,0)),0%,VLOOKUP(A43,'Données projet'!$A$35:$I$55,6,0)*VLOOKUP('Données projet'!$B$9,Paramètres!$A$1:$I$89,7,0))</f>
        <v>0.21450000000000002</v>
      </c>
      <c r="Y43" s="16">
        <f>IF(ISNA(VLOOKUP(A43,'Données projet'!$A$35:$I$55,7,0)),0%,VLOOKUP(A43,'Données projet'!$A$35:$I$55,7,0))</f>
        <v>0.31</v>
      </c>
      <c r="Z43" s="21">
        <f>EXP(-LN(2)/35)*Z42+(1-EXP(-LN(2)/35))/(LN(2)/35)*V43*W43*VLOOKUP('Données projet'!$B$9,Paramètres!$A$1:$I$89,3,0)*0.475*44/12</f>
        <v>9.0434027916136817</v>
      </c>
      <c r="AA43" s="21">
        <f>EXP(-LN(2)/25)*AA42+(1-EXP(-LN(2)/25))/(LN(2)/25)*Calculateur!V43*Calculateur!X43*VLOOKUP('Données projet'!$B$9,Paramètres!$A$1:$I$89,3,0)*0.475*44/12</f>
        <v>14.751573797517679</v>
      </c>
      <c r="AB43" s="21">
        <f>EXP(-LN(2)/2)*AB42+(1-EXP(-LN(2)/2))/(LN(2)/2)*V43*Y43*VLOOKUP('Données projet'!$B$9,Paramètres!$A$1:$I$89,3,0)*0.475*44/12</f>
        <v>8.6189060713644317</v>
      </c>
      <c r="AC43" s="22">
        <f t="shared" si="3"/>
        <v>32.413882660495787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174.99999999999994</v>
      </c>
      <c r="AJ43" s="13">
        <f>AI43*VLOOKUP('Données projet'!$B$10,Paramètres!$A$1:$I$89,3,0)*VLOOKUP('Données projet'!$B$10,Paramètres!$A$1:$I$89,5,0)</f>
        <v>177.44999999999996</v>
      </c>
      <c r="AK43" s="13">
        <f t="shared" si="35"/>
        <v>44.754387900936791</v>
      </c>
      <c r="AL43" s="20">
        <f t="shared" si="4"/>
        <v>387.00597559413154</v>
      </c>
      <c r="AM43" s="59">
        <f t="shared" si="5"/>
        <v>634.81898941325232</v>
      </c>
      <c r="AN43" s="59">
        <f ca="1">AVERAGE(OFFSET($AM$3,0,0,'Données projet'!$E$10+1,1))-AVERAGE(OFFSET($H$3,0,0,'Données projet'!$E$10+1,1))</f>
        <v>542.51810435067659</v>
      </c>
      <c r="AO43" s="59">
        <f t="shared" si="36"/>
        <v>325.7263575945085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2.6992402913501592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2.6992402913501592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174.99999999999994</v>
      </c>
      <c r="BE43" s="13">
        <f>BD43*VLOOKUP('Données projet'!$B$11,Paramètres!$A$1:$I$89,3,0)*VLOOKUP('Données projet'!$B$11,Paramètres!$A$1:$I$89,5,0)</f>
        <v>158.33999999999995</v>
      </c>
      <c r="BF43" s="13">
        <f t="shared" si="37"/>
        <v>40.467870812652784</v>
      </c>
      <c r="BG43" s="20">
        <f t="shared" si="7"/>
        <v>346.2570416653702</v>
      </c>
      <c r="BH43" s="59">
        <f t="shared" si="8"/>
        <v>594.07005548449104</v>
      </c>
      <c r="BI43" s="59">
        <f ca="1">AVERAGE(OFFSET($BH$3,0,0,'Données projet'!$E$11+1,1))-AVERAGE(OFFSET($H$3,0,0,'Données projet'!$E$11+1,1))</f>
        <v>492.39485179035256</v>
      </c>
      <c r="BJ43" s="59">
        <f t="shared" si="38"/>
        <v>297.32483725004124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2.4085528753586032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2.4085528753586032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93</v>
      </c>
      <c r="BW43" s="12">
        <f>VLOOKUP(A43,'Données projet'!$A$113:$I$133,9,0)</f>
        <v>5.4</v>
      </c>
      <c r="BX43" s="12">
        <f t="array" ref="BX43">INDEX(BW:BW,MIN(IF(ISNUMBER(BW43:BW239),ROW(BW43:BW239),"")))</f>
        <v>5.4</v>
      </c>
      <c r="BY43" s="12">
        <f>IF('Données projet'!$A$114&gt;35,BY42+BX43-CG42,IF(A43&lt;'Données projet'!$A$114,$BV$205^A43,IF(A43='Données projet'!$A$114,'Données projet'!$B$114,BY42+BX43-CG42)))</f>
        <v>93.000000000000014</v>
      </c>
      <c r="BZ43" s="13">
        <f>BY43*VLOOKUP('Données projet'!$B$12,Paramètres!$A$1:$I$89,3,0)*VLOOKUP('Données projet'!$B$12,Paramètres!$A$1:$I$89,5,0)</f>
        <v>88.498800000000003</v>
      </c>
      <c r="CA43" s="13">
        <f t="shared" si="39"/>
        <v>24.202818028970764</v>
      </c>
      <c r="CB43" s="20">
        <f t="shared" si="10"/>
        <v>196.28865140045741</v>
      </c>
      <c r="CC43" s="59">
        <f t="shared" si="11"/>
        <v>444.10166521957819</v>
      </c>
      <c r="CD43" s="59">
        <f ca="1">AVERAGE(OFFSET($CC$3,0,0,'Données projet'!$E$12+1,1))-AVERAGE(OFFSET($H$3,0,0,'Données projet'!$E$12+1,1))</f>
        <v>260.51631161522039</v>
      </c>
      <c r="CE43" s="59">
        <f t="shared" si="40"/>
        <v>171.3469666102674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14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1.2665665982489209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1.2665665982489209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379</v>
      </c>
      <c r="CR43" s="12">
        <f>VLOOKUP(A43,'Données projet'!$A$139:$I$159,9,0)</f>
        <v>21</v>
      </c>
      <c r="CS43" s="12">
        <f t="array" ref="CS43">INDEX(CR:CR,MIN(IF(ISNUMBER(CR43:CR239),ROW(CR43:CR239),"")))</f>
        <v>21</v>
      </c>
      <c r="CT43" s="12">
        <f>IF('Données projet'!$A$140&gt;35,CT42+CS43-DB42,IF(A43&lt;'Données projet'!$A$140,$CQ$205^A43,IF(A43='Données projet'!$A$140,'Données projet'!$B$140,CT42+CS43-DB42)))</f>
        <v>379</v>
      </c>
      <c r="CU43" s="17">
        <f>CT43*VLOOKUP('Données projet'!$B$13,Paramètres!$A$1:$I$89,3,0)*VLOOKUP('Données projet'!$B$13,Paramètres!$A$1:$I$89,5,0)</f>
        <v>226.64200000000002</v>
      </c>
      <c r="CV43" s="13">
        <f t="shared" si="41"/>
        <v>55.555983079812862</v>
      </c>
      <c r="CW43" s="20">
        <f t="shared" si="13"/>
        <v>491.49482053067408</v>
      </c>
      <c r="CX43" s="59">
        <f t="shared" si="14"/>
        <v>739.30783434979492</v>
      </c>
      <c r="CY43" s="59">
        <f ca="1">AVERAGE(OFFSET($CX$3,0,0,'Données projet'!$E$13+1,1))-AVERAGE(OFFSET($H$3,0,0,'Données projet'!$E$13+1,1))</f>
        <v>301.2688576786212</v>
      </c>
      <c r="CZ43" s="59">
        <f t="shared" si="42"/>
        <v>417.62172165132927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0.22500000000000001</v>
      </c>
      <c r="DD43" s="16">
        <f>IF(ISNA(VLOOKUP(A43,'Données projet'!$A$139:$I$159,6,0)),0%,VLOOKUP(A43,'Données projet'!$A$139:$I$159,6,0)*VLOOKUP('Données projet'!$B$13,Paramètres!$A$1:$I$89,7,0))</f>
        <v>0.12600000000000003</v>
      </c>
      <c r="DE43" s="16">
        <f>IF(ISNA(VLOOKUP(A43,'Données projet'!$A$139:$I$159,7,0)),0%,VLOOKUP(A43,'Données projet'!$A$139:$I$159,7,0))</f>
        <v>0.22</v>
      </c>
      <c r="DF43" s="21">
        <f>EXP(-LN(2)/35)*DF42+(1-EXP(-LN(2)/35))/(LN(2)/35)*DB43*DC43*VLOOKUP('Données projet'!$B$13,Paramètres!$A$1:$I$89,3,0)*0.475*44/12</f>
        <v>27.992846586777695</v>
      </c>
      <c r="DG43" s="21">
        <f>EXP(-LN(2)/25)*DG42+(1-EXP(-LN(2)/25))/(LN(2)/25)*Calculateur!DB43*Calculateur!DD43*VLOOKUP('Données projet'!$B$13,Paramètres!$A$1:$I$89,3,0)*0.475*44/12</f>
        <v>28.732535565268588</v>
      </c>
      <c r="DH43" s="21">
        <f>EXP(-LN(2)/2)*DH42+(1-EXP(-LN(2)/2))/(LN(2)/2)*DB43*DE43*VLOOKUP('Données projet'!$B$13,Paramètres!$A$1:$I$89,3,0)*0.475*44/12</f>
        <v>10.538012052569613</v>
      </c>
      <c r="DI43" s="22">
        <f t="shared" si="15"/>
        <v>67.263394204615892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10.5</v>
      </c>
      <c r="N44" s="13">
        <f>IF('Données projet'!$A$36&gt;35,N43+M44-V43,IF(A44&lt;'Données projet'!$A$36,$K$205^A44,IF(A44='Données projet'!$A$36,'Données projet'!$B$36,N43+M44-V43)))</f>
        <v>160.5</v>
      </c>
      <c r="O44" s="13">
        <f>N44*VLOOKUP('Données projet'!$B$9,Paramètres!$A$1:$I$89,3,0)*VLOOKUP('Données projet'!$B$9,Paramètres!$A$1:$I$89,5,0)</f>
        <v>75.114000000000004</v>
      </c>
      <c r="P44" s="13">
        <f t="shared" si="33"/>
        <v>20.938185501492693</v>
      </c>
      <c r="Q44" s="20">
        <f t="shared" si="53"/>
        <v>167.2908897484331</v>
      </c>
      <c r="R44" s="59">
        <f t="shared" si="0"/>
        <v>415.89357934293707</v>
      </c>
      <c r="S44" s="59">
        <f ca="1">AVERAGE(OFFSET($R$3,0,0,'Données projet'!$E$9+1,1))-AVERAGE(OFFSET($H$3,0,0,'Données projet'!$E$9+1,1))</f>
        <v>167.82976403567059</v>
      </c>
      <c r="T44" s="59">
        <f t="shared" si="34"/>
        <v>232.70925470547317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8.8660671788011864</v>
      </c>
      <c r="AA44" s="21">
        <f>EXP(-LN(2)/25)*AA43+(1-EXP(-LN(2)/25))/(LN(2)/25)*Calculateur!V44*Calculateur!X44*VLOOKUP('Données projet'!$B$9,Paramètres!$A$1:$I$89,3,0)*0.475*44/12</f>
        <v>14.348191236273006</v>
      </c>
      <c r="AB44" s="21">
        <f>EXP(-LN(2)/2)*AB43+(1-EXP(-LN(2)/2))/(LN(2)/2)*V44*Y44*VLOOKUP('Données projet'!$B$9,Paramètres!$A$1:$I$89,3,0)*0.475*44/12</f>
        <v>6.0944869294716959</v>
      </c>
      <c r="AC44" s="22">
        <f t="shared" si="3"/>
        <v>29.308745344545887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158.39999999999995</v>
      </c>
      <c r="AJ44" s="13">
        <f>AI44*VLOOKUP('Données projet'!$B$10,Paramètres!$A$1:$I$89,3,0)*VLOOKUP('Données projet'!$B$10,Paramètres!$A$1:$I$89,5,0)</f>
        <v>160.61759999999995</v>
      </c>
      <c r="AK44" s="13">
        <f t="shared" si="35"/>
        <v>40.981785561145074</v>
      </c>
      <c r="AL44" s="20">
        <f t="shared" si="4"/>
        <v>351.11892985232754</v>
      </c>
      <c r="AM44" s="59">
        <f t="shared" si="5"/>
        <v>599.72161944683148</v>
      </c>
      <c r="AN44" s="59">
        <f ca="1">AVERAGE(OFFSET($AM$3,0,0,'Données projet'!$E$10+1,1))-AVERAGE(OFFSET($H$3,0,0,'Données projet'!$E$10+1,1))</f>
        <v>542.51810435067659</v>
      </c>
      <c r="AO44" s="59">
        <f t="shared" si="36"/>
        <v>325.7263575945085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2.6463098356107944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2.6463098356107944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158.39999999999995</v>
      </c>
      <c r="BE44" s="13">
        <f>BD44*VLOOKUP('Données projet'!$B$11,Paramètres!$A$1:$I$89,3,0)*VLOOKUP('Données projet'!$B$11,Paramètres!$A$1:$I$89,5,0)</f>
        <v>143.32031999999992</v>
      </c>
      <c r="BF44" s="13">
        <f t="shared" si="37"/>
        <v>37.056603420232349</v>
      </c>
      <c r="BG44" s="20">
        <f t="shared" si="7"/>
        <v>314.15647495690456</v>
      </c>
      <c r="BH44" s="59">
        <f t="shared" si="8"/>
        <v>562.7591645514085</v>
      </c>
      <c r="BI44" s="59">
        <f ca="1">AVERAGE(OFFSET($BH$3,0,0,'Données projet'!$E$11+1,1))-AVERAGE(OFFSET($H$3,0,0,'Données projet'!$E$11+1,1))</f>
        <v>492.39485179035256</v>
      </c>
      <c r="BJ44" s="59">
        <f t="shared" si="38"/>
        <v>297.32483725004124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2.3613226225450159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2.3613226225450159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80.50536000000001</v>
      </c>
      <c r="CA44" s="13">
        <f t="shared" si="39"/>
        <v>22.260701954394872</v>
      </c>
      <c r="CB44" s="20">
        <f t="shared" si="10"/>
        <v>178.98422457057109</v>
      </c>
      <c r="CC44" s="59">
        <f t="shared" si="11"/>
        <v>427.58691416507509</v>
      </c>
      <c r="CD44" s="59">
        <f ca="1">AVERAGE(OFFSET($CC$3,0,0,'Données projet'!$E$12+1,1))-AVERAGE(OFFSET($H$3,0,0,'Données projet'!$E$12+1,1))</f>
        <v>260.51631161522039</v>
      </c>
      <c r="CE44" s="59">
        <f t="shared" si="40"/>
        <v>171.3469666102674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1.2417299997866036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1.2417299997866036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19.600000000000001</v>
      </c>
      <c r="CT44" s="12">
        <f>IF('Données projet'!$A$140&gt;35,CT43+CS44-DB43,IF(A44&lt;'Données projet'!$A$140,$CQ$205^A44,IF(A44='Données projet'!$A$140,'Données projet'!$B$140,CT43+CS44-DB43)))</f>
        <v>342.6</v>
      </c>
      <c r="CU44" s="17">
        <f>CT44*VLOOKUP('Données projet'!$B$13,Paramètres!$A$1:$I$89,3,0)*VLOOKUP('Données projet'!$B$13,Paramètres!$A$1:$I$89,5,0)</f>
        <v>204.87480000000002</v>
      </c>
      <c r="CV44" s="13">
        <f t="shared" si="41"/>
        <v>50.813995071401308</v>
      </c>
      <c r="CW44" s="20">
        <f t="shared" si="13"/>
        <v>445.32465141602398</v>
      </c>
      <c r="CX44" s="59">
        <f t="shared" si="14"/>
        <v>693.92734101052793</v>
      </c>
      <c r="CY44" s="59">
        <f ca="1">AVERAGE(OFFSET($CX$3,0,0,'Données projet'!$E$13+1,1))-AVERAGE(OFFSET($H$3,0,0,'Données projet'!$E$13+1,1))</f>
        <v>301.2688576786212</v>
      </c>
      <c r="CZ44" s="59">
        <f t="shared" si="42"/>
        <v>417.62172165132927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27.44392393916149</v>
      </c>
      <c r="DG44" s="21">
        <f>EXP(-LN(2)/25)*DG43+(1-EXP(-LN(2)/25))/(LN(2)/25)*Calculateur!DB44*Calculateur!DD44*VLOOKUP('Données projet'!$B$13,Paramètres!$A$1:$I$89,3,0)*0.475*44/12</f>
        <v>27.946842869257942</v>
      </c>
      <c r="DH44" s="21">
        <f>EXP(-LN(2)/2)*DH43+(1-EXP(-LN(2)/2))/(LN(2)/2)*DB44*DE44*VLOOKUP('Données projet'!$B$13,Paramètres!$A$1:$I$89,3,0)*0.475*44/12</f>
        <v>7.4514997825975424</v>
      </c>
      <c r="DI44" s="22">
        <f t="shared" si="15"/>
        <v>62.842266591016973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10.5</v>
      </c>
      <c r="N45" s="13">
        <f>IF('Données projet'!$A$36&gt;35,N44+M45-V44,IF(A45&lt;'Données projet'!$A$36,$K$205^A45,IF(A45='Données projet'!$A$36,'Données projet'!$B$36,N44+M45-V44)))</f>
        <v>171</v>
      </c>
      <c r="O45" s="13">
        <f>N45*VLOOKUP('Données projet'!$B$9,Paramètres!$A$1:$I$89,3,0)*VLOOKUP('Données projet'!$B$9,Paramètres!$A$1:$I$89,5,0)</f>
        <v>80.027999999999992</v>
      </c>
      <c r="P45" s="13">
        <f t="shared" si="33"/>
        <v>22.144030134787155</v>
      </c>
      <c r="Q45" s="20">
        <f t="shared" si="53"/>
        <v>177.94961915142096</v>
      </c>
      <c r="R45" s="59">
        <f t="shared" si="0"/>
        <v>427.32828541205572</v>
      </c>
      <c r="S45" s="59">
        <f ca="1">AVERAGE(OFFSET($R$3,0,0,'Données projet'!$E$9+1,1))-AVERAGE(OFFSET($H$3,0,0,'Données projet'!$E$9+1,1))</f>
        <v>167.82976403567059</v>
      </c>
      <c r="T45" s="59">
        <f t="shared" si="34"/>
        <v>232.70925470547317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8.6922090091919024</v>
      </c>
      <c r="AA45" s="21">
        <f>EXP(-LN(2)/25)*AA44+(1-EXP(-LN(2)/25))/(LN(2)/25)*Calculateur!V45*Calculateur!X45*VLOOKUP('Données projet'!$B$9,Paramètres!$A$1:$I$89,3,0)*0.475*44/12</f>
        <v>13.955839192378537</v>
      </c>
      <c r="AB45" s="21">
        <f>EXP(-LN(2)/2)*AB44+(1-EXP(-LN(2)/2))/(LN(2)/2)*V45*Y45*VLOOKUP('Données projet'!$B$9,Paramètres!$A$1:$I$89,3,0)*0.475*44/12</f>
        <v>4.3094530356822167</v>
      </c>
      <c r="AC45" s="22">
        <f t="shared" si="3"/>
        <v>26.957501237252657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169.79999999999995</v>
      </c>
      <c r="AJ45" s="13">
        <f>AI45*VLOOKUP('Données projet'!$B$10,Paramètres!$A$1:$I$89,3,0)*VLOOKUP('Données projet'!$B$10,Paramètres!$A$1:$I$89,5,0)</f>
        <v>172.17719999999997</v>
      </c>
      <c r="AK45" s="13">
        <f t="shared" si="35"/>
        <v>43.577282221917017</v>
      </c>
      <c r="AL45" s="20">
        <f t="shared" si="4"/>
        <v>375.77238986983872</v>
      </c>
      <c r="AM45" s="59">
        <f t="shared" si="5"/>
        <v>625.15105613047342</v>
      </c>
      <c r="AN45" s="59">
        <f ca="1">AVERAGE(OFFSET($AM$3,0,0,'Données projet'!$E$10+1,1))-AVERAGE(OFFSET($H$3,0,0,'Données projet'!$E$10+1,1))</f>
        <v>542.51810435067659</v>
      </c>
      <c r="AO45" s="59">
        <f t="shared" si="36"/>
        <v>325.7263575945085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2.5944173138240885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2.5944173138240885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169.79999999999995</v>
      </c>
      <c r="BE45" s="13">
        <f>BD45*VLOOKUP('Données projet'!$B$11,Paramètres!$A$1:$I$89,3,0)*VLOOKUP('Données projet'!$B$11,Paramètres!$A$1:$I$89,5,0)</f>
        <v>153.63503999999995</v>
      </c>
      <c r="BF45" s="13">
        <f t="shared" si="37"/>
        <v>39.403506785222667</v>
      </c>
      <c r="BG45" s="20">
        <f t="shared" si="7"/>
        <v>336.20880231759605</v>
      </c>
      <c r="BH45" s="59">
        <f t="shared" si="8"/>
        <v>585.58746857823076</v>
      </c>
      <c r="BI45" s="59">
        <f ca="1">AVERAGE(OFFSET($BH$3,0,0,'Données projet'!$E$11+1,1))-AVERAGE(OFFSET($H$3,0,0,'Données projet'!$E$11+1,1))</f>
        <v>492.39485179035256</v>
      </c>
      <c r="BJ45" s="59">
        <f t="shared" si="38"/>
        <v>297.32483725004124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2.3150185261814937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2.3150185261814937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85.834320000000005</v>
      </c>
      <c r="CA45" s="13">
        <f t="shared" si="39"/>
        <v>23.557809132261784</v>
      </c>
      <c r="CB45" s="20">
        <f t="shared" si="10"/>
        <v>190.52462490535595</v>
      </c>
      <c r="CC45" s="59">
        <f t="shared" si="11"/>
        <v>439.90329116599071</v>
      </c>
      <c r="CD45" s="59">
        <f ca="1">AVERAGE(OFFSET($CC$3,0,0,'Données projet'!$E$12+1,1))-AVERAGE(OFFSET($H$3,0,0,'Données projet'!$E$12+1,1))</f>
        <v>260.51631161522039</v>
      </c>
      <c r="CE45" s="59">
        <f t="shared" si="40"/>
        <v>171.3469666102674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1.2173804318713031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1.2173804318713031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19.600000000000001</v>
      </c>
      <c r="CT45" s="12">
        <f>IF('Données projet'!$A$140&gt;35,CT44+CS45-DB44,IF(A45&lt;'Données projet'!$A$140,$CQ$205^A45,IF(A45='Données projet'!$A$140,'Données projet'!$B$140,CT44+CS45-DB44)))</f>
        <v>362.20000000000005</v>
      </c>
      <c r="CU45" s="17">
        <f>CT45*VLOOKUP('Données projet'!$B$13,Paramètres!$A$1:$I$89,3,0)*VLOOKUP('Données projet'!$B$13,Paramètres!$A$1:$I$89,5,0)</f>
        <v>216.59560000000005</v>
      </c>
      <c r="CV45" s="13">
        <f t="shared" si="41"/>
        <v>53.374285937607603</v>
      </c>
      <c r="CW45" s="20">
        <f t="shared" si="13"/>
        <v>470.19755134133334</v>
      </c>
      <c r="CX45" s="59">
        <f t="shared" si="14"/>
        <v>719.5762176019681</v>
      </c>
      <c r="CY45" s="59">
        <f ca="1">AVERAGE(OFFSET($CX$3,0,0,'Données projet'!$E$13+1,1))-AVERAGE(OFFSET($H$3,0,0,'Données projet'!$E$13+1,1))</f>
        <v>301.2688576786212</v>
      </c>
      <c r="CZ45" s="59">
        <f t="shared" si="42"/>
        <v>417.62172165132927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26.905765329855281</v>
      </c>
      <c r="DG45" s="21">
        <f>EXP(-LN(2)/25)*DG44+(1-EXP(-LN(2)/25))/(LN(2)/25)*Calculateur!DB45*Calculateur!DD45*VLOOKUP('Données projet'!$B$13,Paramètres!$A$1:$I$89,3,0)*0.475*44/12</f>
        <v>27.18263498133749</v>
      </c>
      <c r="DH45" s="21">
        <f>EXP(-LN(2)/2)*DH44+(1-EXP(-LN(2)/2))/(LN(2)/2)*DB45*DE45*VLOOKUP('Données projet'!$B$13,Paramètres!$A$1:$I$89,3,0)*0.475*44/12</f>
        <v>5.2690060262848073</v>
      </c>
      <c r="DI45" s="22">
        <f t="shared" si="15"/>
        <v>59.357406337477578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10.5</v>
      </c>
      <c r="N46" s="13">
        <f>IF('Données projet'!$A$36&gt;35,N45+M46-V45,IF(A46&lt;'Données projet'!$A$36,$K$205^A46,IF(A46='Données projet'!$A$36,'Données projet'!$B$36,N45+M46-V45)))</f>
        <v>181.5</v>
      </c>
      <c r="O46" s="13">
        <f>N46*VLOOKUP('Données projet'!$B$9,Paramètres!$A$1:$I$89,3,0)*VLOOKUP('Données projet'!$B$9,Paramètres!$A$1:$I$89,5,0)</f>
        <v>84.942000000000007</v>
      </c>
      <c r="P46" s="13">
        <f t="shared" si="33"/>
        <v>23.34128117988622</v>
      </c>
      <c r="Q46" s="20">
        <f t="shared" si="53"/>
        <v>188.59338138830185</v>
      </c>
      <c r="R46" s="59">
        <f t="shared" si="0"/>
        <v>438.73456285473389</v>
      </c>
      <c r="S46" s="59">
        <f ca="1">AVERAGE(OFFSET($R$3,0,0,'Données projet'!$E$9+1,1))-AVERAGE(OFFSET($H$3,0,0,'Données projet'!$E$9+1,1))</f>
        <v>167.82976403567059</v>
      </c>
      <c r="T46" s="59">
        <f t="shared" si="34"/>
        <v>232.70925470547317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8.5217600922456427</v>
      </c>
      <c r="AA46" s="21">
        <f>EXP(-LN(2)/25)*AA45+(1-EXP(-LN(2)/25))/(LN(2)/25)*Calculateur!V46*Calculateur!X46*VLOOKUP('Données projet'!$B$9,Paramètres!$A$1:$I$89,3,0)*0.475*44/12</f>
        <v>13.57421603575726</v>
      </c>
      <c r="AB46" s="21">
        <f>EXP(-LN(2)/2)*AB45+(1-EXP(-LN(2)/2))/(LN(2)/2)*V46*Y46*VLOOKUP('Données projet'!$B$9,Paramètres!$A$1:$I$89,3,0)*0.475*44/12</f>
        <v>3.0472434647358484</v>
      </c>
      <c r="AC46" s="22">
        <f t="shared" si="3"/>
        <v>25.143219592738753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181.19999999999996</v>
      </c>
      <c r="AJ46" s="13">
        <f>AI46*VLOOKUP('Données projet'!$B$10,Paramètres!$A$1:$I$89,3,0)*VLOOKUP('Données projet'!$B$10,Paramètres!$A$1:$I$89,5,0)</f>
        <v>183.73679999999996</v>
      </c>
      <c r="AK46" s="13">
        <f t="shared" si="35"/>
        <v>46.152558509293854</v>
      </c>
      <c r="AL46" s="20">
        <f t="shared" si="4"/>
        <v>400.39063273702004</v>
      </c>
      <c r="AM46" s="59">
        <f t="shared" si="5"/>
        <v>650.53181420345209</v>
      </c>
      <c r="AN46" s="59">
        <f ca="1">AVERAGE(OFFSET($AM$3,0,0,'Données projet'!$E$10+1,1))-AVERAGE(OFFSET($H$3,0,0,'Données projet'!$E$10+1,1))</f>
        <v>542.51810435067659</v>
      </c>
      <c r="AO46" s="59">
        <f t="shared" si="36"/>
        <v>325.7263575945085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2.5435423727383069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2.5435423727383069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181.19999999999996</v>
      </c>
      <c r="BE46" s="13">
        <f>BD46*VLOOKUP('Données projet'!$B$11,Paramètres!$A$1:$I$89,3,0)*VLOOKUP('Données projet'!$B$11,Paramètres!$A$1:$I$89,5,0)</f>
        <v>163.94975999999997</v>
      </c>
      <c r="BF46" s="13">
        <f t="shared" si="37"/>
        <v>41.732126457893308</v>
      </c>
      <c r="BG46" s="20">
        <f t="shared" si="7"/>
        <v>358.22928558083078</v>
      </c>
      <c r="BH46" s="59">
        <f t="shared" si="8"/>
        <v>608.37046704726276</v>
      </c>
      <c r="BI46" s="59">
        <f ca="1">AVERAGE(OFFSET($BH$3,0,0,'Données projet'!$E$11+1,1))-AVERAGE(OFFSET($H$3,0,0,'Données projet'!$E$11+1,1))</f>
        <v>492.39485179035256</v>
      </c>
      <c r="BJ46" s="59">
        <f t="shared" si="38"/>
        <v>297.32483725004124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2.2696224249049499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2.2696224249049499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91.16328</v>
      </c>
      <c r="CA46" s="13">
        <f t="shared" si="39"/>
        <v>24.84557007760694</v>
      </c>
      <c r="CB46" s="20">
        <f t="shared" si="10"/>
        <v>202.04874721849876</v>
      </c>
      <c r="CC46" s="59">
        <f t="shared" si="11"/>
        <v>452.18992868493081</v>
      </c>
      <c r="CD46" s="59">
        <f ca="1">AVERAGE(OFFSET($CC$3,0,0,'Données projet'!$E$12+1,1))-AVERAGE(OFFSET($H$3,0,0,'Données projet'!$E$12+1,1))</f>
        <v>260.51631161522039</v>
      </c>
      <c r="CE46" s="59">
        <f t="shared" si="40"/>
        <v>171.3469666102674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1.1935083441310517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1.1935083441310517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19.600000000000001</v>
      </c>
      <c r="CT46" s="12">
        <f>IF('Données projet'!$A$140&gt;35,CT45+CS46-DB45,IF(A46&lt;'Données projet'!$A$140,$CQ$205^A46,IF(A46='Données projet'!$A$140,'Données projet'!$B$140,CT45+CS46-DB45)))</f>
        <v>381.80000000000007</v>
      </c>
      <c r="CU46" s="17">
        <f>CT46*VLOOKUP('Données projet'!$B$13,Paramètres!$A$1:$I$89,3,0)*VLOOKUP('Données projet'!$B$13,Paramètres!$A$1:$I$89,5,0)</f>
        <v>228.31640000000007</v>
      </c>
      <c r="CV46" s="13">
        <f t="shared" si="41"/>
        <v>55.918492337377344</v>
      </c>
      <c r="CW46" s="20">
        <f t="shared" si="13"/>
        <v>495.04243748759899</v>
      </c>
      <c r="CX46" s="59">
        <f t="shared" si="14"/>
        <v>745.18361895403109</v>
      </c>
      <c r="CY46" s="59">
        <f ca="1">AVERAGE(OFFSET($CX$3,0,0,'Données projet'!$E$13+1,1))-AVERAGE(OFFSET($H$3,0,0,'Données projet'!$E$13+1,1))</f>
        <v>301.2688576786212</v>
      </c>
      <c r="CZ46" s="59">
        <f t="shared" si="42"/>
        <v>417.62172165132927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26.378159682633228</v>
      </c>
      <c r="DG46" s="21">
        <f>EXP(-LN(2)/25)*DG45+(1-EXP(-LN(2)/25))/(LN(2)/25)*Calculateur!DB46*Calculateur!DD46*VLOOKUP('Données projet'!$B$13,Paramètres!$A$1:$I$89,3,0)*0.475*44/12</f>
        <v>26.439324398300169</v>
      </c>
      <c r="DH46" s="21">
        <f>EXP(-LN(2)/2)*DH45+(1-EXP(-LN(2)/2))/(LN(2)/2)*DB46*DE46*VLOOKUP('Données projet'!$B$13,Paramètres!$A$1:$I$89,3,0)*0.475*44/12</f>
        <v>3.7257498912987717</v>
      </c>
      <c r="DI46" s="22">
        <f t="shared" si="15"/>
        <v>56.543233972232166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10.5</v>
      </c>
      <c r="N47" s="13">
        <f>IF('Données projet'!$A$36&gt;35,N46+M47-V46,IF(A47&lt;'Données projet'!$A$36,$K$205^A47,IF(A47='Données projet'!$A$36,'Données projet'!$B$36,N46+M47-V46)))</f>
        <v>192</v>
      </c>
      <c r="O47" s="13">
        <f>N47*VLOOKUP('Données projet'!$B$9,Paramètres!$A$1:$I$89,3,0)*VLOOKUP('Données projet'!$B$9,Paramètres!$A$1:$I$89,5,0)</f>
        <v>89.856000000000009</v>
      </c>
      <c r="P47" s="13">
        <f t="shared" si="33"/>
        <v>24.5304924254994</v>
      </c>
      <c r="Q47" s="20">
        <f t="shared" si="53"/>
        <v>199.22314097441145</v>
      </c>
      <c r="R47" s="59">
        <f t="shared" si="0"/>
        <v>450.11360971254885</v>
      </c>
      <c r="S47" s="59">
        <f ca="1">AVERAGE(OFFSET($R$3,0,0,'Données projet'!$E$9+1,1))-AVERAGE(OFFSET($H$3,0,0,'Données projet'!$E$9+1,1))</f>
        <v>167.82976403567059</v>
      </c>
      <c r="T47" s="59">
        <f t="shared" si="34"/>
        <v>232.70925470547317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8.3546535745971262</v>
      </c>
      <c r="AA47" s="21">
        <f>EXP(-LN(2)/25)*AA46+(1-EXP(-LN(2)/25))/(LN(2)/25)*Calculateur!V47*Calculateur!X47*VLOOKUP('Données projet'!$B$9,Paramètres!$A$1:$I$89,3,0)*0.475*44/12</f>
        <v>13.203028384422481</v>
      </c>
      <c r="AB47" s="21">
        <f>EXP(-LN(2)/2)*AB46+(1-EXP(-LN(2)/2))/(LN(2)/2)*V47*Y47*VLOOKUP('Données projet'!$B$9,Paramètres!$A$1:$I$89,3,0)*0.475*44/12</f>
        <v>2.1547265178411088</v>
      </c>
      <c r="AC47" s="22">
        <f t="shared" si="3"/>
        <v>23.712408476860716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192.59999999999997</v>
      </c>
      <c r="AJ47" s="13">
        <f>AI47*VLOOKUP('Données projet'!$B$10,Paramètres!$A$1:$I$89,3,0)*VLOOKUP('Données projet'!$B$10,Paramètres!$A$1:$I$89,5,0)</f>
        <v>195.29639999999998</v>
      </c>
      <c r="AK47" s="13">
        <f t="shared" si="35"/>
        <v>48.709031383366153</v>
      </c>
      <c r="AL47" s="20">
        <f t="shared" si="4"/>
        <v>424.97612632602932</v>
      </c>
      <c r="AM47" s="59">
        <f t="shared" si="5"/>
        <v>675.86659506416675</v>
      </c>
      <c r="AN47" s="59">
        <f ca="1">AVERAGE(OFFSET($AM$3,0,0,'Données projet'!$E$10+1,1))-AVERAGE(OFFSET($H$3,0,0,'Données projet'!$E$10+1,1))</f>
        <v>542.51810435067659</v>
      </c>
      <c r="AO47" s="59">
        <f t="shared" si="36"/>
        <v>325.7263575945085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2.4936650582165671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2.4936650582165671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192.59999999999997</v>
      </c>
      <c r="BE47" s="13">
        <f>BD47*VLOOKUP('Données projet'!$B$11,Paramètres!$A$1:$I$89,3,0)*VLOOKUP('Données projet'!$B$11,Paramètres!$A$1:$I$89,5,0)</f>
        <v>174.26447999999996</v>
      </c>
      <c r="BF47" s="13">
        <f t="shared" si="37"/>
        <v>44.043743683739521</v>
      </c>
      <c r="BG47" s="20">
        <f t="shared" si="7"/>
        <v>380.22015624917958</v>
      </c>
      <c r="BH47" s="59">
        <f t="shared" si="8"/>
        <v>631.11062498731701</v>
      </c>
      <c r="BI47" s="59">
        <f ca="1">AVERAGE(OFFSET($BH$3,0,0,'Données projet'!$E$11+1,1))-AVERAGE(OFFSET($H$3,0,0,'Données projet'!$E$11+1,1))</f>
        <v>492.39485179035256</v>
      </c>
      <c r="BJ47" s="59">
        <f t="shared" si="38"/>
        <v>297.32483725004124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2.2251165134855517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2.2251165134855517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96.492239999999995</v>
      </c>
      <c r="CA47" s="13">
        <f t="shared" si="39"/>
        <v>26.124593361596208</v>
      </c>
      <c r="CB47" s="20">
        <f t="shared" si="10"/>
        <v>213.55765143811337</v>
      </c>
      <c r="CC47" s="59">
        <f t="shared" si="11"/>
        <v>464.44812017625077</v>
      </c>
      <c r="CD47" s="59">
        <f ca="1">AVERAGE(OFFSET($CC$3,0,0,'Données projet'!$E$12+1,1))-AVERAGE(OFFSET($H$3,0,0,'Données projet'!$E$12+1,1))</f>
        <v>260.51631161522039</v>
      </c>
      <c r="CE47" s="59">
        <f t="shared" si="40"/>
        <v>171.3469666102674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1.1701043734708507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1.1701043734708507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19.600000000000001</v>
      </c>
      <c r="CT47" s="12">
        <f>IF('Données projet'!$A$140&gt;35,CT46+CS47-DB46,IF(A47&lt;'Données projet'!$A$140,$CQ$205^A47,IF(A47='Données projet'!$A$140,'Données projet'!$B$140,CT46+CS47-DB46)))</f>
        <v>401.40000000000009</v>
      </c>
      <c r="CU47" s="17">
        <f>CT47*VLOOKUP('Données projet'!$B$13,Paramètres!$A$1:$I$89,3,0)*VLOOKUP('Données projet'!$B$13,Paramètres!$A$1:$I$89,5,0)</f>
        <v>240.0372000000001</v>
      </c>
      <c r="CV47" s="13">
        <f t="shared" si="41"/>
        <v>58.447534171232547</v>
      </c>
      <c r="CW47" s="20">
        <f t="shared" si="13"/>
        <v>519.86091201489683</v>
      </c>
      <c r="CX47" s="59">
        <f t="shared" si="14"/>
        <v>770.75138075303425</v>
      </c>
      <c r="CY47" s="59">
        <f ca="1">AVERAGE(OFFSET($CX$3,0,0,'Données projet'!$E$13+1,1))-AVERAGE(OFFSET($H$3,0,0,'Données projet'!$E$13+1,1))</f>
        <v>301.2688576786212</v>
      </c>
      <c r="CZ47" s="59">
        <f t="shared" si="42"/>
        <v>417.62172165132927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25.860900060345532</v>
      </c>
      <c r="DG47" s="21">
        <f>EXP(-LN(2)/25)*DG46+(1-EXP(-LN(2)/25))/(LN(2)/25)*Calculateur!DB47*Calculateur!DD47*VLOOKUP('Données projet'!$B$13,Paramètres!$A$1:$I$89,3,0)*0.475*44/12</f>
        <v>25.71633968224501</v>
      </c>
      <c r="DH47" s="21">
        <f>EXP(-LN(2)/2)*DH46+(1-EXP(-LN(2)/2))/(LN(2)/2)*DB47*DE47*VLOOKUP('Données projet'!$B$13,Paramètres!$A$1:$I$89,3,0)*0.475*44/12</f>
        <v>2.6345030131424041</v>
      </c>
      <c r="DI47" s="22">
        <f t="shared" si="15"/>
        <v>54.211742755732949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10.5</v>
      </c>
      <c r="N48" s="13">
        <f>IF('Données projet'!$A$36&gt;35,N47+M48-V47,IF(A48&lt;'Données projet'!$A$36,$K$205^A48,IF(A48='Données projet'!$A$36,'Données projet'!$B$36,N47+M48-V47)))</f>
        <v>202.5</v>
      </c>
      <c r="O48" s="13">
        <f>N48*VLOOKUP('Données projet'!$B$9,Paramètres!$A$1:$I$89,3,0)*VLOOKUP('Données projet'!$B$9,Paramètres!$A$1:$I$89,5,0)</f>
        <v>94.77</v>
      </c>
      <c r="P48" s="13">
        <f t="shared" si="33"/>
        <v>25.712153668783351</v>
      </c>
      <c r="Q48" s="20">
        <f t="shared" si="53"/>
        <v>209.839750973131</v>
      </c>
      <c r="R48" s="59">
        <f t="shared" si="0"/>
        <v>461.4665085239651</v>
      </c>
      <c r="S48" s="59">
        <f ca="1">AVERAGE(OFFSET($R$3,0,0,'Données projet'!$E$9+1,1))-AVERAGE(OFFSET($H$3,0,0,'Données projet'!$E$9+1,1))</f>
        <v>167.82976403567059</v>
      </c>
      <c r="T48" s="59">
        <f t="shared" si="34"/>
        <v>232.70925470547317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8.1908239138347856</v>
      </c>
      <c r="AA48" s="21">
        <f>EXP(-LN(2)/25)*AA47+(1-EXP(-LN(2)/25))/(LN(2)/25)*Calculateur!V48*Calculateur!X48*VLOOKUP('Données projet'!$B$9,Paramètres!$A$1:$I$89,3,0)*0.475*44/12</f>
        <v>12.841990878933361</v>
      </c>
      <c r="AB48" s="21">
        <f>EXP(-LN(2)/2)*AB47+(1-EXP(-LN(2)/2))/(LN(2)/2)*V48*Y48*VLOOKUP('Données projet'!$B$9,Paramètres!$A$1:$I$89,3,0)*0.475*44/12</f>
        <v>1.5236217323679244</v>
      </c>
      <c r="AC48" s="22">
        <f t="shared" si="3"/>
        <v>22.556436525136071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203.99999999999997</v>
      </c>
      <c r="AJ48" s="13">
        <f>AI48*VLOOKUP('Données projet'!$B$10,Paramètres!$A$1:$I$89,3,0)*VLOOKUP('Données projet'!$B$10,Paramètres!$A$1:$I$89,5,0)</f>
        <v>206.85599999999999</v>
      </c>
      <c r="AK48" s="13">
        <f t="shared" si="35"/>
        <v>51.247940588293027</v>
      </c>
      <c r="AL48" s="20">
        <f t="shared" si="4"/>
        <v>449.53102985794368</v>
      </c>
      <c r="AM48" s="59">
        <f t="shared" si="5"/>
        <v>701.15778740877784</v>
      </c>
      <c r="AN48" s="59">
        <f ca="1">AVERAGE(OFFSET($AM$3,0,0,'Données projet'!$E$10+1,1))-AVERAGE(OFFSET($H$3,0,0,'Données projet'!$E$10+1,1))</f>
        <v>542.51810435067659</v>
      </c>
      <c r="AO48" s="59">
        <f t="shared" si="36"/>
        <v>325.7263575945085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5.1440060987606007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5.1440060987606007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203.99999999999997</v>
      </c>
      <c r="BE48" s="13">
        <f>BD48*VLOOKUP('Données projet'!$B$11,Paramètres!$A$1:$I$89,3,0)*VLOOKUP('Données projet'!$B$11,Paramètres!$A$1:$I$89,5,0)</f>
        <v>184.57919999999999</v>
      </c>
      <c r="BF48" s="13">
        <f t="shared" si="37"/>
        <v>46.339479465836618</v>
      </c>
      <c r="BG48" s="20">
        <f t="shared" si="7"/>
        <v>402.18336673633206</v>
      </c>
      <c r="BH48" s="59">
        <f t="shared" si="8"/>
        <v>653.81012428716622</v>
      </c>
      <c r="BI48" s="59">
        <f ca="1">AVERAGE(OFFSET($BH$3,0,0,'Données projet'!$E$11+1,1))-AVERAGE(OFFSET($H$3,0,0,'Données projet'!$E$11+1,1))</f>
        <v>492.39485179035256</v>
      </c>
      <c r="BJ48" s="59">
        <f t="shared" si="38"/>
        <v>297.32483725004124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4.590036211201765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4.590036211201765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107</v>
      </c>
      <c r="BW48" s="12">
        <f>VLOOKUP(A48,'Données projet'!$A$113:$I$133,9,0)</f>
        <v>5.6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101.82119999999999</v>
      </c>
      <c r="CA48" s="13">
        <f t="shared" si="39"/>
        <v>27.395416540066275</v>
      </c>
      <c r="CB48" s="20">
        <f t="shared" si="10"/>
        <v>225.05227380728206</v>
      </c>
      <c r="CC48" s="59">
        <f t="shared" si="11"/>
        <v>476.67903135811616</v>
      </c>
      <c r="CD48" s="59">
        <f ca="1">AVERAGE(OFFSET($CC$3,0,0,'Données projet'!$E$12+1,1))-AVERAGE(OFFSET($H$3,0,0,'Données projet'!$E$12+1,1))</f>
        <v>260.51631161522039</v>
      </c>
      <c r="CE48" s="59">
        <f t="shared" si="40"/>
        <v>171.3469666102674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14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2.4137259386492049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2.4137259386492049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421</v>
      </c>
      <c r="CR48" s="12">
        <f>VLOOKUP(A48,'Données projet'!$A$139:$I$159,9,0)</f>
        <v>19.600000000000001</v>
      </c>
      <c r="CS48" s="12">
        <f t="array" ref="CS48">INDEX(CR:CR,MIN(IF(ISNUMBER(CR48:CR244),ROW(CR48:CR244),"")))</f>
        <v>19.600000000000001</v>
      </c>
      <c r="CT48" s="12">
        <f>IF('Données projet'!$A$140&gt;35,CT47+CS48-DB47,IF(A48&lt;'Données projet'!$A$140,$CQ$205^A48,IF(A48='Données projet'!$A$140,'Données projet'!$B$140,CT47+CS48-DB47)))</f>
        <v>421.00000000000011</v>
      </c>
      <c r="CU48" s="17">
        <f>CT48*VLOOKUP('Données projet'!$B$13,Paramètres!$A$1:$I$89,3,0)*VLOOKUP('Données projet'!$B$13,Paramètres!$A$1:$I$89,5,0)</f>
        <v>251.75800000000007</v>
      </c>
      <c r="CV48" s="13">
        <f t="shared" si="41"/>
        <v>60.962236428453878</v>
      </c>
      <c r="CW48" s="20">
        <f t="shared" si="13"/>
        <v>544.65441177955734</v>
      </c>
      <c r="CX48" s="59">
        <f t="shared" si="14"/>
        <v>796.28116933039144</v>
      </c>
      <c r="CY48" s="59">
        <f ca="1">AVERAGE(OFFSET($CX$3,0,0,'Données projet'!$E$13+1,1))-AVERAGE(OFFSET($H$3,0,0,'Données projet'!$E$13+1,1))</f>
        <v>301.2688576786212</v>
      </c>
      <c r="CZ48" s="59">
        <f t="shared" si="42"/>
        <v>417.62172165132927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54</v>
      </c>
      <c r="DC48" s="16">
        <f>IF(ISNA(VLOOKUP(A48,'Données projet'!$A$139:$I$159,5,0)),0%,VLOOKUP(A48,'Données projet'!$A$139:$I$159,5,0)*VLOOKUP('Données projet'!$B$13,Paramètres!$A$1:$I$89,7,0))</f>
        <v>0.27</v>
      </c>
      <c r="DD48" s="16">
        <f>IF(ISNA(VLOOKUP(A48,'Données projet'!$A$139:$I$159,6,0)),0%,VLOOKUP(A48,'Données projet'!$A$139:$I$159,6,0)*VLOOKUP('Données projet'!$B$13,Paramètres!$A$1:$I$89,7,0))</f>
        <v>9.9000000000000005E-2</v>
      </c>
      <c r="DE48" s="16">
        <f>IF(ISNA(VLOOKUP(A48,'Données projet'!$A$139:$I$159,7,0)),0%,VLOOKUP(A48,'Données projet'!$A$139:$I$159,7,0))</f>
        <v>0.18</v>
      </c>
      <c r="DF48" s="21">
        <f>EXP(-LN(2)/35)*DF47+(1-EXP(-LN(2)/35))/(LN(2)/35)*DB48*DC48*VLOOKUP('Données projet'!$B$13,Paramètres!$A$1:$I$89,3,0)*0.475*44/12</f>
        <v>36.919886820418164</v>
      </c>
      <c r="DG48" s="21">
        <f>EXP(-LN(2)/25)*DG47+(1-EXP(-LN(2)/25))/(LN(2)/25)*Calculateur!DB48*Calculateur!DD48*VLOOKUP('Données projet'!$B$13,Paramètres!$A$1:$I$89,3,0)*0.475*44/12</f>
        <v>29.237331484373822</v>
      </c>
      <c r="DH48" s="21">
        <f>EXP(-LN(2)/2)*DH47+(1-EXP(-LN(2)/2))/(LN(2)/2)*DB48*DE48*VLOOKUP('Données projet'!$B$13,Paramètres!$A$1:$I$89,3,0)*0.475*44/12</f>
        <v>8.4440431089598214</v>
      </c>
      <c r="DI48" s="22">
        <f t="shared" si="15"/>
        <v>74.6012614137518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10.5</v>
      </c>
      <c r="N49" s="13">
        <f>IF('Données projet'!$A$36&gt;35,N48+M49-V48,IF(A49&lt;'Données projet'!$A$36,$K$205^A49,IF(A49='Données projet'!$A$36,'Données projet'!$B$36,N48+M49-V48)))</f>
        <v>213</v>
      </c>
      <c r="O49" s="13">
        <f>N49*VLOOKUP('Données projet'!$B$9,Paramètres!$A$1:$I$89,3,0)*VLOOKUP('Données projet'!$B$9,Paramètres!$A$1:$I$89,5,0)</f>
        <v>99.683999999999997</v>
      </c>
      <c r="P49" s="13">
        <f t="shared" si="33"/>
        <v>26.886701044194457</v>
      </c>
      <c r="Q49" s="20">
        <f t="shared" si="53"/>
        <v>220.44397098530533</v>
      </c>
      <c r="R49" s="59">
        <f t="shared" si="0"/>
        <v>472.794244384031</v>
      </c>
      <c r="S49" s="59">
        <f ca="1">AVERAGE(OFFSET($R$3,0,0,'Données projet'!$E$9+1,1))-AVERAGE(OFFSET($H$3,0,0,'Données projet'!$E$9+1,1))</f>
        <v>167.82976403567059</v>
      </c>
      <c r="T49" s="59">
        <f t="shared" si="34"/>
        <v>232.70925470547317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8.0302068527937678</v>
      </c>
      <c r="AA49" s="21">
        <f>EXP(-LN(2)/25)*AA48+(1-EXP(-LN(2)/25))/(LN(2)/25)*Calculateur!V49*Calculateur!X49*VLOOKUP('Données projet'!$B$9,Paramètres!$A$1:$I$89,3,0)*0.475*44/12</f>
        <v>12.490825963017979</v>
      </c>
      <c r="AB49" s="21">
        <f>EXP(-LN(2)/2)*AB48+(1-EXP(-LN(2)/2))/(LN(2)/2)*V49*Y49*VLOOKUP('Données projet'!$B$9,Paramètres!$A$1:$I$89,3,0)*0.475*44/12</f>
        <v>1.0773632589205544</v>
      </c>
      <c r="AC49" s="22">
        <f t="shared" si="3"/>
        <v>21.5983960747323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186.99999999999997</v>
      </c>
      <c r="AJ49" s="13">
        <f>AI49*VLOOKUP('Données projet'!$B$10,Paramètres!$A$1:$I$89,3,0)*VLOOKUP('Données projet'!$B$10,Paramètres!$A$1:$I$89,5,0)</f>
        <v>189.61799999999997</v>
      </c>
      <c r="AK49" s="13">
        <f t="shared" si="35"/>
        <v>47.4554881852685</v>
      </c>
      <c r="AL49" s="20">
        <f t="shared" si="4"/>
        <v>412.90299192267588</v>
      </c>
      <c r="AM49" s="59">
        <f t="shared" si="5"/>
        <v>665.2532653214015</v>
      </c>
      <c r="AN49" s="59">
        <f ca="1">AVERAGE(OFFSET($AM$3,0,0,'Données projet'!$E$10+1,1))-AVERAGE(OFFSET($H$3,0,0,'Données projet'!$E$10+1,1))</f>
        <v>542.51810435067659</v>
      </c>
      <c r="AO49" s="59">
        <f t="shared" si="36"/>
        <v>325.7263575945085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5.0431352766978197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5.0431352766978197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186.99999999999997</v>
      </c>
      <c r="BE49" s="13">
        <f>BD49*VLOOKUP('Données projet'!$B$11,Paramètres!$A$1:$I$89,3,0)*VLOOKUP('Données projet'!$B$11,Paramètres!$A$1:$I$89,5,0)</f>
        <v>169.19759999999997</v>
      </c>
      <c r="BF49" s="13">
        <f t="shared" si="37"/>
        <v>42.910263223432885</v>
      </c>
      <c r="BG49" s="20">
        <f t="shared" si="7"/>
        <v>369.42119511414552</v>
      </c>
      <c r="BH49" s="59">
        <f t="shared" si="8"/>
        <v>621.77146851287114</v>
      </c>
      <c r="BI49" s="59">
        <f ca="1">AVERAGE(OFFSET($BH$3,0,0,'Données projet'!$E$11+1,1))-AVERAGE(OFFSET($H$3,0,0,'Données projet'!$E$11+1,1))</f>
        <v>492.39485179035256</v>
      </c>
      <c r="BJ49" s="59">
        <f t="shared" si="38"/>
        <v>297.32483725004124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4.5000284007457454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4.5000284007457454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98.59999999999998</v>
      </c>
      <c r="BZ49" s="13">
        <f>BY49*VLOOKUP('Données projet'!$B$12,Paramètres!$A$1:$I$89,3,0)*VLOOKUP('Données projet'!$B$12,Paramètres!$A$1:$I$89,5,0)</f>
        <v>93.827759999999984</v>
      </c>
      <c r="CA49" s="13">
        <f t="shared" si="39"/>
        <v>25.486138814422123</v>
      </c>
      <c r="CB49" s="20">
        <f t="shared" si="10"/>
        <v>207.80504043511849</v>
      </c>
      <c r="CC49" s="59">
        <f t="shared" si="11"/>
        <v>460.15531383384416</v>
      </c>
      <c r="CD49" s="59">
        <f ca="1">AVERAGE(OFFSET($CC$3,0,0,'Données projet'!$E$12+1,1))-AVERAGE(OFFSET($H$3,0,0,'Données projet'!$E$12+1,1))</f>
        <v>260.51631161522039</v>
      </c>
      <c r="CE49" s="59">
        <f t="shared" si="40"/>
        <v>171.3469666102674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2.3663942452197464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2.3663942452197464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18.2</v>
      </c>
      <c r="CT49" s="12">
        <f>IF('Données projet'!$A$140&gt;35,CT48+CS49-DB48,IF(A49&lt;'Données projet'!$A$140,$CQ$205^A49,IF(A49='Données projet'!$A$140,'Données projet'!$B$140,CT48+CS49-DB48)))</f>
        <v>385.2000000000001</v>
      </c>
      <c r="CU49" s="17">
        <f>CT49*VLOOKUP('Données projet'!$B$13,Paramètres!$A$1:$I$89,3,0)*VLOOKUP('Données projet'!$B$13,Paramètres!$A$1:$I$89,5,0)</f>
        <v>230.34960000000009</v>
      </c>
      <c r="CV49" s="13">
        <f t="shared" si="41"/>
        <v>56.35826654142631</v>
      </c>
      <c r="CW49" s="20">
        <f t="shared" si="13"/>
        <v>499.34953422631764</v>
      </c>
      <c r="CX49" s="59">
        <f t="shared" si="14"/>
        <v>751.69980762504326</v>
      </c>
      <c r="CY49" s="59">
        <f ca="1">AVERAGE(OFFSET($CX$3,0,0,'Données projet'!$E$13+1,1))-AVERAGE(OFFSET($H$3,0,0,'Données projet'!$E$13+1,1))</f>
        <v>301.2688576786212</v>
      </c>
      <c r="CZ49" s="59">
        <f t="shared" si="42"/>
        <v>417.62172165132927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36.195910358777169</v>
      </c>
      <c r="DG49" s="21">
        <f>EXP(-LN(2)/25)*DG48+(1-EXP(-LN(2)/25))/(LN(2)/25)*Calculateur!DB49*Calculateur!DD49*VLOOKUP('Données projet'!$B$13,Paramètres!$A$1:$I$89,3,0)*0.475*44/12</f>
        <v>28.437835117409179</v>
      </c>
      <c r="DH49" s="21">
        <f>EXP(-LN(2)/2)*DH48+(1-EXP(-LN(2)/2))/(LN(2)/2)*DB49*DE49*VLOOKUP('Données projet'!$B$13,Paramètres!$A$1:$I$89,3,0)*0.475*44/12</f>
        <v>5.9708401429770275</v>
      </c>
      <c r="DI49" s="22">
        <f t="shared" si="15"/>
        <v>70.604585619163373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10.5</v>
      </c>
      <c r="N50" s="13">
        <f>IF('Données projet'!$A$36&gt;35,N49+M50-V49,IF(A50&lt;'Données projet'!$A$36,$K$205^A50,IF(A50='Données projet'!$A$36,'Données projet'!$B$36,N49+M50-V49)))</f>
        <v>223.5</v>
      </c>
      <c r="O50" s="13">
        <f>N50*VLOOKUP('Données projet'!$B$9,Paramètres!$A$1:$I$89,3,0)*VLOOKUP('Données projet'!$B$9,Paramètres!$A$1:$I$89,5,0)</f>
        <v>104.598</v>
      </c>
      <c r="P50" s="13">
        <f t="shared" si="33"/>
        <v>28.054525257841597</v>
      </c>
      <c r="Q50" s="20">
        <f t="shared" si="53"/>
        <v>231.03648149074078</v>
      </c>
      <c r="R50" s="59">
        <f t="shared" si="0"/>
        <v>484.0977193549362</v>
      </c>
      <c r="S50" s="59">
        <f ca="1">AVERAGE(OFFSET($R$3,0,0,'Données projet'!$E$9+1,1))-AVERAGE(OFFSET($H$3,0,0,'Données projet'!$E$9+1,1))</f>
        <v>167.82976403567059</v>
      </c>
      <c r="T50" s="59">
        <f t="shared" si="34"/>
        <v>232.70925470547317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7.8727393943530304</v>
      </c>
      <c r="AA50" s="21">
        <f>EXP(-LN(2)/25)*AA49+(1-EXP(-LN(2)/25))/(LN(2)/25)*Calculateur!V50*Calculateur!X50*VLOOKUP('Données projet'!$B$9,Paramètres!$A$1:$I$89,3,0)*0.475*44/12</f>
        <v>12.149263670195264</v>
      </c>
      <c r="AB50" s="21">
        <f>EXP(-LN(2)/2)*AB49+(1-EXP(-LN(2)/2))/(LN(2)/2)*V50*Y50*VLOOKUP('Données projet'!$B$9,Paramètres!$A$1:$I$89,3,0)*0.475*44/12</f>
        <v>0.76181086618396221</v>
      </c>
      <c r="AC50" s="22">
        <f t="shared" si="3"/>
        <v>20.783813930732254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197.99999999999997</v>
      </c>
      <c r="AJ50" s="13">
        <f>AI50*VLOOKUP('Données projet'!$B$10,Paramètres!$A$1:$I$89,3,0)*VLOOKUP('Données projet'!$B$10,Paramètres!$A$1:$I$89,5,0)</f>
        <v>200.77199999999999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689.67232542152533</v>
      </c>
      <c r="AN50" s="59">
        <f ca="1">AVERAGE(OFFSET($AM$3,0,0,'Données projet'!$E$10+1,1))-AVERAGE(OFFSET($H$3,0,0,'Données projet'!$E$10+1,1))</f>
        <v>542.51810435067659</v>
      </c>
      <c r="AO50" s="59">
        <f t="shared" si="36"/>
        <v>325.7263575945085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4.9442424699305638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4.9442424699305638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197.99999999999997</v>
      </c>
      <c r="BE50" s="13">
        <f>BD50*VLOOKUP('Données projet'!$B$11,Paramètres!$A$1:$I$89,3,0)*VLOOKUP('Données projet'!$B$11,Paramètres!$A$1:$I$89,5,0)</f>
        <v>179.15039999999996</v>
      </c>
      <c r="BF50" s="13">
        <f t="shared" si="37"/>
        <v>45.133113803437304</v>
      </c>
      <c r="BG50" s="20">
        <f t="shared" si="7"/>
        <v>390.62711987431993</v>
      </c>
      <c r="BH50" s="59">
        <f t="shared" si="8"/>
        <v>643.68835773851538</v>
      </c>
      <c r="BI50" s="59">
        <f ca="1">AVERAGE(OFFSET($BH$3,0,0,'Données projet'!$E$11+1,1))-AVERAGE(OFFSET($H$3,0,0,'Données projet'!$E$11+1,1))</f>
        <v>492.39485179035256</v>
      </c>
      <c r="BJ50" s="59">
        <f t="shared" si="38"/>
        <v>297.32483725004124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4.4117855885534247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4.4117855885534247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104.19999999999997</v>
      </c>
      <c r="BZ50" s="13">
        <f>BY50*VLOOKUP('Données projet'!$B$12,Paramètres!$A$1:$I$89,3,0)*VLOOKUP('Données projet'!$B$12,Paramètres!$A$1:$I$89,5,0)</f>
        <v>99.156719999999979</v>
      </c>
      <c r="CA50" s="13">
        <f t="shared" si="39"/>
        <v>26.7609988066732</v>
      </c>
      <c r="CB50" s="20">
        <f t="shared" si="10"/>
        <v>219.30669358828911</v>
      </c>
      <c r="CC50" s="59">
        <f t="shared" si="11"/>
        <v>472.36793145248453</v>
      </c>
      <c r="CD50" s="59">
        <f ca="1">AVERAGE(OFFSET($CC$3,0,0,'Données projet'!$E$12+1,1))-AVERAGE(OFFSET($H$3,0,0,'Données projet'!$E$12+1,1))</f>
        <v>260.51631161522039</v>
      </c>
      <c r="CE50" s="59">
        <f t="shared" si="40"/>
        <v>171.3469666102674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2.319990697428957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2.319990697428957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18.2</v>
      </c>
      <c r="CT50" s="12">
        <f>IF('Données projet'!$A$140&gt;35,CT49+CS50-DB49,IF(A50&lt;'Données projet'!$A$140,$CQ$205^A50,IF(A50='Données projet'!$A$140,'Données projet'!$B$140,CT49+CS50-DB49)))</f>
        <v>403.40000000000009</v>
      </c>
      <c r="CU50" s="17">
        <f>CT50*VLOOKUP('Données projet'!$B$13,Paramètres!$A$1:$I$89,3,0)*VLOOKUP('Données projet'!$B$13,Paramètres!$A$1:$I$89,5,0)</f>
        <v>241.23320000000007</v>
      </c>
      <c r="CV50" s="13">
        <f t="shared" si="41"/>
        <v>58.704780274027783</v>
      </c>
      <c r="CW50" s="20">
        <f t="shared" si="13"/>
        <v>522.39198231059845</v>
      </c>
      <c r="CX50" s="59">
        <f t="shared" si="14"/>
        <v>775.45322017479384</v>
      </c>
      <c r="CY50" s="59">
        <f ca="1">AVERAGE(OFFSET($CX$3,0,0,'Données projet'!$E$13+1,1))-AVERAGE(OFFSET($H$3,0,0,'Données projet'!$E$13+1,1))</f>
        <v>301.2688576786212</v>
      </c>
      <c r="CZ50" s="59">
        <f t="shared" si="42"/>
        <v>417.62172165132927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35.486130633966916</v>
      </c>
      <c r="DG50" s="21">
        <f>EXP(-LN(2)/25)*DG49+(1-EXP(-LN(2)/25))/(LN(2)/25)*Calculateur!DB50*Calculateur!DD50*VLOOKUP('Données projet'!$B$13,Paramètres!$A$1:$I$89,3,0)*0.475*44/12</f>
        <v>27.660201020642873</v>
      </c>
      <c r="DH50" s="21">
        <f>EXP(-LN(2)/2)*DH49+(1-EXP(-LN(2)/2))/(LN(2)/2)*DB50*DE50*VLOOKUP('Données projet'!$B$13,Paramètres!$A$1:$I$89,3,0)*0.475*44/12</f>
        <v>4.2220215544799116</v>
      </c>
      <c r="DI50" s="22">
        <f t="shared" si="15"/>
        <v>67.368353209089705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10.5</v>
      </c>
      <c r="N51" s="13">
        <f>IF('Données projet'!$A$36&gt;35,N50+M51-V50,IF(A51&lt;'Données projet'!$A$36,$K$205^A51,IF(A51='Données projet'!$A$36,'Données projet'!$B$36,N50+M51-V50)))</f>
        <v>234</v>
      </c>
      <c r="O51" s="13">
        <f>N51*VLOOKUP('Données projet'!$B$9,Paramètres!$A$1:$I$89,3,0)*VLOOKUP('Données projet'!$B$9,Paramètres!$A$1:$I$89,5,0)</f>
        <v>109.512</v>
      </c>
      <c r="P51" s="13">
        <f t="shared" si="33"/>
        <v>29.215978230632555</v>
      </c>
      <c r="Q51" s="20">
        <f t="shared" si="53"/>
        <v>241.61789541835171</v>
      </c>
      <c r="R51" s="59">
        <f t="shared" si="0"/>
        <v>495.37776410401943</v>
      </c>
      <c r="S51" s="59">
        <f ca="1">AVERAGE(OFFSET($R$3,0,0,'Données projet'!$E$9+1,1))-AVERAGE(OFFSET($H$3,0,0,'Données projet'!$E$9+1,1))</f>
        <v>167.82976403567059</v>
      </c>
      <c r="T51" s="59">
        <f t="shared" si="34"/>
        <v>232.70925470547317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7.7183597767266505</v>
      </c>
      <c r="AA51" s="21">
        <f>EXP(-LN(2)/25)*AA50+(1-EXP(-LN(2)/25))/(LN(2)/25)*Calculateur!V51*Calculateur!X51*VLOOKUP('Données projet'!$B$9,Paramètres!$A$1:$I$89,3,0)*0.475*44/12</f>
        <v>11.817041416231765</v>
      </c>
      <c r="AB51" s="21">
        <f>EXP(-LN(2)/2)*AB50+(1-EXP(-LN(2)/2))/(LN(2)/2)*V51*Y51*VLOOKUP('Données projet'!$B$9,Paramètres!$A$1:$I$89,3,0)*0.475*44/12</f>
        <v>0.5386816294602772</v>
      </c>
      <c r="AC51" s="22">
        <f t="shared" si="3"/>
        <v>20.074082822418696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208.99999999999997</v>
      </c>
      <c r="AJ51" s="13">
        <f>AI51*VLOOKUP('Données projet'!$B$10,Paramètres!$A$1:$I$89,3,0)*VLOOKUP('Données projet'!$B$10,Paramètres!$A$1:$I$89,5,0)</f>
        <v>211.92599999999999</v>
      </c>
      <c r="AK51" s="13">
        <f t="shared" si="35"/>
        <v>52.356241262970116</v>
      </c>
      <c r="AL51" s="20">
        <f t="shared" si="4"/>
        <v>460.29157019967289</v>
      </c>
      <c r="AM51" s="59">
        <f t="shared" si="5"/>
        <v>714.05143888534053</v>
      </c>
      <c r="AN51" s="59">
        <f ca="1">AVERAGE(OFFSET($AM$3,0,0,'Données projet'!$E$10+1,1))-AVERAGE(OFFSET($H$3,0,0,'Données projet'!$E$10+1,1))</f>
        <v>542.51810435067659</v>
      </c>
      <c r="AO51" s="59">
        <f t="shared" si="36"/>
        <v>325.7263575945085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4.8472888907853573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4.8472888907853573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208.99999999999997</v>
      </c>
      <c r="BE51" s="13">
        <f>BD51*VLOOKUP('Données projet'!$B$11,Paramètres!$A$1:$I$89,3,0)*VLOOKUP('Données projet'!$B$11,Paramètres!$A$1:$I$89,5,0)</f>
        <v>189.10319999999996</v>
      </c>
      <c r="BF51" s="13">
        <f t="shared" si="37"/>
        <v>47.34162854278712</v>
      </c>
      <c r="BG51" s="20">
        <f t="shared" si="7"/>
        <v>411.80807637868747</v>
      </c>
      <c r="BH51" s="59">
        <f t="shared" si="8"/>
        <v>665.56794506435517</v>
      </c>
      <c r="BI51" s="59">
        <f ca="1">AVERAGE(OFFSET($BH$3,0,0,'Données projet'!$E$11+1,1))-AVERAGE(OFFSET($H$3,0,0,'Données projet'!$E$11+1,1))</f>
        <v>492.39485179035256</v>
      </c>
      <c r="BJ51" s="59">
        <f t="shared" si="38"/>
        <v>297.32483725004124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4.3252731640853943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4.3252731640853943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109.79999999999997</v>
      </c>
      <c r="BZ51" s="13">
        <f>BY51*VLOOKUP('Données projet'!$B$12,Paramètres!$A$1:$I$89,3,0)*VLOOKUP('Données projet'!$B$12,Paramètres!$A$1:$I$89,5,0)</f>
        <v>104.48567999999997</v>
      </c>
      <c r="CA51" s="13">
        <f t="shared" si="39"/>
        <v>28.027904556241349</v>
      </c>
      <c r="CB51" s="20">
        <f t="shared" si="10"/>
        <v>230.7944931021203</v>
      </c>
      <c r="CC51" s="59">
        <f t="shared" si="11"/>
        <v>484.55436178778803</v>
      </c>
      <c r="CD51" s="59">
        <f ca="1">AVERAGE(OFFSET($CC$3,0,0,'Données projet'!$E$12+1,1))-AVERAGE(OFFSET($H$3,0,0,'Données projet'!$E$12+1,1))</f>
        <v>260.51631161522039</v>
      </c>
      <c r="CE51" s="59">
        <f t="shared" si="40"/>
        <v>171.3469666102674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2.2744970949069754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2.2744970949069754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18.2</v>
      </c>
      <c r="CT51" s="12">
        <f>IF('Données projet'!$A$140&gt;35,CT50+CS51-DB50,IF(A51&lt;'Données projet'!$A$140,$CQ$205^A51,IF(A51='Données projet'!$A$140,'Données projet'!$B$140,CT50+CS51-DB50)))</f>
        <v>421.60000000000008</v>
      </c>
      <c r="CU51" s="17">
        <f>CT51*VLOOKUP('Données projet'!$B$13,Paramètres!$A$1:$I$89,3,0)*VLOOKUP('Données projet'!$B$13,Paramètres!$A$1:$I$89,5,0)</f>
        <v>252.11680000000007</v>
      </c>
      <c r="CV51" s="13">
        <f t="shared" si="41"/>
        <v>61.038999041073623</v>
      </c>
      <c r="CW51" s="20">
        <f t="shared" si="13"/>
        <v>545.41301666320339</v>
      </c>
      <c r="CX51" s="59">
        <f t="shared" si="14"/>
        <v>799.17288534887109</v>
      </c>
      <c r="CY51" s="59">
        <f ca="1">AVERAGE(OFFSET($CX$3,0,0,'Données projet'!$E$13+1,1))-AVERAGE(OFFSET($H$3,0,0,'Données projet'!$E$13+1,1))</f>
        <v>301.2688576786212</v>
      </c>
      <c r="CZ51" s="59">
        <f t="shared" si="42"/>
        <v>417.62172165132927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34.790269256637302</v>
      </c>
      <c r="DG51" s="21">
        <f>EXP(-LN(2)/25)*DG50+(1-EXP(-LN(2)/25))/(LN(2)/25)*Calculateur!DB51*Calculateur!DD51*VLOOKUP('Données projet'!$B$13,Paramètres!$A$1:$I$89,3,0)*0.475*44/12</f>
        <v>26.903831369146641</v>
      </c>
      <c r="DH51" s="21">
        <f>EXP(-LN(2)/2)*DH50+(1-EXP(-LN(2)/2))/(LN(2)/2)*DB51*DE51*VLOOKUP('Données projet'!$B$13,Paramètres!$A$1:$I$89,3,0)*0.475*44/12</f>
        <v>2.9854200714885142</v>
      </c>
      <c r="DI51" s="22">
        <f t="shared" si="15"/>
        <v>64.679520697272466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10.5</v>
      </c>
      <c r="N52" s="13">
        <f>IF('Données projet'!$A$36&gt;35,N51+M52-V51,IF(A52&lt;'Données projet'!$A$36,$K$205^A52,IF(A52='Données projet'!$A$36,'Données projet'!$B$36,N51+M52-V51)))</f>
        <v>244.5</v>
      </c>
      <c r="O52" s="13">
        <f>N52*VLOOKUP('Données projet'!$B$9,Paramètres!$A$1:$I$89,3,0)*VLOOKUP('Données projet'!$B$9,Paramètres!$A$1:$I$89,5,0)</f>
        <v>114.426</v>
      </c>
      <c r="P52" s="13">
        <f t="shared" si="33"/>
        <v>30.371378515374175</v>
      </c>
      <c r="Q52" s="20">
        <f t="shared" si="53"/>
        <v>252.18876758094336</v>
      </c>
      <c r="R52" s="59">
        <f t="shared" si="0"/>
        <v>506.63514740523533</v>
      </c>
      <c r="S52" s="59">
        <f ca="1">AVERAGE(OFFSET($R$3,0,0,'Données projet'!$E$9+1,1))-AVERAGE(OFFSET($H$3,0,0,'Données projet'!$E$9+1,1))</f>
        <v>167.82976403567059</v>
      </c>
      <c r="T52" s="59">
        <f t="shared" si="34"/>
        <v>232.70925470547317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7.5670074492396546</v>
      </c>
      <c r="AA52" s="21">
        <f>EXP(-LN(2)/25)*AA51+(1-EXP(-LN(2)/25))/(LN(2)/25)*Calculateur!V52*Calculateur!X52*VLOOKUP('Données projet'!$B$9,Paramètres!$A$1:$I$89,3,0)*0.475*44/12</f>
        <v>11.493903797273708</v>
      </c>
      <c r="AB52" s="21">
        <f>EXP(-LN(2)/2)*AB51+(1-EXP(-LN(2)/2))/(LN(2)/2)*V52*Y52*VLOOKUP('Données projet'!$B$9,Paramètres!$A$1:$I$89,3,0)*0.475*44/12</f>
        <v>0.3809054330919811</v>
      </c>
      <c r="AC52" s="22">
        <f t="shared" si="3"/>
        <v>19.441816679605346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219.99999999999997</v>
      </c>
      <c r="AJ52" s="13">
        <f>AI52*VLOOKUP('Données projet'!$B$10,Paramètres!$A$1:$I$89,3,0)*VLOOKUP('Données projet'!$B$10,Paramètres!$A$1:$I$89,5,0)</f>
        <v>223.08</v>
      </c>
      <c r="AK52" s="13">
        <f t="shared" si="35"/>
        <v>54.783765878062667</v>
      </c>
      <c r="AL52" s="20">
        <f t="shared" si="4"/>
        <v>483.94605890429244</v>
      </c>
      <c r="AM52" s="59">
        <f t="shared" si="5"/>
        <v>738.39243872858447</v>
      </c>
      <c r="AN52" s="59">
        <f ca="1">AVERAGE(OFFSET($AM$3,0,0,'Données projet'!$E$10+1,1))-AVERAGE(OFFSET($H$3,0,0,'Données projet'!$E$10+1,1))</f>
        <v>542.51810435067659</v>
      </c>
      <c r="AO52" s="59">
        <f t="shared" si="36"/>
        <v>325.7263575945085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4.7522365121913444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4.7522365121913444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219.99999999999997</v>
      </c>
      <c r="BE52" s="13">
        <f>BD52*VLOOKUP('Données projet'!$B$11,Paramètres!$A$1:$I$89,3,0)*VLOOKUP('Données projet'!$B$11,Paramètres!$A$1:$I$89,5,0)</f>
        <v>199.05599999999998</v>
      </c>
      <c r="BF52" s="13">
        <f t="shared" si="37"/>
        <v>49.536648006253934</v>
      </c>
      <c r="BG52" s="20">
        <f t="shared" si="7"/>
        <v>432.96552861089225</v>
      </c>
      <c r="BH52" s="59">
        <f t="shared" si="8"/>
        <v>687.41190843518416</v>
      </c>
      <c r="BI52" s="59">
        <f ca="1">AVERAGE(OFFSET($BH$3,0,0,'Données projet'!$E$11+1,1))-AVERAGE(OFFSET($H$3,0,0,'Données projet'!$E$11+1,1))</f>
        <v>492.39485179035256</v>
      </c>
      <c r="BJ52" s="59">
        <f t="shared" si="38"/>
        <v>297.32483725004124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4.2404571954938133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4.2404571954938133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115.39999999999996</v>
      </c>
      <c r="BZ52" s="13">
        <f>BY52*VLOOKUP('Données projet'!$B$12,Paramètres!$A$1:$I$89,3,0)*VLOOKUP('Données projet'!$B$12,Paramètres!$A$1:$I$89,5,0)</f>
        <v>109.81463999999997</v>
      </c>
      <c r="CA52" s="13">
        <f t="shared" si="39"/>
        <v>29.287308025077461</v>
      </c>
      <c r="CB52" s="20">
        <f t="shared" si="10"/>
        <v>242.26922614367652</v>
      </c>
      <c r="CC52" s="59">
        <f t="shared" si="11"/>
        <v>496.71560596796849</v>
      </c>
      <c r="CD52" s="59">
        <f ca="1">AVERAGE(OFFSET($CC$3,0,0,'Données projet'!$E$12+1,1))-AVERAGE(OFFSET($H$3,0,0,'Données projet'!$E$12+1,1))</f>
        <v>260.51631161522039</v>
      </c>
      <c r="CE52" s="59">
        <f t="shared" si="40"/>
        <v>171.3469666102674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2.2298955941820924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2.2298955941820924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18.2</v>
      </c>
      <c r="CT52" s="12">
        <f>IF('Données projet'!$A$140&gt;35,CT51+CS52-DB51,IF(A52&lt;'Données projet'!$A$140,$CQ$205^A52,IF(A52='Données projet'!$A$140,'Données projet'!$B$140,CT51+CS52-DB51)))</f>
        <v>439.80000000000007</v>
      </c>
      <c r="CU52" s="17">
        <f>CT52*VLOOKUP('Données projet'!$B$13,Paramètres!$A$1:$I$89,3,0)*VLOOKUP('Données projet'!$B$13,Paramètres!$A$1:$I$89,5,0)</f>
        <v>263.00040000000007</v>
      </c>
      <c r="CV52" s="13">
        <f t="shared" si="41"/>
        <v>63.36151427162276</v>
      </c>
      <c r="CW52" s="20">
        <f t="shared" si="13"/>
        <v>568.41366735640975</v>
      </c>
      <c r="CX52" s="59">
        <f t="shared" si="14"/>
        <v>822.86004718070171</v>
      </c>
      <c r="CY52" s="59">
        <f ca="1">AVERAGE(OFFSET($CX$3,0,0,'Données projet'!$E$13+1,1))-AVERAGE(OFFSET($H$3,0,0,'Données projet'!$E$13+1,1))</f>
        <v>301.2688576786212</v>
      </c>
      <c r="CZ52" s="59">
        <f t="shared" si="42"/>
        <v>417.62172165132927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34.10805329648359</v>
      </c>
      <c r="DG52" s="21">
        <f>EXP(-LN(2)/25)*DG51+(1-EXP(-LN(2)/25))/(LN(2)/25)*Calculateur!DB52*Calculateur!DD52*VLOOKUP('Données projet'!$B$13,Paramètres!$A$1:$I$89,3,0)*0.475*44/12</f>
        <v>26.168144685546324</v>
      </c>
      <c r="DH52" s="21">
        <f>EXP(-LN(2)/2)*DH51+(1-EXP(-LN(2)/2))/(LN(2)/2)*DB52*DE52*VLOOKUP('Données projet'!$B$13,Paramètres!$A$1:$I$89,3,0)*0.475*44/12</f>
        <v>2.1110107772399562</v>
      </c>
      <c r="DI52" s="22">
        <f t="shared" si="15"/>
        <v>62.387208759269868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255</v>
      </c>
      <c r="L53" s="12">
        <f>VLOOKUP(A53,'Données projet'!$A$35:$I$55,9,0)</f>
        <v>10.5</v>
      </c>
      <c r="M53" s="12">
        <f t="array" ref="M53">INDEX(L:L,MIN(IF(ISNUMBER(L53:L249),ROW(L53:L249),"")))</f>
        <v>10.5</v>
      </c>
      <c r="N53" s="13">
        <f>IF('Données projet'!$A$36&gt;35,N52+M53-V52,IF(A53&lt;'Données projet'!$A$36,$K$205^A53,IF(A53='Données projet'!$A$36,'Données projet'!$B$36,N52+M53-V52)))</f>
        <v>255</v>
      </c>
      <c r="O53" s="13">
        <f>N53*VLOOKUP('Données projet'!$B$9,Paramètres!$A$1:$I$89,3,0)*VLOOKUP('Données projet'!$B$9,Paramètres!$A$1:$I$89,5,0)</f>
        <v>119.34</v>
      </c>
      <c r="P53" s="13">
        <f t="shared" si="33"/>
        <v>31.521015757082463</v>
      </c>
      <c r="Q53" s="20">
        <f t="shared" si="53"/>
        <v>262.74960244358527</v>
      </c>
      <c r="R53" s="59">
        <f t="shared" si="0"/>
        <v>517.87058397305532</v>
      </c>
      <c r="S53" s="59">
        <f ca="1">AVERAGE(OFFSET($R$3,0,0,'Données projet'!$E$9+1,1))-AVERAGE(OFFSET($H$3,0,0,'Données projet'!$E$9+1,1))</f>
        <v>167.82976403567059</v>
      </c>
      <c r="T53" s="59">
        <f t="shared" si="34"/>
        <v>232.70925470547317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50</v>
      </c>
      <c r="W53" s="16">
        <f>IF(ISNA(VLOOKUP(A53,'Données projet'!$A$35:$I$55,5,0)),0%,VLOOKUP(A53,'Données projet'!$A$35:$I$55,5,0)*VLOOKUP('Données projet'!$B$9,Paramètres!$A$1:$I$89,7,0))</f>
        <v>0.22000000000000003</v>
      </c>
      <c r="X53" s="16">
        <f>IF(ISNA(VLOOKUP(A53,'Données projet'!$A$35:$I$55,6,0)),0%,VLOOKUP(A53,'Données projet'!$A$35:$I$55,6,0)*VLOOKUP('Données projet'!$B$9,Paramètres!$A$1:$I$89,7,0))</f>
        <v>0.18700000000000003</v>
      </c>
      <c r="Y53" s="16">
        <f>IF(ISNA(VLOOKUP(A53,'Données projet'!$A$35:$I$55,7,0)),0%,VLOOKUP(A53,'Données projet'!$A$35:$I$55,7,0))</f>
        <v>0.26</v>
      </c>
      <c r="Z53" s="21">
        <f>EXP(-LN(2)/35)*Z52+(1-EXP(-LN(2)/35))/(LN(2)/35)*V53*W53*VLOOKUP('Données projet'!$B$9,Paramètres!$A$1:$I$89,3,0)*0.475*44/12</f>
        <v>14.247776865181628</v>
      </c>
      <c r="AA53" s="21">
        <f>EXP(-LN(2)/25)*AA52+(1-EXP(-LN(2)/25))/(LN(2)/25)*Calculateur!V53*Calculateur!X53*VLOOKUP('Données projet'!$B$9,Paramètres!$A$1:$I$89,3,0)*0.475*44/12</f>
        <v>16.961527504027032</v>
      </c>
      <c r="AB53" s="21">
        <f>EXP(-LN(2)/2)*AB52+(1-EXP(-LN(2)/2))/(LN(2)/2)*V53*Y53*VLOOKUP('Données projet'!$B$9,Paramètres!$A$1:$I$89,3,0)*0.475*44/12</f>
        <v>7.1578421128811556</v>
      </c>
      <c r="AC53" s="22">
        <f t="shared" si="3"/>
        <v>38.367146482089815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230.99999999999997</v>
      </c>
      <c r="AJ53" s="13">
        <f>AI53*VLOOKUP('Données projet'!$B$10,Paramètres!$A$1:$I$89,3,0)*VLOOKUP('Données projet'!$B$10,Paramètres!$A$1:$I$89,5,0)</f>
        <v>234.23399999999998</v>
      </c>
      <c r="AK53" s="13">
        <f t="shared" si="35"/>
        <v>57.197197133603488</v>
      </c>
      <c r="AL53" s="20">
        <f t="shared" si="4"/>
        <v>507.5760016743593</v>
      </c>
      <c r="AM53" s="59">
        <f t="shared" si="5"/>
        <v>762.6969832038294</v>
      </c>
      <c r="AN53" s="59">
        <f ca="1">AVERAGE(OFFSET($AM$3,0,0,'Données projet'!$E$10+1,1))-AVERAGE(OFFSET($H$3,0,0,'Données projet'!$E$10+1,1))</f>
        <v>542.51810435067659</v>
      </c>
      <c r="AO53" s="59">
        <f t="shared" si="36"/>
        <v>325.7263575945085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8.7079084897905723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8.7079084897905723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230.99999999999997</v>
      </c>
      <c r="BE53" s="13">
        <f>BD53*VLOOKUP('Données projet'!$B$11,Paramètres!$A$1:$I$89,3,0)*VLOOKUP('Données projet'!$B$11,Paramètres!$A$1:$I$89,5,0)</f>
        <v>209.00879999999995</v>
      </c>
      <c r="BF53" s="13">
        <f t="shared" si="37"/>
        <v>51.718923953824202</v>
      </c>
      <c r="BG53" s="20">
        <f t="shared" si="7"/>
        <v>454.10078588624361</v>
      </c>
      <c r="BH53" s="59">
        <f t="shared" si="8"/>
        <v>709.22176741571366</v>
      </c>
      <c r="BI53" s="59">
        <f ca="1">AVERAGE(OFFSET($BH$3,0,0,'Données projet'!$E$11+1,1))-AVERAGE(OFFSET($H$3,0,0,'Données projet'!$E$11+1,1))</f>
        <v>492.39485179035256</v>
      </c>
      <c r="BJ53" s="59">
        <f t="shared" si="38"/>
        <v>297.32483725004124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7.7701337293515849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7.7701337293515849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120.99999999999996</v>
      </c>
      <c r="BZ53" s="13">
        <f>BY53*VLOOKUP('Données projet'!$B$12,Paramètres!$A$1:$I$89,3,0)*VLOOKUP('Données projet'!$B$12,Paramètres!$A$1:$I$89,5,0)</f>
        <v>115.14359999999996</v>
      </c>
      <c r="CA53" s="13">
        <f t="shared" si="39"/>
        <v>30.539614832250223</v>
      </c>
      <c r="CB53" s="20">
        <f t="shared" si="10"/>
        <v>253.7315991661691</v>
      </c>
      <c r="CC53" s="59">
        <f t="shared" si="11"/>
        <v>508.85258069563918</v>
      </c>
      <c r="CD53" s="59">
        <f ca="1">AVERAGE(OFFSET($CC$3,0,0,'Données projet'!$E$12+1,1))-AVERAGE(OFFSET($H$3,0,0,'Données projet'!$E$12+1,1))</f>
        <v>260.51631161522039</v>
      </c>
      <c r="CE53" s="59">
        <f t="shared" si="40"/>
        <v>171.3469666102674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8.6000000000000007E-2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3.4527352999311161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3.4527352999311161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458</v>
      </c>
      <c r="CR53" s="12">
        <f>VLOOKUP(A53,'Données projet'!$A$139:$I$159,9,0)</f>
        <v>18.2</v>
      </c>
      <c r="CS53" s="12">
        <f t="array" ref="CS53">INDEX(CR:CR,MIN(IF(ISNUMBER(CR53:CR249),ROW(CR53:CR249),"")))</f>
        <v>18.2</v>
      </c>
      <c r="CT53" s="12">
        <f>IF('Données projet'!$A$140&gt;35,CT52+CS53-DB52,IF(A53&lt;'Données projet'!$A$140,$CQ$205^A53,IF(A53='Données projet'!$A$140,'Données projet'!$B$140,CT52+CS53-DB52)))</f>
        <v>458.00000000000006</v>
      </c>
      <c r="CU53" s="17">
        <f>CT53*VLOOKUP('Données projet'!$B$13,Paramètres!$A$1:$I$89,3,0)*VLOOKUP('Données projet'!$B$13,Paramètres!$A$1:$I$89,5,0)</f>
        <v>273.88400000000007</v>
      </c>
      <c r="CV53" s="13">
        <f t="shared" si="41"/>
        <v>65.672865675587943</v>
      </c>
      <c r="CW53" s="20">
        <f t="shared" si="13"/>
        <v>591.39487438498247</v>
      </c>
      <c r="CX53" s="59">
        <f t="shared" si="14"/>
        <v>846.51585591445257</v>
      </c>
      <c r="CY53" s="59">
        <f ca="1">AVERAGE(OFFSET($CX$3,0,0,'Données projet'!$E$13+1,1))-AVERAGE(OFFSET($H$3,0,0,'Données projet'!$E$13+1,1))</f>
        <v>301.2688576786212</v>
      </c>
      <c r="CZ53" s="59">
        <f t="shared" si="42"/>
        <v>417.62172165132927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458</v>
      </c>
      <c r="DC53" s="16">
        <f>IF(ISNA(VLOOKUP(A53,'Données projet'!$A$139:$I$159,5,0)),0%,VLOOKUP(A53,'Données projet'!$A$139:$I$159,5,0)*VLOOKUP('Données projet'!$B$13,Paramètres!$A$1:$I$89,7,0))</f>
        <v>0.315</v>
      </c>
      <c r="DD53" s="16">
        <f>IF(ISNA(VLOOKUP(A53,'Données projet'!$A$139:$I$159,6,0)),0%,VLOOKUP(A53,'Données projet'!$A$139:$I$159,6,0)*VLOOKUP('Données projet'!$B$13,Paramètres!$A$1:$I$89,7,0))</f>
        <v>7.6500000000000012E-2</v>
      </c>
      <c r="DE53" s="16">
        <f>IF(ISNA(VLOOKUP(A53,'Données projet'!$A$139:$I$159,7,0)),0%,VLOOKUP(A53,'Données projet'!$A$139:$I$159,7,0))</f>
        <v>0.13</v>
      </c>
      <c r="DF53" s="21">
        <f>EXP(-LN(2)/35)*DF52+(1-EXP(-LN(2)/35))/(LN(2)/35)*DB53*DC53*VLOOKUP('Données projet'!$B$13,Paramètres!$A$1:$I$89,3,0)*0.475*44/12</f>
        <v>147.88652065898279</v>
      </c>
      <c r="DG53" s="21">
        <f>EXP(-LN(2)/25)*DG52+(1-EXP(-LN(2)/25))/(LN(2)/25)*Calculateur!DB53*Calculateur!DD53*VLOOKUP('Données projet'!$B$13,Paramètres!$A$1:$I$89,3,0)*0.475*44/12</f>
        <v>53.137484081315755</v>
      </c>
      <c r="DH53" s="21">
        <f>EXP(-LN(2)/2)*DH52+(1-EXP(-LN(2)/2))/(LN(2)/2)*DB53*DE53*VLOOKUP('Données projet'!$B$13,Paramètres!$A$1:$I$89,3,0)*0.475*44/12</f>
        <v>41.805750410590278</v>
      </c>
      <c r="DI53" s="22">
        <f t="shared" si="15"/>
        <v>242.82975515088884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</v>
      </c>
      <c r="N54" s="13">
        <f>IF('Données projet'!$A$36&gt;35,N53+M54-V53,IF(A54&lt;'Données projet'!$A$36,$K$205^A54,IF(A54='Données projet'!$A$36,'Données projet'!$B$36,N53+M54-V53)))</f>
        <v>214.5</v>
      </c>
      <c r="O54" s="13">
        <f>N54*VLOOKUP('Données projet'!$B$9,Paramètres!$A$1:$I$89,3,0)*VLOOKUP('Données projet'!$B$9,Paramètres!$A$1:$I$89,5,0)</f>
        <v>100.386</v>
      </c>
      <c r="P54" s="13">
        <f t="shared" si="33"/>
        <v>27.05393609634266</v>
      </c>
      <c r="Q54" s="20">
        <f t="shared" si="53"/>
        <v>221.95788870113009</v>
      </c>
      <c r="R54" s="59">
        <f t="shared" si="0"/>
        <v>477.74176910437689</v>
      </c>
      <c r="S54" s="59">
        <f ca="1">AVERAGE(OFFSET($R$3,0,0,'Données projet'!$E$9+1,1))-AVERAGE(OFFSET($H$3,0,0,'Données projet'!$E$9+1,1))</f>
        <v>167.82976403567059</v>
      </c>
      <c r="T54" s="59">
        <f t="shared" si="34"/>
        <v>232.70925470547317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13.968386651141209</v>
      </c>
      <c r="AA54" s="21">
        <f>EXP(-LN(2)/25)*AA53+(1-EXP(-LN(2)/25))/(LN(2)/25)*Calculateur!V54*Calculateur!X54*VLOOKUP('Données projet'!$B$9,Paramètres!$A$1:$I$89,3,0)*0.475*44/12</f>
        <v>16.497713642461449</v>
      </c>
      <c r="AB54" s="21">
        <f>EXP(-LN(2)/2)*AB53+(1-EXP(-LN(2)/2))/(LN(2)/2)*V54*Y54*VLOOKUP('Données projet'!$B$9,Paramètres!$A$1:$I$89,3,0)*0.475*44/12</f>
        <v>5.0613586966809105</v>
      </c>
      <c r="AC54" s="22">
        <f t="shared" si="3"/>
        <v>35.52745899028357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213.19999999999996</v>
      </c>
      <c r="AJ54" s="13">
        <f>AI54*VLOOKUP('Données projet'!$B$10,Paramètres!$A$1:$I$89,3,0)*VLOOKUP('Données projet'!$B$10,Paramètres!$A$1:$I$89,5,0)</f>
        <v>216.1848</v>
      </c>
      <c r="AK54" s="13">
        <f t="shared" si="35"/>
        <v>53.284828478170375</v>
      </c>
      <c r="AL54" s="20">
        <f t="shared" si="4"/>
        <v>469.32626959947999</v>
      </c>
      <c r="AM54" s="59">
        <f t="shared" si="5"/>
        <v>725.11015000272687</v>
      </c>
      <c r="AN54" s="59">
        <f ca="1">AVERAGE(OFFSET($AM$3,0,0,'Données projet'!$E$10+1,1))-AVERAGE(OFFSET($H$3,0,0,'Données projet'!$E$10+1,1))</f>
        <v>542.51810435067659</v>
      </c>
      <c r="AO54" s="59">
        <f t="shared" si="36"/>
        <v>325.7263575945085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8.5371517156055106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8.5371517156055106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213.19999999999996</v>
      </c>
      <c r="BE54" s="13">
        <f>BD54*VLOOKUP('Données projet'!$B$11,Paramètres!$A$1:$I$89,3,0)*VLOOKUP('Données projet'!$B$11,Paramètres!$A$1:$I$89,5,0)</f>
        <v>192.90335999999994</v>
      </c>
      <c r="BF54" s="13">
        <f t="shared" si="37"/>
        <v>48.181276881765257</v>
      </c>
      <c r="BG54" s="20">
        <f t="shared" si="7"/>
        <v>419.88907590240768</v>
      </c>
      <c r="BH54" s="59">
        <f t="shared" si="8"/>
        <v>675.67295630565445</v>
      </c>
      <c r="BI54" s="59">
        <f ca="1">AVERAGE(OFFSET($BH$3,0,0,'Données projet'!$E$11+1,1))-AVERAGE(OFFSET($H$3,0,0,'Données projet'!$E$11+1,1))</f>
        <v>492.39485179035256</v>
      </c>
      <c r="BJ54" s="59">
        <f t="shared" si="38"/>
        <v>297.32483725004124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7.6177661462326069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7.6177661462326069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112.59999999999995</v>
      </c>
      <c r="BZ54" s="13">
        <f>BY54*VLOOKUP('Données projet'!$B$12,Paramètres!$A$1:$I$89,3,0)*VLOOKUP('Données projet'!$B$12,Paramètres!$A$1:$I$89,5,0)</f>
        <v>107.15015999999994</v>
      </c>
      <c r="CA54" s="13">
        <f t="shared" si="39"/>
        <v>28.658517723314318</v>
      </c>
      <c r="CB54" s="20">
        <f t="shared" si="10"/>
        <v>236.53344703477231</v>
      </c>
      <c r="CC54" s="59">
        <f t="shared" si="11"/>
        <v>492.31732743801911</v>
      </c>
      <c r="CD54" s="59">
        <f ca="1">AVERAGE(OFFSET($CC$3,0,0,'Données projet'!$E$12+1,1))-AVERAGE(OFFSET($H$3,0,0,'Données projet'!$E$12+1,1))</f>
        <v>260.51631161522039</v>
      </c>
      <c r="CE54" s="59">
        <f t="shared" si="40"/>
        <v>171.3469666102674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3.3850292666600534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3.3850292666600534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5.6843418860808015E-14</v>
      </c>
      <c r="CU54" s="17">
        <f>CT54*VLOOKUP('Données projet'!$B$13,Paramètres!$A$1:$I$89,3,0)*VLOOKUP('Données projet'!$B$13,Paramètres!$A$1:$I$89,5,0)</f>
        <v>3.3992364478763198E-14</v>
      </c>
      <c r="CV54" s="13">
        <f t="shared" si="41"/>
        <v>5.790027782444094E-13</v>
      </c>
      <c r="CW54" s="20">
        <f t="shared" si="13"/>
        <v>1.0676332069095257E-12</v>
      </c>
      <c r="CX54" s="59">
        <f t="shared" si="14"/>
        <v>255.78388040324791</v>
      </c>
      <c r="CY54" s="59">
        <f ca="1">AVERAGE(OFFSET($CX$3,0,0,'Données projet'!$E$13+1,1))-AVERAGE(OFFSET($H$3,0,0,'Données projet'!$E$13+1,1))</f>
        <v>301.2688576786212</v>
      </c>
      <c r="CZ54" s="59">
        <f t="shared" si="42"/>
        <v>417.62172165132927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144.98655619073105</v>
      </c>
      <c r="DG54" s="21">
        <f>EXP(-LN(2)/25)*DG53+(1-EXP(-LN(2)/25))/(LN(2)/25)*Calculateur!DB54*Calculateur!DD54*VLOOKUP('Données projet'!$B$13,Paramètres!$A$1:$I$89,3,0)*0.475*44/12</f>
        <v>51.684436784733336</v>
      </c>
      <c r="DH54" s="21">
        <f>EXP(-LN(2)/2)*DH53+(1-EXP(-LN(2)/2))/(LN(2)/2)*DB54*DE54*VLOOKUP('Données projet'!$B$13,Paramètres!$A$1:$I$89,3,0)*0.475*44/12</f>
        <v>29.56112960792068</v>
      </c>
      <c r="DI54" s="22">
        <f t="shared" si="15"/>
        <v>226.23212258338509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</v>
      </c>
      <c r="N55" s="13">
        <f>IF('Données projet'!$A$36&gt;35,N54+M55-V54,IF(A55&lt;'Données projet'!$A$36,$K$205^A55,IF(A55='Données projet'!$A$36,'Données projet'!$B$36,N54+M55-V54)))</f>
        <v>224</v>
      </c>
      <c r="O55" s="13">
        <f>N55*VLOOKUP('Données projet'!$B$9,Paramètres!$A$1:$I$89,3,0)*VLOOKUP('Données projet'!$B$9,Paramètres!$A$1:$I$89,5,0)</f>
        <v>104.83200000000001</v>
      </c>
      <c r="P55" s="13">
        <f t="shared" si="33"/>
        <v>28.109974371137717</v>
      </c>
      <c r="Q55" s="20">
        <f t="shared" si="53"/>
        <v>231.54060536306486</v>
      </c>
      <c r="R55" s="59">
        <f t="shared" si="0"/>
        <v>487.97588482664821</v>
      </c>
      <c r="S55" s="59">
        <f ca="1">AVERAGE(OFFSET($R$3,0,0,'Données projet'!$E$9+1,1))-AVERAGE(OFFSET($H$3,0,0,'Données projet'!$E$9+1,1))</f>
        <v>167.82976403567059</v>
      </c>
      <c r="T55" s="59">
        <f t="shared" si="34"/>
        <v>232.70925470547317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13.69447510878692</v>
      </c>
      <c r="AA55" s="21">
        <f>EXP(-LN(2)/25)*AA54+(1-EXP(-LN(2)/25))/(LN(2)/25)*Calculateur!V55*Calculateur!X55*VLOOKUP('Données projet'!$B$9,Paramètres!$A$1:$I$89,3,0)*0.475*44/12</f>
        <v>16.046582795331286</v>
      </c>
      <c r="AB55" s="21">
        <f>EXP(-LN(2)/2)*AB54+(1-EXP(-LN(2)/2))/(LN(2)/2)*V55*Y55*VLOOKUP('Données projet'!$B$9,Paramètres!$A$1:$I$89,3,0)*0.475*44/12</f>
        <v>3.5789210564405782</v>
      </c>
      <c r="AC55" s="22">
        <f t="shared" si="3"/>
        <v>33.319978960558785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223.39999999999995</v>
      </c>
      <c r="AJ55" s="13">
        <f>AI55*VLOOKUP('Données projet'!$B$10,Paramètres!$A$1:$I$89,3,0)*VLOOKUP('Données projet'!$B$10,Paramètres!$A$1:$I$89,5,0)</f>
        <v>226.52759999999998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747.68769645403472</v>
      </c>
      <c r="AN55" s="59">
        <f ca="1">AVERAGE(OFFSET($AM$3,0,0,'Données projet'!$E$10+1,1))-AVERAGE(OFFSET($H$3,0,0,'Données projet'!$E$10+1,1))</f>
        <v>542.51810435067659</v>
      </c>
      <c r="AO55" s="59">
        <f t="shared" si="36"/>
        <v>325.7263575945085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8.3697433776108703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8.3697433776108703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223.39999999999995</v>
      </c>
      <c r="BE55" s="13">
        <f>BD55*VLOOKUP('Données projet'!$B$11,Paramètres!$A$1:$I$89,3,0)*VLOOKUP('Données projet'!$B$11,Paramètres!$A$1:$I$89,5,0)</f>
        <v>202.13231999999996</v>
      </c>
      <c r="BF55" s="13">
        <f t="shared" si="37"/>
        <v>50.212497488959627</v>
      </c>
      <c r="BG55" s="20">
        <f t="shared" si="7"/>
        <v>439.50055712660463</v>
      </c>
      <c r="BH55" s="59">
        <f t="shared" si="8"/>
        <v>695.93583659018805</v>
      </c>
      <c r="BI55" s="59">
        <f ca="1">AVERAGE(OFFSET($BH$3,0,0,'Données projet'!$E$11+1,1))-AVERAGE(OFFSET($H$3,0,0,'Données projet'!$E$11+1,1))</f>
        <v>492.39485179035256</v>
      </c>
      <c r="BJ55" s="59">
        <f t="shared" si="38"/>
        <v>297.32483725004124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7.4683863984835428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7.4683863984835428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118.19999999999995</v>
      </c>
      <c r="BZ55" s="13">
        <f>BY55*VLOOKUP('Données projet'!$B$12,Paramètres!$A$1:$I$89,3,0)*VLOOKUP('Données projet'!$B$12,Paramètres!$A$1:$I$89,5,0)</f>
        <v>112.47911999999994</v>
      </c>
      <c r="CA55" s="13">
        <f t="shared" si="39"/>
        <v>29.914324778874605</v>
      </c>
      <c r="CB55" s="20">
        <f t="shared" si="10"/>
        <v>248.00191632320647</v>
      </c>
      <c r="CC55" s="59">
        <f t="shared" si="11"/>
        <v>504.43719578678986</v>
      </c>
      <c r="CD55" s="59">
        <f ca="1">AVERAGE(OFFSET($CC$3,0,0,'Données projet'!$E$12+1,1))-AVERAGE(OFFSET($H$3,0,0,'Données projet'!$E$12+1,1))</f>
        <v>260.51631161522039</v>
      </c>
      <c r="CE55" s="59">
        <f t="shared" si="40"/>
        <v>171.3469666102674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3.3186509074048338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3.3186509074048338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5.6843418860808015E-14</v>
      </c>
      <c r="CU55" s="17">
        <f>CT55*VLOOKUP('Données projet'!$B$13,Paramètres!$A$1:$I$89,3,0)*VLOOKUP('Données projet'!$B$13,Paramètres!$A$1:$I$89,5,0)</f>
        <v>3.3992364478763198E-14</v>
      </c>
      <c r="CV55" s="13">
        <f t="shared" si="41"/>
        <v>5.790027782444094E-13</v>
      </c>
      <c r="CW55" s="20">
        <f t="shared" si="13"/>
        <v>1.0676332069095257E-12</v>
      </c>
      <c r="CX55" s="59">
        <f t="shared" si="14"/>
        <v>256.43527946358444</v>
      </c>
      <c r="CY55" s="59">
        <f ca="1">AVERAGE(OFFSET($CX$3,0,0,'Données projet'!$E$13+1,1))-AVERAGE(OFFSET($H$3,0,0,'Données projet'!$E$13+1,1))</f>
        <v>301.2688576786212</v>
      </c>
      <c r="CZ55" s="59">
        <f t="shared" si="42"/>
        <v>417.62172165132927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142.14345825689804</v>
      </c>
      <c r="DG55" s="21">
        <f>EXP(-LN(2)/25)*DG54+(1-EXP(-LN(2)/25))/(LN(2)/25)*Calculateur!DB55*Calculateur!DD55*VLOOKUP('Données projet'!$B$13,Paramètres!$A$1:$I$89,3,0)*0.475*44/12</f>
        <v>50.271123142888399</v>
      </c>
      <c r="DH55" s="21">
        <f>EXP(-LN(2)/2)*DH54+(1-EXP(-LN(2)/2))/(LN(2)/2)*DB55*DE55*VLOOKUP('Données projet'!$B$13,Paramètres!$A$1:$I$89,3,0)*0.475*44/12</f>
        <v>20.902875205295143</v>
      </c>
      <c r="DI55" s="22">
        <f t="shared" si="15"/>
        <v>213.31745660508159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</v>
      </c>
      <c r="N56" s="13">
        <f>IF('Données projet'!$A$36&gt;35,N55+M56-V55,IF(A56&lt;'Données projet'!$A$36,$K$205^A56,IF(A56='Données projet'!$A$36,'Données projet'!$B$36,N55+M56-V55)))</f>
        <v>233.5</v>
      </c>
      <c r="O56" s="13">
        <f>N56*VLOOKUP('Données projet'!$B$9,Paramètres!$A$1:$I$89,3,0)*VLOOKUP('Données projet'!$B$9,Paramètres!$A$1:$I$89,5,0)</f>
        <v>109.27800000000001</v>
      </c>
      <c r="P56" s="13">
        <f t="shared" si="33"/>
        <v>29.160810599699261</v>
      </c>
      <c r="Q56" s="20">
        <f t="shared" si="53"/>
        <v>241.11426179447619</v>
      </c>
      <c r="R56" s="59">
        <f t="shared" si="0"/>
        <v>498.18964000100942</v>
      </c>
      <c r="S56" s="59">
        <f ca="1">AVERAGE(OFFSET($R$3,0,0,'Données projet'!$E$9+1,1))-AVERAGE(OFFSET($H$3,0,0,'Données projet'!$E$9+1,1))</f>
        <v>167.82976403567059</v>
      </c>
      <c r="T56" s="59">
        <f t="shared" si="34"/>
        <v>232.70925470547317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13.425934804708653</v>
      </c>
      <c r="AA56" s="21">
        <f>EXP(-LN(2)/25)*AA55+(1-EXP(-LN(2)/25))/(LN(2)/25)*Calculateur!V56*Calculateur!X56*VLOOKUP('Données projet'!$B$9,Paramètres!$A$1:$I$89,3,0)*0.475*44/12</f>
        <v>15.607788144939837</v>
      </c>
      <c r="AB56" s="21">
        <f>EXP(-LN(2)/2)*AB55+(1-EXP(-LN(2)/2))/(LN(2)/2)*V56*Y56*VLOOKUP('Données projet'!$B$9,Paramètres!$A$1:$I$89,3,0)*0.475*44/12</f>
        <v>2.5306793483404557</v>
      </c>
      <c r="AC56" s="22">
        <f t="shared" si="3"/>
        <v>31.564402297988948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233.59999999999994</v>
      </c>
      <c r="AJ56" s="13">
        <f>AI56*VLOOKUP('Données projet'!$B$10,Paramètres!$A$1:$I$89,3,0)*VLOOKUP('Données projet'!$B$10,Paramètres!$A$1:$I$89,5,0)</f>
        <v>236.87039999999996</v>
      </c>
      <c r="AK56" s="13">
        <f t="shared" si="35"/>
        <v>57.765668276484661</v>
      </c>
      <c r="AL56" s="20">
        <f t="shared" si="4"/>
        <v>513.15781891487734</v>
      </c>
      <c r="AM56" s="59">
        <f t="shared" si="5"/>
        <v>770.23319712141051</v>
      </c>
      <c r="AN56" s="59">
        <f ca="1">AVERAGE(OFFSET($AM$3,0,0,'Données projet'!$E$10+1,1))-AVERAGE(OFFSET($H$3,0,0,'Données projet'!$E$10+1,1))</f>
        <v>542.51810435067659</v>
      </c>
      <c r="AO56" s="59">
        <f t="shared" si="36"/>
        <v>325.7263575945085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8.2056178150152999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8.2056178150152999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233.59999999999994</v>
      </c>
      <c r="BE56" s="13">
        <f>BD56*VLOOKUP('Données projet'!$B$11,Paramètres!$A$1:$I$89,3,0)*VLOOKUP('Données projet'!$B$11,Paramètres!$A$1:$I$89,5,0)</f>
        <v>211.36127999999991</v>
      </c>
      <c r="BF56" s="13">
        <f t="shared" si="37"/>
        <v>52.232947669705631</v>
      </c>
      <c r="BG56" s="20">
        <f t="shared" si="7"/>
        <v>459.0932798580705</v>
      </c>
      <c r="BH56" s="59">
        <f t="shared" si="8"/>
        <v>716.16865806460373</v>
      </c>
      <c r="BI56" s="59">
        <f ca="1">AVERAGE(OFFSET($BH$3,0,0,'Données projet'!$E$11+1,1))-AVERAGE(OFFSET($H$3,0,0,'Données projet'!$E$11+1,1))</f>
        <v>492.39485179035256</v>
      </c>
      <c r="BJ56" s="59">
        <f t="shared" si="38"/>
        <v>297.32483725004124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7.3219358964751882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7.3219358964751882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123.79999999999994</v>
      </c>
      <c r="BZ56" s="13">
        <f>BY56*VLOOKUP('Données projet'!$B$12,Paramètres!$A$1:$I$89,3,0)*VLOOKUP('Données projet'!$B$12,Paramètres!$A$1:$I$89,5,0)</f>
        <v>117.80807999999993</v>
      </c>
      <c r="CA56" s="13">
        <f t="shared" si="39"/>
        <v>31.163222740883338</v>
      </c>
      <c r="CB56" s="20">
        <f t="shared" si="10"/>
        <v>259.45835227370497</v>
      </c>
      <c r="CC56" s="59">
        <f t="shared" si="11"/>
        <v>516.53373048023821</v>
      </c>
      <c r="CD56" s="59">
        <f ca="1">AVERAGE(OFFSET($CC$3,0,0,'Données projet'!$E$12+1,1))-AVERAGE(OFFSET($H$3,0,0,'Données projet'!$E$12+1,1))</f>
        <v>260.51631161522039</v>
      </c>
      <c r="CE56" s="59">
        <f t="shared" si="40"/>
        <v>171.3469666102674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3.2535741872878075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3.2535741872878075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5.6843418860808015E-14</v>
      </c>
      <c r="CU56" s="17">
        <f>CT56*VLOOKUP('Données projet'!$B$13,Paramètres!$A$1:$I$89,3,0)*VLOOKUP('Données projet'!$B$13,Paramètres!$A$1:$I$89,5,0)</f>
        <v>3.3992364478763198E-14</v>
      </c>
      <c r="CV56" s="13">
        <f t="shared" si="41"/>
        <v>5.790027782444094E-13</v>
      </c>
      <c r="CW56" s="20">
        <f t="shared" si="13"/>
        <v>1.0676332069095257E-12</v>
      </c>
      <c r="CX56" s="59">
        <f t="shared" si="14"/>
        <v>257.07537820653431</v>
      </c>
      <c r="CY56" s="59">
        <f ca="1">AVERAGE(OFFSET($CX$3,0,0,'Données projet'!$E$13+1,1))-AVERAGE(OFFSET($H$3,0,0,'Données projet'!$E$13+1,1))</f>
        <v>301.2688576786212</v>
      </c>
      <c r="CZ56" s="59">
        <f t="shared" si="42"/>
        <v>417.62172165132927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139.356111739429</v>
      </c>
      <c r="DG56" s="21">
        <f>EXP(-LN(2)/25)*DG55+(1-EXP(-LN(2)/25))/(LN(2)/25)*Calculateur!DB56*Calculateur!DD56*VLOOKUP('Données projet'!$B$13,Paramètres!$A$1:$I$89,3,0)*0.475*44/12</f>
        <v>48.896456636902649</v>
      </c>
      <c r="DH56" s="21">
        <f>EXP(-LN(2)/2)*DH55+(1-EXP(-LN(2)/2))/(LN(2)/2)*DB56*DE56*VLOOKUP('Données projet'!$B$13,Paramètres!$A$1:$I$89,3,0)*0.475*44/12</f>
        <v>14.780564803960344</v>
      </c>
      <c r="DI56" s="22">
        <f t="shared" si="15"/>
        <v>203.033133180292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</v>
      </c>
      <c r="N57" s="13">
        <f>IF('Données projet'!$A$36&gt;35,N56+M57-V56,IF(A57&lt;'Données projet'!$A$36,$K$205^A57,IF(A57='Données projet'!$A$36,'Données projet'!$B$36,N56+M57-V56)))</f>
        <v>243</v>
      </c>
      <c r="O57" s="13">
        <f>N57*VLOOKUP('Données projet'!$B$9,Paramètres!$A$1:$I$89,3,0)*VLOOKUP('Données projet'!$B$9,Paramètres!$A$1:$I$89,5,0)</f>
        <v>113.72399999999999</v>
      </c>
      <c r="P57" s="13">
        <f t="shared" si="33"/>
        <v>30.206680638130489</v>
      </c>
      <c r="Q57" s="20">
        <f t="shared" si="53"/>
        <v>250.67926877807722</v>
      </c>
      <c r="R57" s="59">
        <f t="shared" si="0"/>
        <v>508.38364144541652</v>
      </c>
      <c r="S57" s="59">
        <f ca="1">AVERAGE(OFFSET($R$3,0,0,'Données projet'!$E$9+1,1))-AVERAGE(OFFSET($H$3,0,0,'Données projet'!$E$9+1,1))</f>
        <v>167.82976403567059</v>
      </c>
      <c r="T57" s="59">
        <f t="shared" si="34"/>
        <v>232.70925470547317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13.16266041219995</v>
      </c>
      <c r="AA57" s="21">
        <f>EXP(-LN(2)/25)*AA56+(1-EXP(-LN(2)/25))/(LN(2)/25)*Calculateur!V57*Calculateur!X57*VLOOKUP('Données projet'!$B$9,Paramètres!$A$1:$I$89,3,0)*0.475*44/12</f>
        <v>15.180992357338551</v>
      </c>
      <c r="AB57" s="21">
        <f>EXP(-LN(2)/2)*AB56+(1-EXP(-LN(2)/2))/(LN(2)/2)*V57*Y57*VLOOKUP('Données projet'!$B$9,Paramètres!$A$1:$I$89,3,0)*0.475*44/12</f>
        <v>1.7894605282202893</v>
      </c>
      <c r="AC57" s="22">
        <f t="shared" si="3"/>
        <v>30.13311329775879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243.79999999999993</v>
      </c>
      <c r="AJ57" s="13">
        <f>AI57*VLOOKUP('Données projet'!$B$10,Paramètres!$A$1:$I$89,3,0)*VLOOKUP('Données projet'!$B$10,Paramètres!$A$1:$I$89,5,0)</f>
        <v>247.21319999999997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792.74785740689208</v>
      </c>
      <c r="AN57" s="59">
        <f ca="1">AVERAGE(OFFSET($AM$3,0,0,'Données projet'!$E$10+1,1))-AVERAGE(OFFSET($H$3,0,0,'Données projet'!$E$10+1,1))</f>
        <v>542.51810435067659</v>
      </c>
      <c r="AO57" s="59">
        <f t="shared" si="36"/>
        <v>325.7263575945085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8.0447106545955211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8.0447106545955211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243.79999999999993</v>
      </c>
      <c r="BE57" s="13">
        <f>BD57*VLOOKUP('Données projet'!$B$11,Paramètres!$A$1:$I$89,3,0)*VLOOKUP('Données projet'!$B$11,Paramètres!$A$1:$I$89,5,0)</f>
        <v>220.59023999999991</v>
      </c>
      <c r="BF57" s="13">
        <f t="shared" si="37"/>
        <v>54.243151457087848</v>
      </c>
      <c r="BG57" s="20">
        <f t="shared" si="7"/>
        <v>478.66815678776123</v>
      </c>
      <c r="BH57" s="59">
        <f t="shared" si="8"/>
        <v>736.37252945510056</v>
      </c>
      <c r="BI57" s="59">
        <f ca="1">AVERAGE(OFFSET($BH$3,0,0,'Données projet'!$E$11+1,1))-AVERAGE(OFFSET($H$3,0,0,'Données projet'!$E$11+1,1))</f>
        <v>492.39485179035256</v>
      </c>
      <c r="BJ57" s="59">
        <f t="shared" si="38"/>
        <v>297.32483725004124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7.178357199485232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7.178357199485232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129.39999999999995</v>
      </c>
      <c r="BZ57" s="13">
        <f>BY57*VLOOKUP('Données projet'!$B$12,Paramètres!$A$1:$I$89,3,0)*VLOOKUP('Données projet'!$B$12,Paramètres!$A$1:$I$89,5,0)</f>
        <v>123.13703999999996</v>
      </c>
      <c r="CA57" s="13">
        <f t="shared" si="39"/>
        <v>32.40555984092714</v>
      </c>
      <c r="CB57" s="20">
        <f t="shared" si="10"/>
        <v>270.9033613896147</v>
      </c>
      <c r="CC57" s="59">
        <f t="shared" si="11"/>
        <v>528.60773405695409</v>
      </c>
      <c r="CD57" s="59">
        <f ca="1">AVERAGE(OFFSET($CC$3,0,0,'Données projet'!$E$12+1,1))-AVERAGE(OFFSET($H$3,0,0,'Données projet'!$E$12+1,1))</f>
        <v>260.51631161522039</v>
      </c>
      <c r="CE57" s="59">
        <f t="shared" si="40"/>
        <v>171.3469666102674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3.1897735819593964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3.1897735819593964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5.6843418860808015E-14</v>
      </c>
      <c r="CU57" s="17">
        <f>CT57*VLOOKUP('Données projet'!$B$13,Paramètres!$A$1:$I$89,3,0)*VLOOKUP('Données projet'!$B$13,Paramètres!$A$1:$I$89,5,0)</f>
        <v>3.3992364478763198E-14</v>
      </c>
      <c r="CV57" s="13">
        <f t="shared" si="41"/>
        <v>5.790027782444094E-13</v>
      </c>
      <c r="CW57" s="20">
        <f t="shared" si="13"/>
        <v>1.0676332069095257E-12</v>
      </c>
      <c r="CX57" s="59">
        <f t="shared" si="14"/>
        <v>257.70437266734041</v>
      </c>
      <c r="CY57" s="59">
        <f ca="1">AVERAGE(OFFSET($CX$3,0,0,'Données projet'!$E$13+1,1))-AVERAGE(OFFSET($H$3,0,0,'Données projet'!$E$13+1,1))</f>
        <v>301.2688576786212</v>
      </c>
      <c r="CZ57" s="59">
        <f t="shared" si="42"/>
        <v>417.62172165132927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136.623423387054</v>
      </c>
      <c r="DG57" s="21">
        <f>EXP(-LN(2)/25)*DG56+(1-EXP(-LN(2)/25))/(LN(2)/25)*Calculateur!DB57*Calculateur!DD57*VLOOKUP('Données projet'!$B$13,Paramètres!$A$1:$I$89,3,0)*0.475*44/12</f>
        <v>47.559380458813642</v>
      </c>
      <c r="DH57" s="21">
        <f>EXP(-LN(2)/2)*DH56+(1-EXP(-LN(2)/2))/(LN(2)/2)*DB57*DE57*VLOOKUP('Données projet'!$B$13,Paramètres!$A$1:$I$89,3,0)*0.475*44/12</f>
        <v>10.451437602647573</v>
      </c>
      <c r="DI57" s="22">
        <f t="shared" si="15"/>
        <v>194.63424144851524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</v>
      </c>
      <c r="N58" s="13">
        <f>IF('Données projet'!$A$36&gt;35,N57+M58-V57,IF(A58&lt;'Données projet'!$A$36,$K$205^A58,IF(A58='Données projet'!$A$36,'Données projet'!$B$36,N57+M58-V57)))</f>
        <v>252.5</v>
      </c>
      <c r="O58" s="13">
        <f>N58*VLOOKUP('Données projet'!$B$9,Paramètres!$A$1:$I$89,3,0)*VLOOKUP('Données projet'!$B$9,Paramètres!$A$1:$I$89,5,0)</f>
        <v>118.16999999999999</v>
      </c>
      <c r="P58" s="13">
        <f t="shared" si="33"/>
        <v>31.247800856969125</v>
      </c>
      <c r="Q58" s="20">
        <f t="shared" si="53"/>
        <v>260.23600315922118</v>
      </c>
      <c r="R58" s="59">
        <f t="shared" si="0"/>
        <v>518.55845863969262</v>
      </c>
      <c r="S58" s="59">
        <f ca="1">AVERAGE(OFFSET($R$3,0,0,'Données projet'!$E$9+1,1))-AVERAGE(OFFSET($H$3,0,0,'Données projet'!$E$9+1,1))</f>
        <v>167.82976403567059</v>
      </c>
      <c r="T58" s="59">
        <f t="shared" si="34"/>
        <v>232.70925470547317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12.904548669946818</v>
      </c>
      <c r="AA58" s="21">
        <f>EXP(-LN(2)/25)*AA57+(1-EXP(-LN(2)/25))/(LN(2)/25)*Calculateur!V58*Calculateur!X58*VLOOKUP('Données projet'!$B$9,Paramètres!$A$1:$I$89,3,0)*0.475*44/12</f>
        <v>14.765867322993437</v>
      </c>
      <c r="AB58" s="21">
        <f>EXP(-LN(2)/2)*AB57+(1-EXP(-LN(2)/2))/(LN(2)/2)*V58*Y58*VLOOKUP('Données projet'!$B$9,Paramètres!$A$1:$I$89,3,0)*0.475*44/12</f>
        <v>1.2653396741702281</v>
      </c>
      <c r="AC58" s="22">
        <f t="shared" si="3"/>
        <v>28.935755667110485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253.99999999999991</v>
      </c>
      <c r="AJ58" s="13">
        <f>AI58*VLOOKUP('Données projet'!$B$10,Paramètres!$A$1:$I$89,3,0)*VLOOKUP('Données projet'!$B$10,Paramètres!$A$1:$I$89,5,0)</f>
        <v>257.55599999999993</v>
      </c>
      <c r="AK58" s="13">
        <f t="shared" si="35"/>
        <v>62.201129910568184</v>
      </c>
      <c r="AL58" s="20">
        <f t="shared" si="4"/>
        <v>556.91033459423932</v>
      </c>
      <c r="AM58" s="59">
        <f t="shared" si="5"/>
        <v>815.23279007471069</v>
      </c>
      <c r="AN58" s="59">
        <f ca="1">AVERAGE(OFFSET($AM$3,0,0,'Données projet'!$E$10+1,1))-AVERAGE(OFFSET($H$3,0,0,'Données projet'!$E$10+1,1))</f>
        <v>542.51810435067659</v>
      </c>
      <c r="AO58" s="59">
        <f t="shared" si="36"/>
        <v>325.7263575945085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11.935819222473135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11.935819222473135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253.99999999999991</v>
      </c>
      <c r="BE58" s="13">
        <f>BD58*VLOOKUP('Données projet'!$B$11,Paramètres!$A$1:$I$89,3,0)*VLOOKUP('Données projet'!$B$11,Paramètres!$A$1:$I$89,5,0)</f>
        <v>229.81919999999991</v>
      </c>
      <c r="BF58" s="13">
        <f t="shared" si="37"/>
        <v>56.243586554989342</v>
      </c>
      <c r="BG58" s="20">
        <f t="shared" si="7"/>
        <v>498.22601991660628</v>
      </c>
      <c r="BH58" s="59">
        <f t="shared" si="8"/>
        <v>756.54847539707771</v>
      </c>
      <c r="BI58" s="59">
        <f ca="1">AVERAGE(OFFSET($BH$3,0,0,'Données projet'!$E$11+1,1))-AVERAGE(OFFSET($H$3,0,0,'Données projet'!$E$11+1,1))</f>
        <v>492.39485179035256</v>
      </c>
      <c r="BJ58" s="59">
        <f t="shared" si="38"/>
        <v>297.32483725004124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10.650423306206795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10.650423306206795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135</v>
      </c>
      <c r="BW58" s="12">
        <f>VLOOKUP(A58,'Données projet'!$A$113:$I$133,9,0)</f>
        <v>5.6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134.99999999999994</v>
      </c>
      <c r="BZ58" s="13">
        <f>BY58*VLOOKUP('Données projet'!$B$12,Paramètres!$A$1:$I$89,3,0)*VLOOKUP('Données projet'!$B$12,Paramètres!$A$1:$I$89,5,0)</f>
        <v>128.46599999999995</v>
      </c>
      <c r="CA58" s="13">
        <f t="shared" si="39"/>
        <v>33.64165246545825</v>
      </c>
      <c r="CB58" s="20">
        <f t="shared" si="10"/>
        <v>282.33749471067301</v>
      </c>
      <c r="CC58" s="59">
        <f t="shared" si="11"/>
        <v>540.65995019114439</v>
      </c>
      <c r="CD58" s="59">
        <f ca="1">AVERAGE(OFFSET($CC$3,0,0,'Données projet'!$E$12+1,1))-AVERAGE(OFFSET($H$3,0,0,'Données projet'!$E$12+1,1))</f>
        <v>260.51631161522039</v>
      </c>
      <c r="CE58" s="59">
        <f t="shared" si="40"/>
        <v>171.3469666102674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14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5.0270739649603291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5.0270739649603291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5.6843418860808015E-14</v>
      </c>
      <c r="CU58" s="17">
        <f>CT58*VLOOKUP('Données projet'!$B$13,Paramètres!$A$1:$I$89,3,0)*VLOOKUP('Données projet'!$B$13,Paramètres!$A$1:$I$89,5,0)</f>
        <v>3.3992364478763198E-14</v>
      </c>
      <c r="CV58" s="13">
        <f t="shared" si="41"/>
        <v>5.790027782444094E-13</v>
      </c>
      <c r="CW58" s="20">
        <f t="shared" si="13"/>
        <v>1.0676332069095257E-12</v>
      </c>
      <c r="CX58" s="59">
        <f t="shared" si="14"/>
        <v>258.32245548047246</v>
      </c>
      <c r="CY58" s="59">
        <f ca="1">AVERAGE(OFFSET($CX$3,0,0,'Données projet'!$E$13+1,1))-AVERAGE(OFFSET($H$3,0,0,'Données projet'!$E$13+1,1))</f>
        <v>301.2688576786212</v>
      </c>
      <c r="CZ58" s="59">
        <f t="shared" si="42"/>
        <v>417.62172165132927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133.94432138649378</v>
      </c>
      <c r="DG58" s="21">
        <f>EXP(-LN(2)/25)*DG57+(1-EXP(-LN(2)/25))/(LN(2)/25)*Calculateur!DB58*Calculateur!DD58*VLOOKUP('Données projet'!$B$13,Paramètres!$A$1:$I$89,3,0)*0.475*44/12</f>
        <v>46.258866699128262</v>
      </c>
      <c r="DH58" s="21">
        <f>EXP(-LN(2)/2)*DH57+(1-EXP(-LN(2)/2))/(LN(2)/2)*DB58*DE58*VLOOKUP('Données projet'!$B$13,Paramètres!$A$1:$I$89,3,0)*0.475*44/12</f>
        <v>7.3902824019801727</v>
      </c>
      <c r="DI58" s="22">
        <f t="shared" si="15"/>
        <v>187.59347048760225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</v>
      </c>
      <c r="N59" s="13">
        <f>IF('Données projet'!$A$36&gt;35,N58+M59-V58,IF(A59&lt;'Données projet'!$A$36,$K$205^A59,IF(A59='Données projet'!$A$36,'Données projet'!$B$36,N58+M59-V58)))</f>
        <v>262</v>
      </c>
      <c r="O59" s="13">
        <f>N59*VLOOKUP('Données projet'!$B$9,Paramètres!$A$1:$I$89,3,0)*VLOOKUP('Données projet'!$B$9,Paramètres!$A$1:$I$89,5,0)</f>
        <v>122.616</v>
      </c>
      <c r="P59" s="13">
        <f t="shared" si="33"/>
        <v>32.284370423104164</v>
      </c>
      <c r="Q59" s="20">
        <f t="shared" si="53"/>
        <v>269.78481182023978</v>
      </c>
      <c r="R59" s="59">
        <f t="shared" si="0"/>
        <v>528.71462775886152</v>
      </c>
      <c r="S59" s="59">
        <f ca="1">AVERAGE(OFFSET($R$3,0,0,'Données projet'!$E$9+1,1))-AVERAGE(OFFSET($H$3,0,0,'Données projet'!$E$9+1,1))</f>
        <v>167.82976403567059</v>
      </c>
      <c r="T59" s="59">
        <f t="shared" si="34"/>
        <v>232.70925470547317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12.651498341526652</v>
      </c>
      <c r="AA59" s="21">
        <f>EXP(-LN(2)/25)*AA58+(1-EXP(-LN(2)/25))/(LN(2)/25)*Calculateur!V59*Calculateur!X59*VLOOKUP('Données projet'!$B$9,Paramètres!$A$1:$I$89,3,0)*0.475*44/12</f>
        <v>14.362093904542967</v>
      </c>
      <c r="AB59" s="21">
        <f>EXP(-LN(2)/2)*AB58+(1-EXP(-LN(2)/2))/(LN(2)/2)*V59*Y59*VLOOKUP('Données projet'!$B$9,Paramètres!$A$1:$I$89,3,0)*0.475*44/12</f>
        <v>0.89473026411014489</v>
      </c>
      <c r="AC59" s="22">
        <f t="shared" si="3"/>
        <v>27.908322510179765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238.69559999999996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775.95121797579418</v>
      </c>
      <c r="AN59" s="59">
        <f ca="1">AVERAGE(OFFSET($AM$3,0,0,'Données projet'!$E$10+1,1))-AVERAGE(OFFSET($H$3,0,0,'Données projet'!$E$10+1,1))</f>
        <v>542.51810435067659</v>
      </c>
      <c r="AO59" s="59">
        <f t="shared" si="36"/>
        <v>325.7263575945085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11.70176508765131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11.70176508765131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235.39999999999992</v>
      </c>
      <c r="BE59" s="13">
        <f>BD59*VLOOKUP('Données projet'!$B$11,Paramètres!$A$1:$I$89,3,0)*VLOOKUP('Données projet'!$B$11,Paramètres!$A$1:$I$89,5,0)</f>
        <v>212.98991999999993</v>
      </c>
      <c r="BF59" s="13">
        <f t="shared" si="37"/>
        <v>52.588419883221121</v>
      </c>
      <c r="BG59" s="20">
        <f t="shared" si="7"/>
        <v>462.5489419632766</v>
      </c>
      <c r="BH59" s="59">
        <f t="shared" si="8"/>
        <v>721.47875790189835</v>
      </c>
      <c r="BI59" s="59">
        <f ca="1">AVERAGE(OFFSET($BH$3,0,0,'Données projet'!$E$11+1,1))-AVERAGE(OFFSET($H$3,0,0,'Données projet'!$E$11+1,1))</f>
        <v>492.39485179035256</v>
      </c>
      <c r="BJ59" s="59">
        <f t="shared" si="38"/>
        <v>297.32483725004124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10.441575001288859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10.441575001288859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126.39999999999995</v>
      </c>
      <c r="BZ59" s="13">
        <f>BY59*VLOOKUP('Données projet'!$B$12,Paramètres!$A$1:$I$89,3,0)*VLOOKUP('Données projet'!$B$12,Paramètres!$A$1:$I$89,5,0)</f>
        <v>120.28223999999996</v>
      </c>
      <c r="CA59" s="13">
        <f t="shared" si="39"/>
        <v>31.74081813615641</v>
      </c>
      <c r="CB59" s="20">
        <f t="shared" si="10"/>
        <v>264.77349292047239</v>
      </c>
      <c r="CC59" s="59">
        <f t="shared" si="11"/>
        <v>523.70330885909414</v>
      </c>
      <c r="CD59" s="59">
        <f ca="1">AVERAGE(OFFSET($CC$3,0,0,'Données projet'!$E$12+1,1))-AVERAGE(OFFSET($H$3,0,0,'Données projet'!$E$12+1,1))</f>
        <v>260.51631161522039</v>
      </c>
      <c r="CE59" s="59">
        <f t="shared" si="40"/>
        <v>171.3469666102674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4.928496110719812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4.928496110719812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5.6843418860808015E-14</v>
      </c>
      <c r="CU59" s="17">
        <f>CT59*VLOOKUP('Données projet'!$B$13,Paramètres!$A$1:$I$89,3,0)*VLOOKUP('Données projet'!$B$13,Paramètres!$A$1:$I$89,5,0)</f>
        <v>3.3992364478763198E-14</v>
      </c>
      <c r="CV59" s="13">
        <f t="shared" si="41"/>
        <v>5.790027782444094E-13</v>
      </c>
      <c r="CW59" s="20">
        <f t="shared" si="13"/>
        <v>1.0676332069095257E-12</v>
      </c>
      <c r="CX59" s="59">
        <f t="shared" si="14"/>
        <v>258.92981593862282</v>
      </c>
      <c r="CY59" s="59">
        <f ca="1">AVERAGE(OFFSET($CX$3,0,0,'Données projet'!$E$13+1,1))-AVERAGE(OFFSET($H$3,0,0,'Données projet'!$E$13+1,1))</f>
        <v>301.2688576786212</v>
      </c>
      <c r="CZ59" s="59">
        <f t="shared" si="42"/>
        <v>417.62172165132927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131.31775494207369</v>
      </c>
      <c r="DG59" s="21">
        <f>EXP(-LN(2)/25)*DG58+(1-EXP(-LN(2)/25))/(LN(2)/25)*Calculateur!DB59*Calculateur!DD59*VLOOKUP('Données projet'!$B$13,Paramètres!$A$1:$I$89,3,0)*0.475*44/12</f>
        <v>44.993915556592526</v>
      </c>
      <c r="DH59" s="21">
        <f>EXP(-LN(2)/2)*DH58+(1-EXP(-LN(2)/2))/(LN(2)/2)*DB59*DE59*VLOOKUP('Données projet'!$B$13,Paramètres!$A$1:$I$89,3,0)*0.475*44/12</f>
        <v>5.2257188013237874</v>
      </c>
      <c r="DI59" s="22">
        <f t="shared" si="15"/>
        <v>181.53738929999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</v>
      </c>
      <c r="N60" s="13">
        <f>IF('Données projet'!$A$36&gt;35,N59+M60-V59,IF(A60&lt;'Données projet'!$A$36,$K$205^A60,IF(A60='Données projet'!$A$36,'Données projet'!$B$36,N59+M60-V59)))</f>
        <v>271.5</v>
      </c>
      <c r="O60" s="13">
        <f>N60*VLOOKUP('Données projet'!$B$9,Paramètres!$A$1:$I$89,3,0)*VLOOKUP('Données projet'!$B$9,Paramètres!$A$1:$I$89,5,0)</f>
        <v>127.062</v>
      </c>
      <c r="P60" s="13">
        <f t="shared" si="33"/>
        <v>33.316573241426198</v>
      </c>
      <c r="Q60" s="20">
        <f t="shared" si="53"/>
        <v>279.32601506215059</v>
      </c>
      <c r="R60" s="59">
        <f t="shared" si="0"/>
        <v>538.8526551128283</v>
      </c>
      <c r="S60" s="59">
        <f ca="1">AVERAGE(OFFSET($R$3,0,0,'Données projet'!$E$9+1,1))-AVERAGE(OFFSET($H$3,0,0,'Données projet'!$E$9+1,1))</f>
        <v>167.82976403567059</v>
      </c>
      <c r="T60" s="59">
        <f t="shared" si="34"/>
        <v>232.70925470547317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12.403410175701348</v>
      </c>
      <c r="AA60" s="21">
        <f>EXP(-LN(2)/25)*AA59+(1-EXP(-LN(2)/25))/(LN(2)/25)*Calculateur!V60*Calculateur!X60*VLOOKUP('Données projet'!$B$9,Paramètres!$A$1:$I$89,3,0)*0.475*44/12</f>
        <v>13.969361691453546</v>
      </c>
      <c r="AB60" s="21">
        <f>EXP(-LN(2)/2)*AB59+(1-EXP(-LN(2)/2))/(LN(2)/2)*V60*Y60*VLOOKUP('Données projet'!$B$9,Paramètres!$A$1:$I$89,3,0)*0.475*44/12</f>
        <v>0.63266983708511415</v>
      </c>
      <c r="AC60" s="22">
        <f t="shared" si="3"/>
        <v>27.00544170424001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248.22719999999993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796.71475132965043</v>
      </c>
      <c r="AN60" s="59">
        <f ca="1">AVERAGE(OFFSET($AM$3,0,0,'Données projet'!$E$10+1,1))-AVERAGE(OFFSET($H$3,0,0,'Données projet'!$E$10+1,1))</f>
        <v>542.51810435067659</v>
      </c>
      <c r="AO60" s="59">
        <f t="shared" si="36"/>
        <v>325.7263575945085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11.472300611654415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11.472300611654415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244.79999999999993</v>
      </c>
      <c r="BE60" s="13">
        <f>BD60*VLOOKUP('Données projet'!$B$11,Paramètres!$A$1:$I$89,3,0)*VLOOKUP('Données projet'!$B$11,Paramètres!$A$1:$I$89,5,0)</f>
        <v>221.49503999999993</v>
      </c>
      <c r="BF60" s="13">
        <f t="shared" si="37"/>
        <v>54.439697086174412</v>
      </c>
      <c r="BG60" s="20">
        <f t="shared" si="7"/>
        <v>480.58633375842027</v>
      </c>
      <c r="BH60" s="59">
        <f t="shared" si="8"/>
        <v>740.11297380909798</v>
      </c>
      <c r="BI60" s="59">
        <f ca="1">AVERAGE(OFFSET($BH$3,0,0,'Données projet'!$E$11+1,1))-AVERAGE(OFFSET($H$3,0,0,'Données projet'!$E$11+1,1))</f>
        <v>492.39485179035256</v>
      </c>
      <c r="BJ60" s="59">
        <f t="shared" si="38"/>
        <v>297.32483725004124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10.236822084245475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10.236822084245475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131.79999999999995</v>
      </c>
      <c r="BZ60" s="13">
        <f>BY60*VLOOKUP('Données projet'!$B$12,Paramètres!$A$1:$I$89,3,0)*VLOOKUP('Données projet'!$B$12,Paramètres!$A$1:$I$89,5,0)</f>
        <v>125.42087999999995</v>
      </c>
      <c r="CA60" s="13">
        <f t="shared" si="39"/>
        <v>32.936061027273531</v>
      </c>
      <c r="CB60" s="20">
        <f t="shared" si="10"/>
        <v>275.80500562250131</v>
      </c>
      <c r="CC60" s="59">
        <f t="shared" si="11"/>
        <v>535.33164567317908</v>
      </c>
      <c r="CD60" s="59">
        <f ca="1">AVERAGE(OFFSET($CC$3,0,0,'Données projet'!$E$12+1,1))-AVERAGE(OFFSET($H$3,0,0,'Données projet'!$E$12+1,1))</f>
        <v>260.51631161522039</v>
      </c>
      <c r="CE60" s="59">
        <f t="shared" si="40"/>
        <v>171.3469666102674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4.8318513080743974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4.8318513080743974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5.6843418860808015E-14</v>
      </c>
      <c r="CU60" s="17">
        <f>CT60*VLOOKUP('Données projet'!$B$13,Paramètres!$A$1:$I$89,3,0)*VLOOKUP('Données projet'!$B$13,Paramètres!$A$1:$I$89,5,0)</f>
        <v>3.3992364478763198E-14</v>
      </c>
      <c r="CV60" s="13">
        <f t="shared" si="41"/>
        <v>5.790027782444094E-13</v>
      </c>
      <c r="CW60" s="20">
        <f t="shared" si="13"/>
        <v>1.0676332069095257E-12</v>
      </c>
      <c r="CX60" s="59">
        <f t="shared" si="14"/>
        <v>259.52664005067879</v>
      </c>
      <c r="CY60" s="59">
        <f ca="1">AVERAGE(OFFSET($CX$3,0,0,'Données projet'!$E$13+1,1))-AVERAGE(OFFSET($H$3,0,0,'Données projet'!$E$13+1,1))</f>
        <v>301.2688576786212</v>
      </c>
      <c r="CZ60" s="59">
        <f t="shared" si="42"/>
        <v>417.62172165132927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128.74269386358134</v>
      </c>
      <c r="DG60" s="21">
        <f>EXP(-LN(2)/25)*DG59+(1-EXP(-LN(2)/25))/(LN(2)/25)*Calculateur!DB60*Calculateur!DD60*VLOOKUP('Données projet'!$B$13,Paramètres!$A$1:$I$89,3,0)*0.475*44/12</f>
        <v>43.763554569570317</v>
      </c>
      <c r="DH60" s="21">
        <f>EXP(-LN(2)/2)*DH59+(1-EXP(-LN(2)/2))/(LN(2)/2)*DB60*DE60*VLOOKUP('Données projet'!$B$13,Paramètres!$A$1:$I$89,3,0)*0.475*44/12</f>
        <v>3.6951412009900868</v>
      </c>
      <c r="DI60" s="22">
        <f t="shared" si="15"/>
        <v>176.20138963414175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9.5</v>
      </c>
      <c r="N61" s="13">
        <f>IF('Données projet'!$A$36&gt;35,N60+M61-V60,IF(A61&lt;'Données projet'!$A$36,$K$205^A61,IF(A61='Données projet'!$A$36,'Données projet'!$B$36,N60+M61-V60)))</f>
        <v>281</v>
      </c>
      <c r="O61" s="13">
        <f>N61*VLOOKUP('Données projet'!$B$9,Paramètres!$A$1:$I$89,3,0)*VLOOKUP('Données projet'!$B$9,Paramètres!$A$1:$I$89,5,0)</f>
        <v>131.50800000000001</v>
      </c>
      <c r="P61" s="13">
        <f t="shared" si="33"/>
        <v>34.344579617082509</v>
      </c>
      <c r="Q61" s="20">
        <f t="shared" si="53"/>
        <v>288.85990949975201</v>
      </c>
      <c r="R61" s="59">
        <f t="shared" si="0"/>
        <v>548.97302009844043</v>
      </c>
      <c r="S61" s="59">
        <f ca="1">AVERAGE(OFFSET($R$3,0,0,'Données projet'!$E$9+1,1))-AVERAGE(OFFSET($H$3,0,0,'Données projet'!$E$9+1,1))</f>
        <v>167.82976403567059</v>
      </c>
      <c r="T61" s="59">
        <f t="shared" si="34"/>
        <v>232.70925470547317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12.160186867489037</v>
      </c>
      <c r="AA61" s="21">
        <f>EXP(-LN(2)/25)*AA60+(1-EXP(-LN(2)/25))/(LN(2)/25)*Calculateur!V61*Calculateur!X61*VLOOKUP('Données projet'!$B$9,Paramètres!$A$1:$I$89,3,0)*0.475*44/12</f>
        <v>13.587368761383946</v>
      </c>
      <c r="AB61" s="21">
        <f>EXP(-LN(2)/2)*AB60+(1-EXP(-LN(2)/2))/(LN(2)/2)*V61*Y61*VLOOKUP('Données projet'!$B$9,Paramètres!$A$1:$I$89,3,0)*0.475*44/12</f>
        <v>0.4473651320550725</v>
      </c>
      <c r="AC61" s="22">
        <f t="shared" si="3"/>
        <v>26.194920760928053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257.75879999999995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817.45202465285615</v>
      </c>
      <c r="AN61" s="59">
        <f ca="1">AVERAGE(OFFSET($AM$3,0,0,'Données projet'!$E$10+1,1))-AVERAGE(OFFSET($H$3,0,0,'Données projet'!$E$10+1,1))</f>
        <v>542.51810435067659</v>
      </c>
      <c r="AO61" s="59">
        <f t="shared" si="36"/>
        <v>325.7263575945085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11.247335794072308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11.247335794072308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254.19999999999993</v>
      </c>
      <c r="BE61" s="13">
        <f>BD61*VLOOKUP('Données projet'!$B$11,Paramètres!$A$1:$I$89,3,0)*VLOOKUP('Données projet'!$B$11,Paramètres!$A$1:$I$89,5,0)</f>
        <v>230.00015999999994</v>
      </c>
      <c r="BF61" s="13">
        <f t="shared" si="37"/>
        <v>56.282716126880423</v>
      </c>
      <c r="BG61" s="20">
        <f t="shared" si="7"/>
        <v>498.60934258764996</v>
      </c>
      <c r="BH61" s="59">
        <f t="shared" si="8"/>
        <v>758.72245318633838</v>
      </c>
      <c r="BI61" s="59">
        <f ca="1">AVERAGE(OFFSET($BH$3,0,0,'Données projet'!$E$11+1,1))-AVERAGE(OFFSET($H$3,0,0,'Données projet'!$E$11+1,1))</f>
        <v>492.39485179035256</v>
      </c>
      <c r="BJ61" s="59">
        <f t="shared" si="38"/>
        <v>297.32483725004124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10.036084247018364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10.036084247018364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137.19999999999996</v>
      </c>
      <c r="BZ61" s="13">
        <f>BY61*VLOOKUP('Données projet'!$B$12,Paramètres!$A$1:$I$89,3,0)*VLOOKUP('Données projet'!$B$12,Paramètres!$A$1:$I$89,5,0)</f>
        <v>130.55951999999996</v>
      </c>
      <c r="CA61" s="13">
        <f t="shared" si="39"/>
        <v>34.125615642317207</v>
      </c>
      <c r="CB61" s="20">
        <f t="shared" si="10"/>
        <v>286.82661124370242</v>
      </c>
      <c r="CC61" s="59">
        <f t="shared" si="11"/>
        <v>546.93972184239078</v>
      </c>
      <c r="CD61" s="59">
        <f ca="1">AVERAGE(OFFSET($CC$3,0,0,'Données projet'!$E$12+1,1))-AVERAGE(OFFSET($H$3,0,0,'Données projet'!$E$12+1,1))</f>
        <v>260.51631161522039</v>
      </c>
      <c r="CE61" s="59">
        <f t="shared" si="40"/>
        <v>171.3469666102674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4.7371016510613506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4.7371016510613506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5.6843418860808015E-14</v>
      </c>
      <c r="CU61" s="17">
        <f>CT61*VLOOKUP('Données projet'!$B$13,Paramètres!$A$1:$I$89,3,0)*VLOOKUP('Données projet'!$B$13,Paramètres!$A$1:$I$89,5,0)</f>
        <v>3.3992364478763198E-14</v>
      </c>
      <c r="CV61" s="13">
        <f t="shared" si="41"/>
        <v>5.790027782444094E-13</v>
      </c>
      <c r="CW61" s="20">
        <f t="shared" si="13"/>
        <v>1.0676332069095257E-12</v>
      </c>
      <c r="CX61" s="59">
        <f t="shared" si="14"/>
        <v>260.1131105986895</v>
      </c>
      <c r="CY61" s="59">
        <f ca="1">AVERAGE(OFFSET($CX$3,0,0,'Données projet'!$E$13+1,1))-AVERAGE(OFFSET($H$3,0,0,'Données projet'!$E$13+1,1))</f>
        <v>301.2688576786212</v>
      </c>
      <c r="CZ61" s="59">
        <f t="shared" si="42"/>
        <v>417.62172165132927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126.21812816220604</v>
      </c>
      <c r="DG61" s="21">
        <f>EXP(-LN(2)/25)*DG60+(1-EXP(-LN(2)/25))/(LN(2)/25)*Calculateur!DB61*Calculateur!DD61*VLOOKUP('Données projet'!$B$13,Paramètres!$A$1:$I$89,3,0)*0.475*44/12</f>
        <v>42.566837868440103</v>
      </c>
      <c r="DH61" s="21">
        <f>EXP(-LN(2)/2)*DH60+(1-EXP(-LN(2)/2))/(LN(2)/2)*DB61*DE61*VLOOKUP('Données projet'!$B$13,Paramètres!$A$1:$I$89,3,0)*0.475*44/12</f>
        <v>2.6128594006618937</v>
      </c>
      <c r="DI61" s="22">
        <f t="shared" si="15"/>
        <v>171.39782543130806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9.5</v>
      </c>
      <c r="N62" s="13">
        <f>IF('Données projet'!$A$36&gt;35,N61+M62-V61,IF(A62&lt;'Données projet'!$A$36,$K$205^A62,IF(A62='Données projet'!$A$36,'Données projet'!$B$36,N61+M62-V61)))</f>
        <v>290.5</v>
      </c>
      <c r="O62" s="13">
        <f>N62*VLOOKUP('Données projet'!$B$9,Paramètres!$A$1:$I$89,3,0)*VLOOKUP('Données projet'!$B$9,Paramètres!$A$1:$I$89,5,0)</f>
        <v>135.95400000000001</v>
      </c>
      <c r="P62" s="13">
        <f t="shared" si="33"/>
        <v>35.368547686628148</v>
      </c>
      <c r="Q62" s="20">
        <f t="shared" si="53"/>
        <v>298.38677055421067</v>
      </c>
      <c r="R62" s="59">
        <f t="shared" si="0"/>
        <v>559.0761777480534</v>
      </c>
      <c r="S62" s="59">
        <f ca="1">AVERAGE(OFFSET($R$3,0,0,'Données projet'!$E$9+1,1))-AVERAGE(OFFSET($H$3,0,0,'Données projet'!$E$9+1,1))</f>
        <v>167.82976403567059</v>
      </c>
      <c r="T62" s="59">
        <f t="shared" si="34"/>
        <v>232.70925470547317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11.9217330199992</v>
      </c>
      <c r="AA62" s="21">
        <f>EXP(-LN(2)/25)*AA61+(1-EXP(-LN(2)/25))/(LN(2)/25)*Calculateur!V62*Calculateur!X62*VLOOKUP('Données projet'!$B$9,Paramètres!$A$1:$I$89,3,0)*0.475*44/12</f>
        <v>13.215821448075234</v>
      </c>
      <c r="AB62" s="21">
        <f>EXP(-LN(2)/2)*AB61+(1-EXP(-LN(2)/2))/(LN(2)/2)*V62*Y62*VLOOKUP('Données projet'!$B$9,Paramètres!$A$1:$I$89,3,0)*0.475*44/12</f>
        <v>0.31633491854255713</v>
      </c>
      <c r="AC62" s="22">
        <f t="shared" si="3"/>
        <v>25.453889386616993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267.29039999999992</v>
      </c>
      <c r="AK62" s="13">
        <f t="shared" si="35"/>
        <v>64.273886654661325</v>
      </c>
      <c r="AL62" s="20">
        <f t="shared" si="4"/>
        <v>577.47446592353504</v>
      </c>
      <c r="AM62" s="59">
        <f t="shared" si="5"/>
        <v>838.16387311737776</v>
      </c>
      <c r="AN62" s="59">
        <f ca="1">AVERAGE(OFFSET($AM$3,0,0,'Données projet'!$E$10+1,1))-AVERAGE(OFFSET($H$3,0,0,'Données projet'!$E$10+1,1))</f>
        <v>542.51810435067659</v>
      </c>
      <c r="AO62" s="59">
        <f t="shared" si="36"/>
        <v>325.7263575945085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11.026782399347995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11.026782399347995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263.59999999999991</v>
      </c>
      <c r="BE62" s="13">
        <f>BD62*VLOOKUP('Données projet'!$B$11,Paramètres!$A$1:$I$89,3,0)*VLOOKUP('Données projet'!$B$11,Paramètres!$A$1:$I$89,5,0)</f>
        <v>238.50527999999991</v>
      </c>
      <c r="BF62" s="13">
        <f t="shared" si="37"/>
        <v>58.117817352909881</v>
      </c>
      <c r="BG62" s="20">
        <f t="shared" si="7"/>
        <v>516.61856122298445</v>
      </c>
      <c r="BH62" s="59">
        <f t="shared" si="8"/>
        <v>777.30796841682718</v>
      </c>
      <c r="BI62" s="59">
        <f ca="1">AVERAGE(OFFSET($BH$3,0,0,'Données projet'!$E$11+1,1))-AVERAGE(OFFSET($H$3,0,0,'Données projet'!$E$11+1,1))</f>
        <v>492.39485179035256</v>
      </c>
      <c r="BJ62" s="59">
        <f t="shared" si="38"/>
        <v>297.32483725004124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9.8392827563412855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9.8392827563412855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142.59999999999997</v>
      </c>
      <c r="BZ62" s="13">
        <f>BY62*VLOOKUP('Données projet'!$B$12,Paramètres!$A$1:$I$89,3,0)*VLOOKUP('Données projet'!$B$12,Paramètres!$A$1:$I$89,5,0)</f>
        <v>135.69815999999997</v>
      </c>
      <c r="CA62" s="13">
        <f t="shared" si="39"/>
        <v>35.309731483374598</v>
      </c>
      <c r="CB62" s="20">
        <f t="shared" si="10"/>
        <v>297.83874433354407</v>
      </c>
      <c r="CC62" s="59">
        <f t="shared" si="11"/>
        <v>558.52815152738685</v>
      </c>
      <c r="CD62" s="59">
        <f ca="1">AVERAGE(OFFSET($CC$3,0,0,'Données projet'!$E$12+1,1))-AVERAGE(OFFSET($H$3,0,0,'Données projet'!$E$12+1,1))</f>
        <v>260.51631161522039</v>
      </c>
      <c r="CE62" s="59">
        <f t="shared" si="40"/>
        <v>171.3469666102674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4.6442099770307452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4.6442099770307452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5.6843418860808015E-14</v>
      </c>
      <c r="CU62" s="17">
        <f>CT62*VLOOKUP('Données projet'!$B$13,Paramètres!$A$1:$I$89,3,0)*VLOOKUP('Données projet'!$B$13,Paramètres!$A$1:$I$89,5,0)</f>
        <v>3.3992364478763198E-14</v>
      </c>
      <c r="CV62" s="13">
        <f t="shared" si="41"/>
        <v>5.790027782444094E-13</v>
      </c>
      <c r="CW62" s="20">
        <f t="shared" si="13"/>
        <v>1.0676332069095257E-12</v>
      </c>
      <c r="CX62" s="59">
        <f t="shared" si="14"/>
        <v>260.68940719384386</v>
      </c>
      <c r="CY62" s="59">
        <f ca="1">AVERAGE(OFFSET($CX$3,0,0,'Données projet'!$E$13+1,1))-AVERAGE(OFFSET($H$3,0,0,'Données projet'!$E$13+1,1))</f>
        <v>301.2688576786212</v>
      </c>
      <c r="CZ62" s="59">
        <f t="shared" si="42"/>
        <v>417.62172165132927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123.74306765440168</v>
      </c>
      <c r="DG62" s="21">
        <f>EXP(-LN(2)/25)*DG61+(1-EXP(-LN(2)/25))/(LN(2)/25)*Calculateur!DB62*Calculateur!DD62*VLOOKUP('Données projet'!$B$13,Paramètres!$A$1:$I$89,3,0)*0.475*44/12</f>
        <v>41.402845448434896</v>
      </c>
      <c r="DH62" s="21">
        <f>EXP(-LN(2)/2)*DH61+(1-EXP(-LN(2)/2))/(LN(2)/2)*DB62*DE62*VLOOKUP('Données projet'!$B$13,Paramètres!$A$1:$I$89,3,0)*0.475*44/12</f>
        <v>1.8475706004950434</v>
      </c>
      <c r="DI62" s="22">
        <f t="shared" si="15"/>
        <v>166.99348370333161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300</v>
      </c>
      <c r="L63" s="12">
        <f>VLOOKUP(A63,'Données projet'!$A$35:$I$55,9,0)</f>
        <v>9.5</v>
      </c>
      <c r="M63" s="12">
        <f t="array" ref="M63">INDEX(L:L,MIN(IF(ISNUMBER(L63:L259),ROW(L63:L259),"")))</f>
        <v>9.5</v>
      </c>
      <c r="N63" s="13">
        <f>IF('Données projet'!$A$36&gt;35,N62+M63-V62,IF(A63&lt;'Données projet'!$A$36,$K$205^A63,IF(A63='Données projet'!$A$36,'Données projet'!$B$36,N62+M63-V62)))</f>
        <v>300</v>
      </c>
      <c r="O63" s="13">
        <f>N63*VLOOKUP('Données projet'!$B$9,Paramètres!$A$1:$I$89,3,0)*VLOOKUP('Données projet'!$B$9,Paramètres!$A$1:$I$89,5,0)</f>
        <v>140.4</v>
      </c>
      <c r="P63" s="13">
        <f t="shared" si="33"/>
        <v>36.388624656711201</v>
      </c>
      <c r="Q63" s="20">
        <f t="shared" si="53"/>
        <v>307.90685461043864</v>
      </c>
      <c r="R63" s="59">
        <f t="shared" si="0"/>
        <v>569.16256094191613</v>
      </c>
      <c r="S63" s="59">
        <f ca="1">AVERAGE(OFFSET($R$3,0,0,'Données projet'!$E$9+1,1))-AVERAGE(OFFSET($H$3,0,0,'Données projet'!$E$9+1,1))</f>
        <v>167.82976403567059</v>
      </c>
      <c r="T63" s="59">
        <f t="shared" si="34"/>
        <v>232.70925470547317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300</v>
      </c>
      <c r="W63" s="16">
        <f>IF(ISNA(VLOOKUP(A63,'Données projet'!$A$35:$I$55,5,0)),0%,VLOOKUP(A63,'Données projet'!$A$35:$I$55,5,0)*VLOOKUP('Données projet'!$B$9,Paramètres!$A$1:$I$89,7,0))</f>
        <v>0.33</v>
      </c>
      <c r="X63" s="16">
        <f>IF(ISNA(VLOOKUP(A63,'Données projet'!$A$35:$I$55,6,0)),0%,VLOOKUP(A63,'Données projet'!$A$35:$I$55,6,0)*VLOOKUP('Données projet'!$B$9,Paramètres!$A$1:$I$89,7,0))</f>
        <v>0.12100000000000001</v>
      </c>
      <c r="Y63" s="16">
        <f>IF(ISNA(VLOOKUP(A63,'Données projet'!$A$35:$I$55,7,0)),0%,VLOOKUP(A63,'Données projet'!$A$35:$I$55,7,0))</f>
        <v>0.18</v>
      </c>
      <c r="Z63" s="21">
        <f>EXP(-LN(2)/35)*Z62+(1-EXP(-LN(2)/35))/(LN(2)/35)*V63*W63*VLOOKUP('Données projet'!$B$9,Paramètres!$A$1:$I$89,3,0)*0.475*44/12</f>
        <v>73.150339456440932</v>
      </c>
      <c r="AA63" s="21">
        <f>EXP(-LN(2)/25)*AA62+(1-EXP(-LN(2)/25))/(LN(2)/25)*Calculateur!V63*Calculateur!X63*VLOOKUP('Données projet'!$B$9,Paramètres!$A$1:$I$89,3,0)*0.475*44/12</f>
        <v>35.301908074107871</v>
      </c>
      <c r="AB63" s="21">
        <f>EXP(-LN(2)/2)*AB62+(1-EXP(-LN(2)/2))/(LN(2)/2)*V63*Y63*VLOOKUP('Données projet'!$B$9,Paramètres!$A$1:$I$89,3,0)*0.475*44/12</f>
        <v>28.837457189116382</v>
      </c>
      <c r="AC63" s="22">
        <f t="shared" si="3"/>
        <v>137.2897047196652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276.82199999999989</v>
      </c>
      <c r="AK63" s="13">
        <f t="shared" si="35"/>
        <v>66.29496059864374</v>
      </c>
      <c r="AL63" s="20">
        <f t="shared" si="4"/>
        <v>597.59537304263756</v>
      </c>
      <c r="AM63" s="59">
        <f t="shared" si="5"/>
        <v>858.85107937411499</v>
      </c>
      <c r="AN63" s="59">
        <f ca="1">AVERAGE(OFFSET($AM$3,0,0,'Données projet'!$E$10+1,1))-AVERAGE(OFFSET($H$3,0,0,'Données projet'!$E$10+1,1))</f>
        <v>542.51810435067659</v>
      </c>
      <c r="AO63" s="59">
        <f t="shared" si="36"/>
        <v>325.7263575945085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16.209034504870257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16.209034504870257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272.99999999999989</v>
      </c>
      <c r="BE63" s="13">
        <f>BD63*VLOOKUP('Données projet'!$B$11,Paramètres!$A$1:$I$89,3,0)*VLOOKUP('Données projet'!$B$11,Paramètres!$A$1:$I$89,5,0)</f>
        <v>247.01039999999989</v>
      </c>
      <c r="BF63" s="13">
        <f t="shared" si="37"/>
        <v>59.945315462121812</v>
      </c>
      <c r="BG63" s="20">
        <f t="shared" si="7"/>
        <v>534.61453776319524</v>
      </c>
      <c r="BH63" s="59">
        <f t="shared" si="8"/>
        <v>795.87024409467267</v>
      </c>
      <c r="BI63" s="59">
        <f ca="1">AVERAGE(OFFSET($BH$3,0,0,'Données projet'!$E$11+1,1))-AVERAGE(OFFSET($H$3,0,0,'Données projet'!$E$11+1,1))</f>
        <v>492.39485179035256</v>
      </c>
      <c r="BJ63" s="59">
        <f t="shared" si="38"/>
        <v>297.32483725004124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14.463446173576536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14.463446173576536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148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147.99999999999997</v>
      </c>
      <c r="BZ63" s="13">
        <f>BY63*VLOOKUP('Données projet'!$B$12,Paramètres!$A$1:$I$89,3,0)*VLOOKUP('Données projet'!$B$12,Paramètres!$A$1:$I$89,5,0)</f>
        <v>140.83679999999998</v>
      </c>
      <c r="CA63" s="13">
        <f t="shared" si="39"/>
        <v>36.48863808581752</v>
      </c>
      <c r="CB63" s="20">
        <f t="shared" si="10"/>
        <v>308.84180466613213</v>
      </c>
      <c r="CC63" s="59">
        <f t="shared" si="11"/>
        <v>570.09751099760956</v>
      </c>
      <c r="CD63" s="59">
        <f ca="1">AVERAGE(OFFSET($CC$3,0,0,'Données projet'!$E$12+1,1))-AVERAGE(OFFSET($H$3,0,0,'Données projet'!$E$12+1,1))</f>
        <v>260.51631161522039</v>
      </c>
      <c r="CE63" s="59">
        <f t="shared" si="40"/>
        <v>171.3469666102674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6.452989749442934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6.452989749442934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5.6843418860808015E-14</v>
      </c>
      <c r="CU63" s="17">
        <f>CT63*VLOOKUP('Données projet'!$B$13,Paramètres!$A$1:$I$89,3,0)*VLOOKUP('Données projet'!$B$13,Paramètres!$A$1:$I$89,5,0)</f>
        <v>3.3992364478763198E-14</v>
      </c>
      <c r="CV63" s="13">
        <f t="shared" si="41"/>
        <v>5.790027782444094E-13</v>
      </c>
      <c r="CW63" s="20">
        <f t="shared" si="13"/>
        <v>1.0676332069095257E-12</v>
      </c>
      <c r="CX63" s="59">
        <f t="shared" si="14"/>
        <v>261.25570633147856</v>
      </c>
      <c r="CY63" s="59">
        <f ca="1">AVERAGE(OFFSET($CX$3,0,0,'Données projet'!$E$13+1,1))-AVERAGE(OFFSET($H$3,0,0,'Données projet'!$E$13+1,1))</f>
        <v>301.2688576786212</v>
      </c>
      <c r="CZ63" s="59">
        <f t="shared" si="42"/>
        <v>417.62172165132927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121.31654157351753</v>
      </c>
      <c r="DG63" s="21">
        <f>EXP(-LN(2)/25)*DG62+(1-EXP(-LN(2)/25))/(LN(2)/25)*Calculateur!DB63*Calculateur!DD63*VLOOKUP('Données projet'!$B$13,Paramètres!$A$1:$I$89,3,0)*0.475*44/12</f>
        <v>40.27068246236643</v>
      </c>
      <c r="DH63" s="21">
        <f>EXP(-LN(2)/2)*DH62+(1-EXP(-LN(2)/2))/(LN(2)/2)*DB63*DE63*VLOOKUP('Données projet'!$B$13,Paramètres!$A$1:$I$89,3,0)*0.475*44/12</f>
        <v>1.3064297003309469</v>
      </c>
      <c r="DI63" s="22">
        <f t="shared" si="15"/>
        <v>162.8936537362149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167.82976403567059</v>
      </c>
      <c r="T64" s="59">
        <f t="shared" si="34"/>
        <v>232.70925470547317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71.715905917001606</v>
      </c>
      <c r="AA64" s="21">
        <f>EXP(-LN(2)/25)*AA63+(1-EXP(-LN(2)/25))/(LN(2)/25)*Calculateur!V64*Calculateur!X64*VLOOKUP('Données projet'!$B$9,Paramètres!$A$1:$I$89,3,0)*0.475*44/12</f>
        <v>34.336575541374728</v>
      </c>
      <c r="AB64" s="21">
        <f>EXP(-LN(2)/2)*AB63+(1-EXP(-LN(2)/2))/(LN(2)/2)*V64*Y64*VLOOKUP('Données projet'!$B$9,Paramètres!$A$1:$I$89,3,0)*0.475*44/12</f>
        <v>20.39116153060095</v>
      </c>
      <c r="AC64" s="22">
        <f t="shared" si="3"/>
        <v>126.44364298897729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257.3531999999999</v>
      </c>
      <c r="AK64" s="13">
        <f t="shared" si="35"/>
        <v>62.157851613080908</v>
      </c>
      <c r="AL64" s="20">
        <f t="shared" si="4"/>
        <v>556.48174822611566</v>
      </c>
      <c r="AM64" s="59">
        <f t="shared" si="5"/>
        <v>818.293929671245</v>
      </c>
      <c r="AN64" s="59">
        <f ca="1">AVERAGE(OFFSET($AM$3,0,0,'Données projet'!$E$10+1,1))-AVERAGE(OFFSET($H$3,0,0,'Données projet'!$E$10+1,1))</f>
        <v>542.51810435067659</v>
      </c>
      <c r="AO64" s="59">
        <f t="shared" si="36"/>
        <v>325.7263575945085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15.891185224764584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15.891185224764584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</v>
      </c>
      <c r="BE64" s="13">
        <f>BD64*VLOOKUP('Données projet'!$B$11,Paramètres!$A$1:$I$89,3,0)*VLOOKUP('Données projet'!$B$11,Paramètres!$A$1:$I$89,5,0)</f>
        <v>229.63823999999988</v>
      </c>
      <c r="BF64" s="13">
        <f t="shared" si="37"/>
        <v>56.204453396569633</v>
      </c>
      <c r="BG64" s="20">
        <f t="shared" si="7"/>
        <v>497.84269099902525</v>
      </c>
      <c r="BH64" s="59">
        <f t="shared" si="8"/>
        <v>759.65487244415453</v>
      </c>
      <c r="BI64" s="59">
        <f ca="1">AVERAGE(OFFSET($BH$3,0,0,'Données projet'!$E$11+1,1))-AVERAGE(OFFSET($H$3,0,0,'Données projet'!$E$11+1,1))</f>
        <v>492.39485179035256</v>
      </c>
      <c r="BJ64" s="59">
        <f t="shared" si="38"/>
        <v>297.32483725004124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14.179826815943782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14.179826815943782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5.4</v>
      </c>
      <c r="BY64" s="12">
        <f>IF('Données projet'!$A$114&gt;35,BY63+BX64-CG63,IF(A64&lt;'Données projet'!$A$114,$BV$205^A64,IF(A64='Données projet'!$A$114,'Données projet'!$B$114,BY63+BX64-CG63)))</f>
        <v>139.39999999999998</v>
      </c>
      <c r="BZ64" s="13">
        <f>BY64*VLOOKUP('Données projet'!$B$12,Paramètres!$A$1:$I$89,3,0)*VLOOKUP('Données projet'!$B$12,Paramètres!$A$1:$I$89,5,0)</f>
        <v>132.65303999999998</v>
      </c>
      <c r="CA64" s="13">
        <f t="shared" si="39"/>
        <v>34.60867631689176</v>
      </c>
      <c r="CB64" s="20">
        <f t="shared" si="10"/>
        <v>291.31415591858644</v>
      </c>
      <c r="CC64" s="59">
        <f t="shared" si="11"/>
        <v>553.12633736371572</v>
      </c>
      <c r="CD64" s="59">
        <f ca="1">AVERAGE(OFFSET($CC$3,0,0,'Données projet'!$E$12+1,1))-AVERAGE(OFFSET($H$3,0,0,'Données projet'!$E$12+1,1))</f>
        <v>260.51631161522039</v>
      </c>
      <c r="CE64" s="59">
        <f t="shared" si="40"/>
        <v>171.3469666102674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6.3264505563914639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6.3264505563914639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5.6843418860808015E-14</v>
      </c>
      <c r="CU64" s="17">
        <f>CT64*VLOOKUP('Données projet'!$B$13,Paramètres!$A$1:$I$89,3,0)*VLOOKUP('Données projet'!$B$13,Paramètres!$A$1:$I$89,5,0)</f>
        <v>3.3992364478763198E-14</v>
      </c>
      <c r="CV64" s="13">
        <f t="shared" si="41"/>
        <v>5.790027782444094E-13</v>
      </c>
      <c r="CW64" s="20">
        <f t="shared" si="13"/>
        <v>1.0676332069095257E-12</v>
      </c>
      <c r="CX64" s="59">
        <f t="shared" si="14"/>
        <v>261.81218144513042</v>
      </c>
      <c r="CY64" s="59">
        <f ca="1">AVERAGE(OFFSET($CX$3,0,0,'Données projet'!$E$13+1,1))-AVERAGE(OFFSET($H$3,0,0,'Données projet'!$E$13+1,1))</f>
        <v>301.2688576786212</v>
      </c>
      <c r="CZ64" s="59">
        <f t="shared" si="42"/>
        <v>417.62172165132927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118.93759818904473</v>
      </c>
      <c r="DG64" s="21">
        <f>EXP(-LN(2)/25)*DG63+(1-EXP(-LN(2)/25))/(LN(2)/25)*Calculateur!DB64*Calculateur!DD64*VLOOKUP('Données projet'!$B$13,Paramètres!$A$1:$I$89,3,0)*0.475*44/12</f>
        <v>39.169478532689872</v>
      </c>
      <c r="DH64" s="21">
        <f>EXP(-LN(2)/2)*DH63+(1-EXP(-LN(2)/2))/(LN(2)/2)*DB64*DE64*VLOOKUP('Données projet'!$B$13,Paramètres!$A$1:$I$89,3,0)*0.475*44/12</f>
        <v>0.9237853002475217</v>
      </c>
      <c r="DI64" s="22">
        <f t="shared" si="15"/>
        <v>159.03086202198213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167.82976403567059</v>
      </c>
      <c r="T65" s="59">
        <f t="shared" si="34"/>
        <v>232.70925470547317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70.309600744352608</v>
      </c>
      <c r="AA65" s="21">
        <f>EXP(-LN(2)/25)*AA64+(1-EXP(-LN(2)/25))/(LN(2)/25)*Calculateur!V65*Calculateur!X65*VLOOKUP('Données projet'!$B$9,Paramètres!$A$1:$I$89,3,0)*0.475*44/12</f>
        <v>33.397640077513806</v>
      </c>
      <c r="AB65" s="21">
        <f>EXP(-LN(2)/2)*AB64+(1-EXP(-LN(2)/2))/(LN(2)/2)*V65*Y65*VLOOKUP('Données projet'!$B$9,Paramètres!$A$1:$I$89,3,0)*0.475*44/12</f>
        <v>14.418728594558193</v>
      </c>
      <c r="AC65" s="22">
        <f t="shared" si="3"/>
        <v>118.1259694164246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266.27639999999991</v>
      </c>
      <c r="AK65" s="13">
        <f t="shared" si="35"/>
        <v>64.05838982943969</v>
      </c>
      <c r="AL65" s="20">
        <f t="shared" si="4"/>
        <v>575.333092286274</v>
      </c>
      <c r="AM65" s="59">
        <f t="shared" si="5"/>
        <v>837.69209524592532</v>
      </c>
      <c r="AN65" s="59">
        <f ca="1">AVERAGE(OFFSET($AM$3,0,0,'Données projet'!$E$10+1,1))-AVERAGE(OFFSET($H$3,0,0,'Données projet'!$E$10+1,1))</f>
        <v>542.51810435067659</v>
      </c>
      <c r="AO65" s="59">
        <f t="shared" si="36"/>
        <v>325.7263575945085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15.579568775172866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15.579568775172866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262.59999999999991</v>
      </c>
      <c r="BE65" s="13">
        <f>BD65*VLOOKUP('Données projet'!$B$11,Paramètres!$A$1:$I$89,3,0)*VLOOKUP('Données projet'!$B$11,Paramètres!$A$1:$I$89,5,0)</f>
        <v>237.60047999999992</v>
      </c>
      <c r="BF65" s="13">
        <f t="shared" si="37"/>
        <v>57.922960533442058</v>
      </c>
      <c r="BG65" s="20">
        <f t="shared" si="7"/>
        <v>514.70332559574479</v>
      </c>
      <c r="BH65" s="59">
        <f t="shared" si="8"/>
        <v>777.06232855539611</v>
      </c>
      <c r="BI65" s="59">
        <f ca="1">AVERAGE(OFFSET($BH$3,0,0,'Données projet'!$E$11+1,1))-AVERAGE(OFFSET($H$3,0,0,'Données projet'!$E$11+1,1))</f>
        <v>492.39485179035256</v>
      </c>
      <c r="BJ65" s="59">
        <f t="shared" si="38"/>
        <v>297.32483725004124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13.901769060923479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13.901769060923479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5.4</v>
      </c>
      <c r="BY65" s="12">
        <f>IF('Données projet'!$A$114&gt;35,BY64+BX65-CG64,IF(A65&lt;'Données projet'!$A$114,$BV$205^A65,IF(A65='Données projet'!$A$114,'Données projet'!$B$114,BY64+BX65-CG64)))</f>
        <v>144.79999999999998</v>
      </c>
      <c r="BZ65" s="13">
        <f>BY65*VLOOKUP('Données projet'!$B$12,Paramètres!$A$1:$I$89,3,0)*VLOOKUP('Données projet'!$B$12,Paramètres!$A$1:$I$89,5,0)</f>
        <v>137.79167999999999</v>
      </c>
      <c r="CA65" s="13">
        <f t="shared" si="39"/>
        <v>35.790643217159939</v>
      </c>
      <c r="CB65" s="20">
        <f t="shared" si="10"/>
        <v>302.3225462698868</v>
      </c>
      <c r="CC65" s="59">
        <f t="shared" si="11"/>
        <v>564.68154922953818</v>
      </c>
      <c r="CD65" s="59">
        <f ca="1">AVERAGE(OFFSET($CC$3,0,0,'Données projet'!$E$12+1,1))-AVERAGE(OFFSET($H$3,0,0,'Données projet'!$E$12+1,1))</f>
        <v>260.51631161522039</v>
      </c>
      <c r="CE65" s="59">
        <f t="shared" si="40"/>
        <v>171.3469666102674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6.2023927197344468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6.2023927197344468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5.6843418860808015E-14</v>
      </c>
      <c r="CU65" s="17">
        <f>CT65*VLOOKUP('Données projet'!$B$13,Paramètres!$A$1:$I$89,3,0)*VLOOKUP('Données projet'!$B$13,Paramètres!$A$1:$I$89,5,0)</f>
        <v>3.3992364478763198E-14</v>
      </c>
      <c r="CV65" s="13">
        <f t="shared" si="41"/>
        <v>5.790027782444094E-13</v>
      </c>
      <c r="CW65" s="20">
        <f t="shared" si="13"/>
        <v>1.0676332069095257E-12</v>
      </c>
      <c r="CX65" s="59">
        <f t="shared" si="14"/>
        <v>262.3590029596524</v>
      </c>
      <c r="CY65" s="59">
        <f ca="1">AVERAGE(OFFSET($CX$3,0,0,'Données projet'!$E$13+1,1))-AVERAGE(OFFSET($H$3,0,0,'Données projet'!$E$13+1,1))</f>
        <v>301.2688576786212</v>
      </c>
      <c r="CZ65" s="59">
        <f t="shared" si="42"/>
        <v>417.62172165132927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116.60530443332927</v>
      </c>
      <c r="DG65" s="21">
        <f>EXP(-LN(2)/25)*DG64+(1-EXP(-LN(2)/25))/(LN(2)/25)*Calculateur!DB65*Calculateur!DD65*VLOOKUP('Données projet'!$B$13,Paramètres!$A$1:$I$89,3,0)*0.475*44/12</f>
        <v>38.098387082380114</v>
      </c>
      <c r="DH65" s="21">
        <f>EXP(-LN(2)/2)*DH64+(1-EXP(-LN(2)/2))/(LN(2)/2)*DB65*DE65*VLOOKUP('Données projet'!$B$13,Paramètres!$A$1:$I$89,3,0)*0.475*44/12</f>
        <v>0.65321485016547343</v>
      </c>
      <c r="DI65" s="22">
        <f t="shared" si="15"/>
        <v>155.35690636587486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167.82976403567059</v>
      </c>
      <c r="T66" s="59">
        <f t="shared" si="34"/>
        <v>232.70925470547317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68.930872358377798</v>
      </c>
      <c r="AA66" s="21">
        <f>EXP(-LN(2)/25)*AA65+(1-EXP(-LN(2)/25))/(LN(2)/25)*Calculateur!V66*Calculateur!X66*VLOOKUP('Données projet'!$B$9,Paramètres!$A$1:$I$89,3,0)*0.475*44/12</f>
        <v>32.48437985328863</v>
      </c>
      <c r="AB66" s="21">
        <f>EXP(-LN(2)/2)*AB65+(1-EXP(-LN(2)/2))/(LN(2)/2)*V66*Y66*VLOOKUP('Données projet'!$B$9,Paramètres!$A$1:$I$89,3,0)*0.475*44/12</f>
        <v>10.195580765300477</v>
      </c>
      <c r="AC66" s="22">
        <f t="shared" si="3"/>
        <v>111.6108329769669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275.19959999999998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857.06788561606015</v>
      </c>
      <c r="AN66" s="59">
        <f ca="1">AVERAGE(OFFSET($AM$3,0,0,'Données projet'!$E$10+1,1))-AVERAGE(OFFSET($H$3,0,0,'Données projet'!$E$10+1,1))</f>
        <v>542.51810435067659</v>
      </c>
      <c r="AO66" s="59">
        <f t="shared" si="36"/>
        <v>325.7263575945085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15.274062934090376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15.274062934090376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271.39999999999992</v>
      </c>
      <c r="BE66" s="13">
        <f>BD66*VLOOKUP('Données projet'!$B$11,Paramètres!$A$1:$I$89,3,0)*VLOOKUP('Données projet'!$B$11,Paramètres!$A$1:$I$89,5,0)</f>
        <v>245.56271999999993</v>
      </c>
      <c r="BF66" s="13">
        <f t="shared" si="37"/>
        <v>59.634776048276898</v>
      </c>
      <c r="BG66" s="20">
        <f t="shared" si="7"/>
        <v>531.55230561741553</v>
      </c>
      <c r="BH66" s="59">
        <f t="shared" si="8"/>
        <v>794.44864396082164</v>
      </c>
      <c r="BI66" s="59">
        <f ca="1">AVERAGE(OFFSET($BH$3,0,0,'Données projet'!$E$11+1,1))-AVERAGE(OFFSET($H$3,0,0,'Données projet'!$E$11+1,1))</f>
        <v>492.39485179035256</v>
      </c>
      <c r="BJ66" s="59">
        <f t="shared" si="38"/>
        <v>297.32483725004124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13.629163848880642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13.629163848880642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5.4</v>
      </c>
      <c r="BY66" s="12">
        <f>IF('Données projet'!$A$114&gt;35,BY65+BX66-CG65,IF(A66&lt;'Données projet'!$A$114,$BV$205^A66,IF(A66='Données projet'!$A$114,'Données projet'!$B$114,BY65+BX66-CG65)))</f>
        <v>150.19999999999999</v>
      </c>
      <c r="BZ66" s="13">
        <f>BY66*VLOOKUP('Données projet'!$B$12,Paramètres!$A$1:$I$89,3,0)*VLOOKUP('Données projet'!$B$12,Paramètres!$A$1:$I$89,5,0)</f>
        <v>142.93031999999999</v>
      </c>
      <c r="CA66" s="13">
        <f t="shared" si="39"/>
        <v>36.967489202444952</v>
      </c>
      <c r="CB66" s="20">
        <f t="shared" si="10"/>
        <v>313.32201769425825</v>
      </c>
      <c r="CC66" s="59">
        <f t="shared" si="11"/>
        <v>576.21835603766431</v>
      </c>
      <c r="CD66" s="59">
        <f ca="1">AVERAGE(OFFSET($CC$3,0,0,'Données projet'!$E$12+1,1))-AVERAGE(OFFSET($H$3,0,0,'Données projet'!$E$12+1,1))</f>
        <v>260.51631161522039</v>
      </c>
      <c r="CE66" s="59">
        <f t="shared" si="40"/>
        <v>171.3469666102674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6.080767581586465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6.080767581586465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5.6843418860808015E-14</v>
      </c>
      <c r="CU66" s="17">
        <f>CT66*VLOOKUP('Données projet'!$B$13,Paramètres!$A$1:$I$89,3,0)*VLOOKUP('Données projet'!$B$13,Paramètres!$A$1:$I$89,5,0)</f>
        <v>3.3992364478763198E-14</v>
      </c>
      <c r="CV66" s="13">
        <f t="shared" si="41"/>
        <v>5.790027782444094E-13</v>
      </c>
      <c r="CW66" s="20">
        <f t="shared" si="13"/>
        <v>1.0676332069095257E-12</v>
      </c>
      <c r="CX66" s="59">
        <f t="shared" si="14"/>
        <v>262.89633834340719</v>
      </c>
      <c r="CY66" s="59">
        <f ca="1">AVERAGE(OFFSET($CX$3,0,0,'Données projet'!$E$13+1,1))-AVERAGE(OFFSET($H$3,0,0,'Données projet'!$E$13+1,1))</f>
        <v>301.2688576786212</v>
      </c>
      <c r="CZ66" s="59">
        <f t="shared" si="42"/>
        <v>417.62172165132927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114.31874553560465</v>
      </c>
      <c r="DG66" s="21">
        <f>EXP(-LN(2)/25)*DG65+(1-EXP(-LN(2)/25))/(LN(2)/25)*Calculateur!DB66*Calculateur!DD66*VLOOKUP('Données projet'!$B$13,Paramètres!$A$1:$I$89,3,0)*0.475*44/12</f>
        <v>37.056584684105331</v>
      </c>
      <c r="DH66" s="21">
        <f>EXP(-LN(2)/2)*DH65+(1-EXP(-LN(2)/2))/(LN(2)/2)*DB66*DE66*VLOOKUP('Données projet'!$B$13,Paramètres!$A$1:$I$89,3,0)*0.475*44/12</f>
        <v>0.46189265012376085</v>
      </c>
      <c r="DI66" s="22">
        <f t="shared" si="15"/>
        <v>151.83722286983374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167.82976403567059</v>
      </c>
      <c r="T67" s="59">
        <f t="shared" si="34"/>
        <v>232.70925470547317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67.579179995110678</v>
      </c>
      <c r="AA67" s="21">
        <f>EXP(-LN(2)/25)*AA66+(1-EXP(-LN(2)/25))/(LN(2)/25)*Calculateur!V67*Calculateur!X67*VLOOKUP('Données projet'!$B$9,Paramètres!$A$1:$I$89,3,0)*0.475*44/12</f>
        <v>31.596092777921161</v>
      </c>
      <c r="AB67" s="21">
        <f>EXP(-LN(2)/2)*AB66+(1-EXP(-LN(2)/2))/(LN(2)/2)*V67*Y67*VLOOKUP('Données projet'!$B$9,Paramètres!$A$1:$I$89,3,0)*0.475*44/12</f>
        <v>7.2093642972790972</v>
      </c>
      <c r="AC67" s="22">
        <f t="shared" si="3"/>
        <v>106.38463707031093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876.42193119855779</v>
      </c>
      <c r="AN67" s="59">
        <f ca="1">AVERAGE(OFFSET($AM$3,0,0,'Données projet'!$E$10+1,1))-AVERAGE(OFFSET($H$3,0,0,'Données projet'!$E$10+1,1))</f>
        <v>542.51810435067659</v>
      </c>
      <c r="AO67" s="59">
        <f t="shared" si="36"/>
        <v>325.7263575945085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14.974547876211348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14.974547876211348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280.19999999999993</v>
      </c>
      <c r="BE67" s="13">
        <f>BD67*VLOOKUP('Données projet'!$B$11,Paramètres!$A$1:$I$89,3,0)*VLOOKUP('Données projet'!$B$11,Paramètres!$A$1:$I$89,5,0)</f>
        <v>253.52495999999996</v>
      </c>
      <c r="BF67" s="13">
        <f t="shared" si="37"/>
        <v>61.340141798422209</v>
      </c>
      <c r="BG67" s="20">
        <f t="shared" si="7"/>
        <v>548.39005229891859</v>
      </c>
      <c r="BH67" s="59">
        <f t="shared" si="8"/>
        <v>811.81440445847329</v>
      </c>
      <c r="BI67" s="59">
        <f ca="1">AVERAGE(OFFSET($BH$3,0,0,'Données projet'!$E$11+1,1))-AVERAGE(OFFSET($H$3,0,0,'Données projet'!$E$11+1,1))</f>
        <v>492.39485179035256</v>
      </c>
      <c r="BJ67" s="59">
        <f t="shared" si="38"/>
        <v>297.32483725004124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13.361904258773203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13.361904258773203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5.4</v>
      </c>
      <c r="BY67" s="12">
        <f>IF('Données projet'!$A$114&gt;35,BY66+BX67-CG66,IF(A67&lt;'Données projet'!$A$114,$BV$205^A67,IF(A67='Données projet'!$A$114,'Données projet'!$B$114,BY66+BX67-CG66)))</f>
        <v>155.6</v>
      </c>
      <c r="BZ67" s="13">
        <f>BY67*VLOOKUP('Données projet'!$B$12,Paramètres!$A$1:$I$89,3,0)*VLOOKUP('Données projet'!$B$12,Paramètres!$A$1:$I$89,5,0)</f>
        <v>148.06896</v>
      </c>
      <c r="CA67" s="13">
        <f t="shared" si="39"/>
        <v>38.139419470750966</v>
      </c>
      <c r="CB67" s="20">
        <f t="shared" si="10"/>
        <v>324.31292757822456</v>
      </c>
      <c r="CC67" s="59">
        <f t="shared" si="11"/>
        <v>587.73727973777932</v>
      </c>
      <c r="CD67" s="59">
        <f ca="1">AVERAGE(OFFSET($CC$3,0,0,'Données projet'!$E$12+1,1))-AVERAGE(OFFSET($H$3,0,0,'Données projet'!$E$12+1,1))</f>
        <v>260.51631161522039</v>
      </c>
      <c r="CE67" s="59">
        <f t="shared" si="40"/>
        <v>171.3469666102674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5.9615274382135555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5.9615274382135555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5.6843418860808015E-14</v>
      </c>
      <c r="CU67" s="17">
        <f>CT67*VLOOKUP('Données projet'!$B$13,Paramètres!$A$1:$I$89,3,0)*VLOOKUP('Données projet'!$B$13,Paramètres!$A$1:$I$89,5,0)</f>
        <v>3.3992364478763198E-14</v>
      </c>
      <c r="CV67" s="13">
        <f t="shared" si="41"/>
        <v>5.790027782444094E-13</v>
      </c>
      <c r="CW67" s="20">
        <f t="shared" si="13"/>
        <v>1.0676332069095257E-12</v>
      </c>
      <c r="CX67" s="59">
        <f t="shared" si="14"/>
        <v>263.42435215955584</v>
      </c>
      <c r="CY67" s="59">
        <f ca="1">AVERAGE(OFFSET($CX$3,0,0,'Données projet'!$E$13+1,1))-AVERAGE(OFFSET($H$3,0,0,'Données projet'!$E$13+1,1))</f>
        <v>301.2688576786212</v>
      </c>
      <c r="CZ67" s="59">
        <f t="shared" si="42"/>
        <v>417.62172165132927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112.0770246632012</v>
      </c>
      <c r="DG67" s="21">
        <f>EXP(-LN(2)/25)*DG66+(1-EXP(-LN(2)/25))/(LN(2)/25)*Calculateur!DB67*Calculateur!DD67*VLOOKUP('Données projet'!$B$13,Paramètres!$A$1:$I$89,3,0)*0.475*44/12</f>
        <v>36.043270427197378</v>
      </c>
      <c r="DH67" s="21">
        <f>EXP(-LN(2)/2)*DH66+(1-EXP(-LN(2)/2))/(LN(2)/2)*DB67*DE67*VLOOKUP('Données projet'!$B$13,Paramètres!$A$1:$I$89,3,0)*0.475*44/12</f>
        <v>0.32660742508273671</v>
      </c>
      <c r="DI67" s="22">
        <f t="shared" si="15"/>
        <v>148.4469025154813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167.82976403567059</v>
      </c>
      <c r="T68" s="59">
        <f t="shared" si="34"/>
        <v>232.70925470547317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66.253993494636291</v>
      </c>
      <c r="AA68" s="21">
        <f>EXP(-LN(2)/25)*AA67+(1-EXP(-LN(2)/25))/(LN(2)/25)*Calculateur!V68*Calculateur!X68*VLOOKUP('Données projet'!$B$9,Paramètres!$A$1:$I$89,3,0)*0.475*44/12</f>
        <v>30.732095959342601</v>
      </c>
      <c r="AB68" s="21">
        <f>EXP(-LN(2)/2)*AB67+(1-EXP(-LN(2)/2))/(LN(2)/2)*V68*Y68*VLOOKUP('Données projet'!$B$9,Paramètres!$A$1:$I$89,3,0)*0.475*44/12</f>
        <v>5.0977903826502393</v>
      </c>
      <c r="AC68" s="22">
        <f t="shared" ref="AC68:AC131" si="57">SUM(Z68:AB68)</f>
        <v>102.08387983662914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293.04599999999994</v>
      </c>
      <c r="AK68" s="13">
        <f t="shared" si="35"/>
        <v>69.716654076072615</v>
      </c>
      <c r="AL68" s="20">
        <f t="shared" ref="AL68:AL131" si="58">(AJ68+AK68)*0.475*44/12</f>
        <v>631.81162251582634</v>
      </c>
      <c r="AM68" s="59">
        <f t="shared" ref="AM68:AM131" si="59">AL68+(AD68+AE68)*44/12</f>
        <v>895.75482863228149</v>
      </c>
      <c r="AN68" s="59">
        <f ca="1">AVERAGE(OFFSET($AM$3,0,0,'Données projet'!$E$10+1,1))-AVERAGE(OFFSET($H$3,0,0,'Données projet'!$E$10+1,1))</f>
        <v>542.51810435067659</v>
      </c>
      <c r="AO68" s="59">
        <f t="shared" si="36"/>
        <v>325.7263575945085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20.0793867086315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20.0793867086315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261.48719999999992</v>
      </c>
      <c r="BF68" s="13">
        <f t="shared" si="37"/>
        <v>63.039283586802391</v>
      </c>
      <c r="BG68" s="20">
        <f t="shared" ref="BG68:BG131" si="61">(BE68+BF68)*0.475*44/12</f>
        <v>565.21695891368074</v>
      </c>
      <c r="BH68" s="59">
        <f t="shared" ref="BH68:BH131" si="62">BG68+(AY68+AZ68)*44/12</f>
        <v>829.16016503013589</v>
      </c>
      <c r="BI68" s="59">
        <f ca="1">AVERAGE(OFFSET($BH$3,0,0,'Données projet'!$E$11+1,1))-AVERAGE(OFFSET($H$3,0,0,'Données projet'!$E$11+1,1))</f>
        <v>492.39485179035256</v>
      </c>
      <c r="BJ68" s="59">
        <f t="shared" si="38"/>
        <v>297.32483725004124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17.916991216932722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17.916991216932722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161</v>
      </c>
      <c r="BW68" s="12">
        <f>VLOOKUP(A68,'Données projet'!$A$113:$I$133,9,0)</f>
        <v>5.4</v>
      </c>
      <c r="BX68" s="12">
        <f t="array" ref="BX68">INDEX(BW:BW,MIN(IF(ISNUMBER(BW68:BW264),ROW(BW68:BW264),"")))</f>
        <v>5.4</v>
      </c>
      <c r="BY68" s="12">
        <f>IF('Données projet'!$A$114&gt;35,BY67+BX68-CG67,IF(A68&lt;'Données projet'!$A$114,$BV$205^A68,IF(A68='Données projet'!$A$114,'Données projet'!$B$114,BY67+BX68-CG67)))</f>
        <v>161</v>
      </c>
      <c r="BZ68" s="13">
        <f>BY68*VLOOKUP('Données projet'!$B$12,Paramètres!$A$1:$I$89,3,0)*VLOOKUP('Données projet'!$B$12,Paramètres!$A$1:$I$89,5,0)</f>
        <v>153.20759999999999</v>
      </c>
      <c r="CA68" s="13">
        <f t="shared" si="39"/>
        <v>39.306624169832133</v>
      </c>
      <c r="CB68" s="20">
        <f t="shared" ref="CB68:CB131" si="64">(BZ68+CA68)*0.475*44/12</f>
        <v>335.2956070957909</v>
      </c>
      <c r="CC68" s="59">
        <f t="shared" ref="CC68:CC131" si="65">CB68+(BT68+BU68)*44/12</f>
        <v>599.2388132122461</v>
      </c>
      <c r="CD68" s="59">
        <f ca="1">AVERAGE(OFFSET($CC$3,0,0,'Données projet'!$E$12+1,1))-AVERAGE(OFFSET($H$3,0,0,'Données projet'!$E$12+1,1))</f>
        <v>260.51631161522039</v>
      </c>
      <c r="CE68" s="59">
        <f t="shared" si="40"/>
        <v>171.3469666102674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14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8.3777587178207238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8.3777587178207238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5.6843418860808015E-14</v>
      </c>
      <c r="CU68" s="17">
        <f>CT68*VLOOKUP('Données projet'!$B$13,Paramètres!$A$1:$I$89,3,0)*VLOOKUP('Données projet'!$B$13,Paramètres!$A$1:$I$89,5,0)</f>
        <v>3.3992364478763198E-14</v>
      </c>
      <c r="CV68" s="13">
        <f t="shared" si="41"/>
        <v>5.790027782444094E-13</v>
      </c>
      <c r="CW68" s="20">
        <f t="shared" ref="CW68:CW131" si="67">(CU68+CV68)*0.475*44/12</f>
        <v>1.0676332069095257E-12</v>
      </c>
      <c r="CX68" s="59">
        <f t="shared" ref="CX68:CX131" si="68">CW68+(CO68+CP68)*44/12</f>
        <v>263.94320611645628</v>
      </c>
      <c r="CY68" s="59">
        <f ca="1">AVERAGE(OFFSET($CX$3,0,0,'Données projet'!$E$13+1,1))-AVERAGE(OFFSET($H$3,0,0,'Données projet'!$E$13+1,1))</f>
        <v>301.2688576786212</v>
      </c>
      <c r="CZ68" s="59">
        <f t="shared" si="42"/>
        <v>417.62172165132927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109.87926256979085</v>
      </c>
      <c r="DG68" s="21">
        <f>EXP(-LN(2)/25)*DG67+(1-EXP(-LN(2)/25))/(LN(2)/25)*Calculateur!DB68*Calculateur!DD68*VLOOKUP('Données projet'!$B$13,Paramètres!$A$1:$I$89,3,0)*0.475*44/12</f>
        <v>35.057665301932452</v>
      </c>
      <c r="DH68" s="21">
        <f>EXP(-LN(2)/2)*DH67+(1-EXP(-LN(2)/2))/(LN(2)/2)*DB68*DE68*VLOOKUP('Données projet'!$B$13,Paramètres!$A$1:$I$89,3,0)*0.475*44/12</f>
        <v>0.23094632506188043</v>
      </c>
      <c r="DI68" s="22">
        <f t="shared" ref="DI68:DI131" si="69">SUM(DF68:DH68)</f>
        <v>145.16787419678519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167.82976403567059</v>
      </c>
      <c r="T69" s="59">
        <f t="shared" ref="T69:T132" si="88">$T$3</f>
        <v>232.70925470547317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64.954793093152261</v>
      </c>
      <c r="AA69" s="21">
        <f>EXP(-LN(2)/25)*AA68+(1-EXP(-LN(2)/25))/(LN(2)/25)*Calculateur!V69*Calculateur!X69*VLOOKUP('Données projet'!$B$9,Paramètres!$A$1:$I$89,3,0)*0.475*44/12</f>
        <v>29.891725179203689</v>
      </c>
      <c r="AB69" s="21">
        <f>EXP(-LN(2)/2)*AB68+(1-EXP(-LN(2)/2))/(LN(2)/2)*V69*Y69*VLOOKUP('Données projet'!$B$9,Paramètres!$A$1:$I$89,3,0)*0.475*44/12</f>
        <v>3.6046821486395495</v>
      </c>
      <c r="AC69" s="22">
        <f t="shared" si="57"/>
        <v>98.451200420995505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272.96879999999993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853.91617496488834</v>
      </c>
      <c r="AN69" s="59">
        <f ca="1">AVERAGE(OFFSET($AM$3,0,0,'Données projet'!$E$10+1,1))-AVERAGE(OFFSET($H$3,0,0,'Données projet'!$E$10+1,1))</f>
        <v>542.51810435067659</v>
      </c>
      <c r="AO69" s="59">
        <f t="shared" ref="AO69:AO132" si="90">$AO$3</f>
        <v>325.7263575945085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19.685642182491815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19.685642182491815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269.19999999999993</v>
      </c>
      <c r="BE69" s="13">
        <f>BD69*VLOOKUP('Données projet'!$B$11,Paramètres!$A$1:$I$89,3,0)*VLOOKUP('Données projet'!$B$11,Paramètres!$A$1:$I$89,5,0)</f>
        <v>243.57215999999991</v>
      </c>
      <c r="BF69" s="13">
        <f t="shared" ref="BF69:BF132" si="91">EXP(-1.0587+0.8836*LN(BE69)+0.284)</f>
        <v>59.207435995642292</v>
      </c>
      <c r="BG69" s="20">
        <f t="shared" si="61"/>
        <v>527.34112969241005</v>
      </c>
      <c r="BH69" s="59">
        <f t="shared" si="62"/>
        <v>791.79418880959713</v>
      </c>
      <c r="BI69" s="59">
        <f ca="1">AVERAGE(OFFSET($BH$3,0,0,'Données projet'!$E$11+1,1))-AVERAGE(OFFSET($H$3,0,0,'Données projet'!$E$11+1,1))</f>
        <v>492.39485179035256</v>
      </c>
      <c r="BJ69" s="59">
        <f t="shared" ref="BJ69:BJ132" si="92">$BJ$3</f>
        <v>297.32483725004124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17.565649947454236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17.565649947454236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</v>
      </c>
      <c r="BY69" s="12">
        <f>IF('Données projet'!$A$114&gt;35,BY68+BX69-CG68,IF(A69&lt;'Données projet'!$A$114,$BV$205^A69,IF(A69='Données projet'!$A$114,'Données projet'!$B$114,BY68+BX69-CG68)))</f>
        <v>152</v>
      </c>
      <c r="BZ69" s="13">
        <f>BY69*VLOOKUP('Données projet'!$B$12,Paramètres!$A$1:$I$89,3,0)*VLOOKUP('Données projet'!$B$12,Paramètres!$A$1:$I$89,5,0)</f>
        <v>144.64320000000001</v>
      </c>
      <c r="CA69" s="13">
        <f t="shared" ref="CA69:CA132" si="93">EXP(-1.0587+0.8836*LN(BZ69)+0.284)</f>
        <v>37.358669132367922</v>
      </c>
      <c r="CB69" s="20">
        <f t="shared" si="64"/>
        <v>316.9865887388741</v>
      </c>
      <c r="CC69" s="59">
        <f t="shared" si="65"/>
        <v>581.43964785606113</v>
      </c>
      <c r="CD69" s="59">
        <f ca="1">AVERAGE(OFFSET($CC$3,0,0,'Données projet'!$E$12+1,1))-AVERAGE(OFFSET($H$3,0,0,'Données projet'!$E$12+1,1))</f>
        <v>260.51631161522039</v>
      </c>
      <c r="CE69" s="59">
        <f t="shared" ref="CE69:CE132" si="94">$CE$3</f>
        <v>171.3469666102674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8.2134759792925145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8.2134759792925145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5.6843418860808015E-14</v>
      </c>
      <c r="CU69" s="17">
        <f>CT69*VLOOKUP('Données projet'!$B$13,Paramètres!$A$1:$I$89,3,0)*VLOOKUP('Données projet'!$B$13,Paramètres!$A$1:$I$89,5,0)</f>
        <v>3.3992364478763198E-14</v>
      </c>
      <c r="CV69" s="13">
        <f t="shared" ref="CV69:CV132" si="95">EXP(-1.0587+0.8836*LN(CU69)+0.284)</f>
        <v>5.790027782444094E-13</v>
      </c>
      <c r="CW69" s="20">
        <f t="shared" si="67"/>
        <v>1.0676332069095257E-12</v>
      </c>
      <c r="CX69" s="59">
        <f t="shared" si="68"/>
        <v>264.45305911718816</v>
      </c>
      <c r="CY69" s="59">
        <f ca="1">AVERAGE(OFFSET($CX$3,0,0,'Données projet'!$E$13+1,1))-AVERAGE(OFFSET($H$3,0,0,'Données projet'!$E$13+1,1))</f>
        <v>301.2688576786212</v>
      </c>
      <c r="CZ69" s="59">
        <f t="shared" ref="CZ69:CZ132" si="96">$CZ$3</f>
        <v>417.62172165132927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107.72459725052977</v>
      </c>
      <c r="DG69" s="21">
        <f>EXP(-LN(2)/25)*DG68+(1-EXP(-LN(2)/25))/(LN(2)/25)*Calculateur!DB69*Calculateur!DD69*VLOOKUP('Données projet'!$B$13,Paramètres!$A$1:$I$89,3,0)*0.475*44/12</f>
        <v>34.099011600648616</v>
      </c>
      <c r="DH69" s="21">
        <f>EXP(-LN(2)/2)*DH68+(1-EXP(-LN(2)/2))/(LN(2)/2)*DB69*DE69*VLOOKUP('Données projet'!$B$13,Paramètres!$A$1:$I$89,3,0)*0.475*44/12</f>
        <v>0.16330371254136836</v>
      </c>
      <c r="DI69" s="22">
        <f t="shared" si="69"/>
        <v>141.98691256371976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167.82976403567059</v>
      </c>
      <c r="T70" s="59">
        <f t="shared" si="88"/>
        <v>232.70925470547317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63.681069219107329</v>
      </c>
      <c r="AA70" s="21">
        <f>EXP(-LN(2)/25)*AA69+(1-EXP(-LN(2)/25))/(LN(2)/25)*Calculateur!V70*Calculateur!X70*VLOOKUP('Données projet'!$B$9,Paramètres!$A$1:$I$89,3,0)*0.475*44/12</f>
        <v>29.074334382240856</v>
      </c>
      <c r="AB70" s="21">
        <f>EXP(-LN(2)/2)*AB69+(1-EXP(-LN(2)/2))/(LN(2)/2)*V70*Y70*VLOOKUP('Données projet'!$B$9,Paramètres!$A$1:$I$89,3,0)*0.475*44/12</f>
        <v>2.5488951913251201</v>
      </c>
      <c r="AC70" s="22">
        <f t="shared" si="57"/>
        <v>95.304298792673293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281.28359999999992</v>
      </c>
      <c r="AK70" s="13">
        <f t="shared" si="89"/>
        <v>67.238198209347928</v>
      </c>
      <c r="AL70" s="20">
        <f t="shared" si="58"/>
        <v>607.00879854794744</v>
      </c>
      <c r="AM70" s="59">
        <f t="shared" si="59"/>
        <v>871.9628658561644</v>
      </c>
      <c r="AN70" s="59">
        <f ca="1">AVERAGE(OFFSET($AM$3,0,0,'Données projet'!$E$10+1,1))-AVERAGE(OFFSET($H$3,0,0,'Données projet'!$E$10+1,1))</f>
        <v>542.51810435067659</v>
      </c>
      <c r="AO70" s="59">
        <f t="shared" si="90"/>
        <v>325.7263575945085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19.299618746349285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19.299618746349285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277.39999999999992</v>
      </c>
      <c r="BE70" s="13">
        <f>BD70*VLOOKUP('Données projet'!$B$11,Paramètres!$A$1:$I$89,3,0)*VLOOKUP('Données projet'!$B$11,Paramètres!$A$1:$I$89,5,0)</f>
        <v>250.99151999999992</v>
      </c>
      <c r="BF70" s="13">
        <f t="shared" si="91"/>
        <v>60.798211000769349</v>
      </c>
      <c r="BG70" s="20">
        <f t="shared" si="61"/>
        <v>543.03378149300647</v>
      </c>
      <c r="BH70" s="59">
        <f t="shared" si="62"/>
        <v>807.98784880122344</v>
      </c>
      <c r="BI70" s="59">
        <f ca="1">AVERAGE(OFFSET($BH$3,0,0,'Données projet'!$E$11+1,1))-AVERAGE(OFFSET($H$3,0,0,'Données projet'!$E$11+1,1))</f>
        <v>492.39485179035256</v>
      </c>
      <c r="BJ70" s="59">
        <f t="shared" si="92"/>
        <v>297.32483725004124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17.221198265973207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17.221198265973207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</v>
      </c>
      <c r="BY70" s="12">
        <f>IF('Données projet'!$A$114&gt;35,BY69+BX70-CG69,IF(A70&lt;'Données projet'!$A$114,$BV$205^A70,IF(A70='Données projet'!$A$114,'Données projet'!$B$114,BY69+BX70-CG69)))</f>
        <v>157</v>
      </c>
      <c r="BZ70" s="13">
        <f>BY70*VLOOKUP('Données projet'!$B$12,Paramètres!$A$1:$I$89,3,0)*VLOOKUP('Données projet'!$B$12,Paramètres!$A$1:$I$89,5,0)</f>
        <v>149.40119999999999</v>
      </c>
      <c r="CA70" s="13">
        <f t="shared" si="93"/>
        <v>38.44247450913759</v>
      </c>
      <c r="CB70" s="20">
        <f t="shared" si="64"/>
        <v>327.16106643674794</v>
      </c>
      <c r="CC70" s="59">
        <f t="shared" si="65"/>
        <v>592.11513374496485</v>
      </c>
      <c r="CD70" s="59">
        <f ca="1">AVERAGE(OFFSET($CC$3,0,0,'Données projet'!$E$12+1,1))-AVERAGE(OFFSET($H$3,0,0,'Données projet'!$E$12+1,1))</f>
        <v>260.51631161522039</v>
      </c>
      <c r="CE70" s="59">
        <f t="shared" si="94"/>
        <v>171.3469666102674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8.052414725064267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8.052414725064267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5.6843418860808015E-14</v>
      </c>
      <c r="CU70" s="17">
        <f>CT70*VLOOKUP('Données projet'!$B$13,Paramètres!$A$1:$I$89,3,0)*VLOOKUP('Données projet'!$B$13,Paramètres!$A$1:$I$89,5,0)</f>
        <v>3.3992364478763198E-14</v>
      </c>
      <c r="CV70" s="13">
        <f t="shared" si="95"/>
        <v>5.790027782444094E-13</v>
      </c>
      <c r="CW70" s="20">
        <f t="shared" si="67"/>
        <v>1.0676332069095257E-12</v>
      </c>
      <c r="CX70" s="59">
        <f t="shared" si="68"/>
        <v>264.95406730821799</v>
      </c>
      <c r="CY70" s="59">
        <f ca="1">AVERAGE(OFFSET($CX$3,0,0,'Données projet'!$E$13+1,1))-AVERAGE(OFFSET($H$3,0,0,'Données projet'!$E$13+1,1))</f>
        <v>301.2688576786212</v>
      </c>
      <c r="CZ70" s="59">
        <f t="shared" si="96"/>
        <v>417.62172165132927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105.61218360396332</v>
      </c>
      <c r="DG70" s="21">
        <f>EXP(-LN(2)/25)*DG69+(1-EXP(-LN(2)/25))/(LN(2)/25)*Calculateur!DB70*Calculateur!DD70*VLOOKUP('Données projet'!$B$13,Paramètres!$A$1:$I$89,3,0)*0.475*44/12</f>
        <v>33.166572335239792</v>
      </c>
      <c r="DH70" s="21">
        <f>EXP(-LN(2)/2)*DH69+(1-EXP(-LN(2)/2))/(LN(2)/2)*DB70*DE70*VLOOKUP('Données projet'!$B$13,Paramètres!$A$1:$I$89,3,0)*0.475*44/12</f>
        <v>0.11547316253094021</v>
      </c>
      <c r="DI70" s="22">
        <f t="shared" si="69"/>
        <v>138.89422910173406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167.82976403567059</v>
      </c>
      <c r="T71" s="59">
        <f t="shared" si="88"/>
        <v>232.70925470547317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62.432322293337563</v>
      </c>
      <c r="AA71" s="21">
        <f>EXP(-LN(2)/25)*AA70+(1-EXP(-LN(2)/25))/(LN(2)/25)*Calculateur!V71*Calculateur!X71*VLOOKUP('Données projet'!$B$9,Paramètres!$A$1:$I$89,3,0)*0.475*44/12</f>
        <v>28.279295179605686</v>
      </c>
      <c r="AB71" s="21">
        <f>EXP(-LN(2)/2)*AB70+(1-EXP(-LN(2)/2))/(LN(2)/2)*V71*Y71*VLOOKUP('Données projet'!$B$9,Paramètres!$A$1:$I$89,3,0)*0.475*44/12</f>
        <v>1.802341074319775</v>
      </c>
      <c r="AC71" s="22">
        <f t="shared" si="57"/>
        <v>92.513958547263016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889.99033898854589</v>
      </c>
      <c r="AN71" s="59">
        <f ca="1">AVERAGE(OFFSET($AM$3,0,0,'Données projet'!$E$10+1,1))-AVERAGE(OFFSET($H$3,0,0,'Données projet'!$E$10+1,1))</f>
        <v>542.51810435067659</v>
      </c>
      <c r="AO71" s="59">
        <f t="shared" si="90"/>
        <v>325.7263575945085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18.921164994338461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18.921164994338461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285.59999999999991</v>
      </c>
      <c r="BE71" s="13">
        <f>BD71*VLOOKUP('Données projet'!$B$11,Paramètres!$A$1:$I$89,3,0)*VLOOKUP('Données projet'!$B$11,Paramètres!$A$1:$I$89,5,0)</f>
        <v>258.41087999999991</v>
      </c>
      <c r="BF71" s="13">
        <f t="shared" si="91"/>
        <v>62.383521020316756</v>
      </c>
      <c r="BG71" s="20">
        <f t="shared" si="61"/>
        <v>558.71691511038478</v>
      </c>
      <c r="BH71" s="59">
        <f t="shared" si="62"/>
        <v>824.16329923760361</v>
      </c>
      <c r="BI71" s="59">
        <f ca="1">AVERAGE(OFFSET($BH$3,0,0,'Données projet'!$E$11+1,1))-AVERAGE(OFFSET($H$3,0,0,'Données projet'!$E$11+1,1))</f>
        <v>492.39485179035256</v>
      </c>
      <c r="BJ71" s="59">
        <f t="shared" si="92"/>
        <v>297.32483725004124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16.88350107187124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16.88350107187124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</v>
      </c>
      <c r="BY71" s="12">
        <f>IF('Données projet'!$A$114&gt;35,BY70+BX71-CG70,IF(A71&lt;'Données projet'!$A$114,$BV$205^A71,IF(A71='Données projet'!$A$114,'Données projet'!$B$114,BY70+BX71-CG70)))</f>
        <v>162</v>
      </c>
      <c r="BZ71" s="13">
        <f>BY71*VLOOKUP('Données projet'!$B$12,Paramètres!$A$1:$I$89,3,0)*VLOOKUP('Données projet'!$B$12,Paramètres!$A$1:$I$89,5,0)</f>
        <v>154.1592</v>
      </c>
      <c r="CA71" s="13">
        <f t="shared" si="93"/>
        <v>39.522268933730984</v>
      </c>
      <c r="CB71" s="20">
        <f t="shared" si="64"/>
        <v>337.32855839291477</v>
      </c>
      <c r="CC71" s="59">
        <f t="shared" si="65"/>
        <v>602.77494252013366</v>
      </c>
      <c r="CD71" s="59">
        <f ca="1">AVERAGE(OFFSET($CC$3,0,0,'Données projet'!$E$12+1,1))-AVERAGE(OFFSET($H$3,0,0,'Données projet'!$E$12+1,1))</f>
        <v>260.51631161522039</v>
      </c>
      <c r="CE71" s="59">
        <f t="shared" si="94"/>
        <v>171.3469666102674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7.8945117837937699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7.8945117837937699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5.6843418860808015E-14</v>
      </c>
      <c r="CU71" s="17">
        <f>CT71*VLOOKUP('Données projet'!$B$13,Paramètres!$A$1:$I$89,3,0)*VLOOKUP('Données projet'!$B$13,Paramètres!$A$1:$I$89,5,0)</f>
        <v>3.3992364478763198E-14</v>
      </c>
      <c r="CV71" s="13">
        <f t="shared" si="95"/>
        <v>5.790027782444094E-13</v>
      </c>
      <c r="CW71" s="20">
        <f t="shared" si="67"/>
        <v>1.0676332069095257E-12</v>
      </c>
      <c r="CX71" s="59">
        <f t="shared" si="68"/>
        <v>265.44638412721991</v>
      </c>
      <c r="CY71" s="59">
        <f ca="1">AVERAGE(OFFSET($CX$3,0,0,'Données projet'!$E$13+1,1))-AVERAGE(OFFSET($H$3,0,0,'Données projet'!$E$13+1,1))</f>
        <v>301.2688576786212</v>
      </c>
      <c r="CZ71" s="59">
        <f t="shared" si="96"/>
        <v>417.62172165132927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103.54119310056093</v>
      </c>
      <c r="DG71" s="21">
        <f>EXP(-LN(2)/25)*DG70+(1-EXP(-LN(2)/25))/(LN(2)/25)*Calculateur!DB71*Calculateur!DD71*VLOOKUP('Données projet'!$B$13,Paramètres!$A$1:$I$89,3,0)*0.475*44/12</f>
        <v>32.259630670578424</v>
      </c>
      <c r="DH71" s="21">
        <f>EXP(-LN(2)/2)*DH70+(1-EXP(-LN(2)/2))/(LN(2)/2)*DB71*DE71*VLOOKUP('Données projet'!$B$13,Paramètres!$A$1:$I$89,3,0)*0.475*44/12</f>
        <v>8.1651856270684178E-2</v>
      </c>
      <c r="DI71" s="22">
        <f t="shared" si="69"/>
        <v>135.88247562741006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167.82976403567059</v>
      </c>
      <c r="T72" s="59">
        <f t="shared" si="88"/>
        <v>232.70925470547317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61.208062533121726</v>
      </c>
      <c r="AA72" s="21">
        <f>EXP(-LN(2)/25)*AA71+(1-EXP(-LN(2)/25))/(LN(2)/25)*Calculateur!V72*Calculateur!X72*VLOOKUP('Données projet'!$B$9,Paramètres!$A$1:$I$89,3,0)*0.475*44/12</f>
        <v>27.505996365775868</v>
      </c>
      <c r="AB72" s="21">
        <f>EXP(-LN(2)/2)*AB71+(1-EXP(-LN(2)/2))/(LN(2)/2)*V72*Y72*VLOOKUP('Données projet'!$B$9,Paramètres!$A$1:$I$89,3,0)*0.475*44/12</f>
        <v>1.2744475956625603</v>
      </c>
      <c r="AC72" s="22">
        <f t="shared" si="57"/>
        <v>89.988506494560156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297.9131999999999</v>
      </c>
      <c r="AK72" s="13">
        <f t="shared" si="89"/>
        <v>70.73881247427552</v>
      </c>
      <c r="AL72" s="20">
        <f t="shared" si="58"/>
        <v>642.06892172602966</v>
      </c>
      <c r="AM72" s="59">
        <f t="shared" si="59"/>
        <v>907.99908207609622</v>
      </c>
      <c r="AN72" s="59">
        <f ca="1">AVERAGE(OFFSET($AM$3,0,0,'Données projet'!$E$10+1,1))-AVERAGE(OFFSET($H$3,0,0,'Données projet'!$E$10+1,1))</f>
        <v>542.51810435067659</v>
      </c>
      <c r="AO72" s="59">
        <f t="shared" si="90"/>
        <v>325.7263575945085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18.550132489570576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18.550132489570576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</v>
      </c>
      <c r="BE72" s="13">
        <f>BD72*VLOOKUP('Données projet'!$B$11,Paramètres!$A$1:$I$89,3,0)*VLOOKUP('Données projet'!$B$11,Paramètres!$A$1:$I$89,5,0)</f>
        <v>265.83023999999989</v>
      </c>
      <c r="BF72" s="13">
        <f t="shared" si="91"/>
        <v>63.963540982526439</v>
      </c>
      <c r="BG72" s="20">
        <f t="shared" si="61"/>
        <v>574.39083521123325</v>
      </c>
      <c r="BH72" s="59">
        <f t="shared" si="62"/>
        <v>840.32099556129981</v>
      </c>
      <c r="BI72" s="59">
        <f ca="1">AVERAGE(OFFSET($BH$3,0,0,'Données projet'!$E$11+1,1))-AVERAGE(OFFSET($H$3,0,0,'Données projet'!$E$11+1,1))</f>
        <v>492.39485179035256</v>
      </c>
      <c r="BJ72" s="59">
        <f t="shared" si="92"/>
        <v>297.32483725004124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16.552425913770666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16.552425913770666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</v>
      </c>
      <c r="BY72" s="12">
        <f>IF('Données projet'!$A$114&gt;35,BY71+BX72-CG71,IF(A72&lt;'Données projet'!$A$114,$BV$205^A72,IF(A72='Données projet'!$A$114,'Données projet'!$B$114,BY71+BX72-CG71)))</f>
        <v>167</v>
      </c>
      <c r="BZ72" s="13">
        <f>BY72*VLOOKUP('Données projet'!$B$12,Paramètres!$A$1:$I$89,3,0)*VLOOKUP('Données projet'!$B$12,Paramètres!$A$1:$I$89,5,0)</f>
        <v>158.91720000000001</v>
      </c>
      <c r="CA72" s="13">
        <f t="shared" si="93"/>
        <v>40.598190407175252</v>
      </c>
      <c r="CB72" s="20">
        <f t="shared" si="64"/>
        <v>347.48930495916358</v>
      </c>
      <c r="CC72" s="59">
        <f t="shared" si="65"/>
        <v>613.41946530923019</v>
      </c>
      <c r="CD72" s="59">
        <f ca="1">AVERAGE(OFFSET($CC$3,0,0,'Données projet'!$E$12+1,1))-AVERAGE(OFFSET($H$3,0,0,'Données projet'!$E$12+1,1))</f>
        <v>260.51631161522039</v>
      </c>
      <c r="CE72" s="59">
        <f t="shared" si="94"/>
        <v>171.3469666102674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7.7397052228903034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7.7397052228903034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5.6843418860808015E-14</v>
      </c>
      <c r="CU72" s="17">
        <f>CT72*VLOOKUP('Données projet'!$B$13,Paramètres!$A$1:$I$89,3,0)*VLOOKUP('Données projet'!$B$13,Paramètres!$A$1:$I$89,5,0)</f>
        <v>3.3992364478763198E-14</v>
      </c>
      <c r="CV72" s="13">
        <f t="shared" si="95"/>
        <v>5.790027782444094E-13</v>
      </c>
      <c r="CW72" s="20">
        <f t="shared" si="67"/>
        <v>1.0676332069095257E-12</v>
      </c>
      <c r="CX72" s="59">
        <f t="shared" si="68"/>
        <v>265.93016035006764</v>
      </c>
      <c r="CY72" s="59">
        <f ca="1">AVERAGE(OFFSET($CX$3,0,0,'Données projet'!$E$13+1,1))-AVERAGE(OFFSET($H$3,0,0,'Données projet'!$E$13+1,1))</f>
        <v>301.2688576786212</v>
      </c>
      <c r="CZ72" s="59">
        <f t="shared" si="96"/>
        <v>417.62172165132927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101.5108134577508</v>
      </c>
      <c r="DG72" s="21">
        <f>EXP(-LN(2)/25)*DG71+(1-EXP(-LN(2)/25))/(LN(2)/25)*Calculateur!DB72*Calculateur!DD72*VLOOKUP('Données projet'!$B$13,Paramètres!$A$1:$I$89,3,0)*0.475*44/12</f>
        <v>31.37748937343121</v>
      </c>
      <c r="DH72" s="21">
        <f>EXP(-LN(2)/2)*DH71+(1-EXP(-LN(2)/2))/(LN(2)/2)*DB72*DE72*VLOOKUP('Données projet'!$B$13,Paramètres!$A$1:$I$89,3,0)*0.475*44/12</f>
        <v>5.7736581265470106E-2</v>
      </c>
      <c r="DI72" s="22">
        <f t="shared" si="69"/>
        <v>132.94603941244748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167.82976403567059</v>
      </c>
      <c r="T73" s="59">
        <f t="shared" si="88"/>
        <v>232.70925470547317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60.007809760079006</v>
      </c>
      <c r="AA73" s="21">
        <f>EXP(-LN(2)/25)*AA72+(1-EXP(-LN(2)/25))/(LN(2)/25)*Calculateur!V73*Calculateur!X73*VLOOKUP('Données projet'!$B$9,Paramètres!$A$1:$I$89,3,0)*0.475*44/12</f>
        <v>26.753843448676243</v>
      </c>
      <c r="AB73" s="21">
        <f>EXP(-LN(2)/2)*AB72+(1-EXP(-LN(2)/2))/(LN(2)/2)*V73*Y73*VLOOKUP('Données projet'!$B$9,Paramètres!$A$1:$I$89,3,0)*0.475*44/12</f>
        <v>0.90117053715988771</v>
      </c>
      <c r="AC73" s="22">
        <f t="shared" si="57"/>
        <v>87.662823745915134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306.22799999999989</v>
      </c>
      <c r="AK73" s="13">
        <f t="shared" si="89"/>
        <v>72.480526049067294</v>
      </c>
      <c r="AL73" s="20">
        <f t="shared" si="58"/>
        <v>659.58401620212533</v>
      </c>
      <c r="AM73" s="59">
        <f t="shared" si="59"/>
        <v>925.98956033913487</v>
      </c>
      <c r="AN73" s="59">
        <f ca="1">AVERAGE(OFFSET($AM$3,0,0,'Données projet'!$E$10+1,1))-AVERAGE(OFFSET($H$3,0,0,'Données projet'!$E$10+1,1))</f>
        <v>542.51810435067659</v>
      </c>
      <c r="AO73" s="59">
        <f t="shared" si="90"/>
        <v>325.7263575945085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24.934476434289103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24.934476434289103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301.99999999999989</v>
      </c>
      <c r="BE73" s="13">
        <f>BD73*VLOOKUP('Données projet'!$B$11,Paramètres!$A$1:$I$89,3,0)*VLOOKUP('Données projet'!$B$11,Paramètres!$A$1:$I$89,5,0)</f>
        <v>273.24959999999987</v>
      </c>
      <c r="BF73" s="13">
        <f t="shared" si="91"/>
        <v>65.538435495514321</v>
      </c>
      <c r="BG73" s="20">
        <f t="shared" si="61"/>
        <v>590.05582848802044</v>
      </c>
      <c r="BH73" s="59">
        <f t="shared" si="62"/>
        <v>856.46137262502998</v>
      </c>
      <c r="BI73" s="59">
        <f ca="1">AVERAGE(OFFSET($BH$3,0,0,'Données projet'!$E$11+1,1))-AVERAGE(OFFSET($H$3,0,0,'Données projet'!$E$11+1,1))</f>
        <v>492.39485179035256</v>
      </c>
      <c r="BJ73" s="59">
        <f t="shared" si="92"/>
        <v>297.32483725004124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22.249225125981042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22.249225125981042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172</v>
      </c>
      <c r="BW73" s="12">
        <f>VLOOKUP(A73,'Données projet'!$A$113:$I$133,9,0)</f>
        <v>5</v>
      </c>
      <c r="BX73" s="12">
        <f t="array" ref="BX73">INDEX(BW:BW,MIN(IF(ISNUMBER(BW73:BW269),ROW(BW73:BW269),"")))</f>
        <v>5</v>
      </c>
      <c r="BY73" s="12">
        <f>IF('Données projet'!$A$114&gt;35,BY72+BX73-CG72,IF(A73&lt;'Données projet'!$A$114,$BV$205^A73,IF(A73='Données projet'!$A$114,'Données projet'!$B$114,BY72+BX73-CG72)))</f>
        <v>172</v>
      </c>
      <c r="BZ73" s="13">
        <f>BY73*VLOOKUP('Données projet'!$B$12,Paramètres!$A$1:$I$89,3,0)*VLOOKUP('Données projet'!$B$12,Paramètres!$A$1:$I$89,5,0)</f>
        <v>163.67520000000002</v>
      </c>
      <c r="CA73" s="13">
        <f t="shared" si="93"/>
        <v>41.670368197291587</v>
      </c>
      <c r="CB73" s="20">
        <f t="shared" si="64"/>
        <v>357.64353127694955</v>
      </c>
      <c r="CC73" s="59">
        <f t="shared" si="65"/>
        <v>624.04907541395903</v>
      </c>
      <c r="CD73" s="59">
        <f ca="1">AVERAGE(OFFSET($CC$3,0,0,'Données projet'!$E$12+1,1))-AVERAGE(OFFSET($H$3,0,0,'Données projet'!$E$12+1,1))</f>
        <v>260.51631161522039</v>
      </c>
      <c r="CE73" s="59">
        <f t="shared" si="94"/>
        <v>171.3469666102674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10.121067520721317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10.121067520721317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5.6843418860808015E-14</v>
      </c>
      <c r="CU73" s="17">
        <f>CT73*VLOOKUP('Données projet'!$B$13,Paramètres!$A$1:$I$89,3,0)*VLOOKUP('Données projet'!$B$13,Paramètres!$A$1:$I$89,5,0)</f>
        <v>3.3992364478763198E-14</v>
      </c>
      <c r="CV73" s="13">
        <f t="shared" si="95"/>
        <v>5.790027782444094E-13</v>
      </c>
      <c r="CW73" s="20">
        <f t="shared" si="67"/>
        <v>1.0676332069095257E-12</v>
      </c>
      <c r="CX73" s="59">
        <f t="shared" si="68"/>
        <v>266.40554413701057</v>
      </c>
      <c r="CY73" s="59">
        <f ca="1">AVERAGE(OFFSET($CX$3,0,0,'Données projet'!$E$13+1,1))-AVERAGE(OFFSET($H$3,0,0,'Données projet'!$E$13+1,1))</f>
        <v>301.2688576786212</v>
      </c>
      <c r="CZ73" s="59">
        <f t="shared" si="96"/>
        <v>417.62172165132927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99.520248321326875</v>
      </c>
      <c r="DG73" s="21">
        <f>EXP(-LN(2)/25)*DG72+(1-EXP(-LN(2)/25))/(LN(2)/25)*Calculateur!DB73*Calculateur!DD73*VLOOKUP('Données projet'!$B$13,Paramètres!$A$1:$I$89,3,0)*0.475*44/12</f>
        <v>30.519470276444281</v>
      </c>
      <c r="DH73" s="21">
        <f>EXP(-LN(2)/2)*DH72+(1-EXP(-LN(2)/2))/(LN(2)/2)*DB73*DE73*VLOOKUP('Données projet'!$B$13,Paramètres!$A$1:$I$89,3,0)*0.475*44/12</f>
        <v>4.0825928135342089E-2</v>
      </c>
      <c r="DI73" s="22">
        <f t="shared" si="69"/>
        <v>130.0805445259065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167.82976403567059</v>
      </c>
      <c r="T74" s="59">
        <f t="shared" si="88"/>
        <v>232.70925470547317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58.831093211833746</v>
      </c>
      <c r="AA74" s="21">
        <f>EXP(-LN(2)/25)*AA73+(1-EXP(-LN(2)/25))/(LN(2)/25)*Calculateur!V74*Calculateur!X74*VLOOKUP('Données projet'!$B$9,Paramètres!$A$1:$I$89,3,0)*0.475*44/12</f>
        <v>26.02225819264871</v>
      </c>
      <c r="AB74" s="21">
        <f>EXP(-LN(2)/2)*AB73+(1-EXP(-LN(2)/2))/(LN(2)/2)*V74*Y74*VLOOKUP('Données projet'!$B$9,Paramètres!$A$1:$I$89,3,0)*0.475*44/12</f>
        <v>0.63722379783128025</v>
      </c>
      <c r="AC74" s="22">
        <f t="shared" si="57"/>
        <v>85.490575202313735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285.54239999999993</v>
      </c>
      <c r="AK74" s="13">
        <f t="shared" si="89"/>
        <v>68.136937829389467</v>
      </c>
      <c r="AL74" s="20">
        <f t="shared" si="58"/>
        <v>615.99151338618651</v>
      </c>
      <c r="AM74" s="59">
        <f t="shared" si="59"/>
        <v>882.86419446423452</v>
      </c>
      <c r="AN74" s="59">
        <f ca="1">AVERAGE(OFFSET($AM$3,0,0,'Données projet'!$E$10+1,1))-AVERAGE(OFFSET($H$3,0,0,'Données projet'!$E$10+1,1))</f>
        <v>542.51810435067659</v>
      </c>
      <c r="AO74" s="59">
        <f t="shared" si="90"/>
        <v>325.7263575945085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24.445526559941602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24.445526559941602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281.59999999999991</v>
      </c>
      <c r="BE74" s="13">
        <f>BD74*VLOOKUP('Données projet'!$B$11,Paramètres!$A$1:$I$89,3,0)*VLOOKUP('Données projet'!$B$11,Paramètres!$A$1:$I$89,5,0)</f>
        <v>254.79167999999993</v>
      </c>
      <c r="BF74" s="13">
        <f t="shared" si="91"/>
        <v>61.610870508448471</v>
      </c>
      <c r="BG74" s="20">
        <f t="shared" si="61"/>
        <v>551.06777546888088</v>
      </c>
      <c r="BH74" s="59">
        <f t="shared" si="62"/>
        <v>817.94045654692877</v>
      </c>
      <c r="BI74" s="59">
        <f ca="1">AVERAGE(OFFSET($BH$3,0,0,'Données projet'!$E$11+1,1))-AVERAGE(OFFSET($H$3,0,0,'Données projet'!$E$11+1,1))</f>
        <v>492.39485179035256</v>
      </c>
      <c r="BJ74" s="59">
        <f t="shared" si="92"/>
        <v>297.32483725004124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21.812931391947885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21.812931391947885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</v>
      </c>
      <c r="BY74" s="12">
        <f>IF('Données projet'!$A$114&gt;35,BY73+BX74-CG73,IF(A74&lt;'Données projet'!$A$114,$BV$205^A74,IF(A74='Données projet'!$A$114,'Données projet'!$B$114,BY73+BX74-CG73)))</f>
        <v>163</v>
      </c>
      <c r="BZ74" s="13">
        <f>BY74*VLOOKUP('Données projet'!$B$12,Paramètres!$A$1:$I$89,3,0)*VLOOKUP('Données projet'!$B$12,Paramètres!$A$1:$I$89,5,0)</f>
        <v>155.11079999999998</v>
      </c>
      <c r="CA74" s="13">
        <f t="shared" si="93"/>
        <v>39.737758807485029</v>
      </c>
      <c r="CB74" s="20">
        <f t="shared" si="64"/>
        <v>339.36123992303641</v>
      </c>
      <c r="CC74" s="59">
        <f t="shared" si="65"/>
        <v>606.23392100108435</v>
      </c>
      <c r="CD74" s="59">
        <f ca="1">AVERAGE(OFFSET($CC$3,0,0,'Données projet'!$E$12+1,1))-AVERAGE(OFFSET($H$3,0,0,'Données projet'!$E$12+1,1))</f>
        <v>260.51631161522039</v>
      </c>
      <c r="CE74" s="59">
        <f t="shared" si="94"/>
        <v>171.3469666102674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9.9225995598816024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9.9225995598816024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projet'!$B$13,Paramètres!$A$1:$I$89,3,0)*VLOOKUP('Données projet'!$B$13,Paramètres!$A$1:$I$89,5,0)</f>
        <v>3.3992364478763198E-14</v>
      </c>
      <c r="CV74" s="13">
        <f t="shared" si="95"/>
        <v>5.790027782444094E-13</v>
      </c>
      <c r="CW74" s="20">
        <f t="shared" si="67"/>
        <v>1.0676332069095257E-12</v>
      </c>
      <c r="CX74" s="59">
        <f t="shared" si="68"/>
        <v>266.87268107804903</v>
      </c>
      <c r="CY74" s="59">
        <f ca="1">AVERAGE(OFFSET($CX$3,0,0,'Données projet'!$E$13+1,1))-AVERAGE(OFFSET($H$3,0,0,'Données projet'!$E$13+1,1))</f>
        <v>301.2688576786212</v>
      </c>
      <c r="CZ74" s="59">
        <f t="shared" si="96"/>
        <v>417.62172165132927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97.568716953103376</v>
      </c>
      <c r="DG74" s="21">
        <f>EXP(-LN(2)/25)*DG73+(1-EXP(-LN(2)/25))/(LN(2)/25)*Calculateur!DB74*Calculateur!DD74*VLOOKUP('Données projet'!$B$13,Paramètres!$A$1:$I$89,3,0)*0.475*44/12</f>
        <v>29.684913756785722</v>
      </c>
      <c r="DH74" s="21">
        <f>EXP(-LN(2)/2)*DH73+(1-EXP(-LN(2)/2))/(LN(2)/2)*DB74*DE74*VLOOKUP('Données projet'!$B$13,Paramètres!$A$1:$I$89,3,0)*0.475*44/12</f>
        <v>2.8868290632735053E-2</v>
      </c>
      <c r="DI74" s="22">
        <f t="shared" si="69"/>
        <v>127.28249900052182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167.82976403567059</v>
      </c>
      <c r="T75" s="59">
        <f t="shared" si="88"/>
        <v>232.70925470547317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57.67745135737335</v>
      </c>
      <c r="AA75" s="21">
        <f>EXP(-LN(2)/25)*AA74+(1-EXP(-LN(2)/25))/(LN(2)/25)*Calculateur!V75*Calculateur!X75*VLOOKUP('Données projet'!$B$9,Paramètres!$A$1:$I$89,3,0)*0.475*44/12</f>
        <v>25.310678173919648</v>
      </c>
      <c r="AB75" s="21">
        <f>EXP(-LN(2)/2)*AB74+(1-EXP(-LN(2)/2))/(LN(2)/2)*V75*Y75*VLOOKUP('Données projet'!$B$9,Paramètres!$A$1:$I$89,3,0)*0.475*44/12</f>
        <v>0.45058526857994391</v>
      </c>
      <c r="AC75" s="22">
        <f t="shared" si="57"/>
        <v>83.43871479987294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293.24879999999996</v>
      </c>
      <c r="AK75" s="13">
        <f t="shared" si="89"/>
        <v>69.759283249126327</v>
      </c>
      <c r="AL75" s="20">
        <f t="shared" si="58"/>
        <v>632.23907832556165</v>
      </c>
      <c r="AM75" s="59">
        <f t="shared" si="59"/>
        <v>899.5707925630827</v>
      </c>
      <c r="AN75" s="59">
        <f ca="1">AVERAGE(OFFSET($AM$3,0,0,'Données projet'!$E$10+1,1))-AVERAGE(OFFSET($H$3,0,0,'Données projet'!$E$10+1,1))</f>
        <v>542.51810435067659</v>
      </c>
      <c r="AO75" s="59">
        <f t="shared" si="90"/>
        <v>325.7263575945085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23.966164694400078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23.966164694400078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289.19999999999993</v>
      </c>
      <c r="BE75" s="13">
        <f>BD75*VLOOKUP('Données projet'!$B$11,Paramètres!$A$1:$I$89,3,0)*VLOOKUP('Données projet'!$B$11,Paramètres!$A$1:$I$89,5,0)</f>
        <v>261.66815999999994</v>
      </c>
      <c r="BF75" s="13">
        <f t="shared" si="91"/>
        <v>63.077829793082856</v>
      </c>
      <c r="BG75" s="20">
        <f t="shared" si="61"/>
        <v>565.59926555628579</v>
      </c>
      <c r="BH75" s="59">
        <f t="shared" si="62"/>
        <v>832.93097979380696</v>
      </c>
      <c r="BI75" s="59">
        <f ca="1">AVERAGE(OFFSET($BH$3,0,0,'Données projet'!$E$11+1,1))-AVERAGE(OFFSET($H$3,0,0,'Données projet'!$E$11+1,1))</f>
        <v>492.39485179035256</v>
      </c>
      <c r="BJ75" s="59">
        <f t="shared" si="92"/>
        <v>297.32483725004124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21.385193111926217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21.385193111926217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</v>
      </c>
      <c r="BY75" s="12">
        <f>IF('Données projet'!$A$114&gt;35,BY74+BX75-CG74,IF(A75&lt;'Données projet'!$A$114,$BV$205^A75,IF(A75='Données projet'!$A$114,'Données projet'!$B$114,BY74+BX75-CG74)))</f>
        <v>168</v>
      </c>
      <c r="BZ75" s="13">
        <f>BY75*VLOOKUP('Données projet'!$B$12,Paramètres!$A$1:$I$89,3,0)*VLOOKUP('Données projet'!$B$12,Paramètres!$A$1:$I$89,5,0)</f>
        <v>159.86880000000002</v>
      </c>
      <c r="CA75" s="13">
        <f t="shared" si="93"/>
        <v>40.812921467768035</v>
      </c>
      <c r="CB75" s="20">
        <f t="shared" si="64"/>
        <v>349.52066488969604</v>
      </c>
      <c r="CC75" s="59">
        <f t="shared" si="65"/>
        <v>616.85237912721709</v>
      </c>
      <c r="CD75" s="59">
        <f ca="1">AVERAGE(OFFSET($CC$3,0,0,'Données projet'!$E$12+1,1))-AVERAGE(OFFSET($H$3,0,0,'Données projet'!$E$12+1,1))</f>
        <v>260.51631161522039</v>
      </c>
      <c r="CE75" s="59">
        <f t="shared" si="94"/>
        <v>171.3469666102674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9.7280234347004519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9.7280234347004519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projet'!$B$13,Paramètres!$A$1:$I$89,3,0)*VLOOKUP('Données projet'!$B$13,Paramètres!$A$1:$I$89,5,0)</f>
        <v>3.3992364478763198E-14</v>
      </c>
      <c r="CV75" s="13">
        <f t="shared" si="95"/>
        <v>5.790027782444094E-13</v>
      </c>
      <c r="CW75" s="20">
        <f t="shared" si="67"/>
        <v>1.0676332069095257E-12</v>
      </c>
      <c r="CX75" s="59">
        <f t="shared" si="68"/>
        <v>267.33171423752219</v>
      </c>
      <c r="CY75" s="59">
        <f ca="1">AVERAGE(OFFSET($CX$3,0,0,'Données projet'!$E$13+1,1))-AVERAGE(OFFSET($H$3,0,0,'Données projet'!$E$13+1,1))</f>
        <v>301.2688576786212</v>
      </c>
      <c r="CZ75" s="59">
        <f t="shared" si="96"/>
        <v>417.62172165132927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95.655453924694129</v>
      </c>
      <c r="DG75" s="21">
        <f>EXP(-LN(2)/25)*DG74+(1-EXP(-LN(2)/25))/(LN(2)/25)*Calculateur!DB75*Calculateur!DD75*VLOOKUP('Données projet'!$B$13,Paramètres!$A$1:$I$89,3,0)*0.475*44/12</f>
        <v>28.873178229044647</v>
      </c>
      <c r="DH75" s="21">
        <f>EXP(-LN(2)/2)*DH74+(1-EXP(-LN(2)/2))/(LN(2)/2)*DB75*DE75*VLOOKUP('Données projet'!$B$13,Paramètres!$A$1:$I$89,3,0)*0.475*44/12</f>
        <v>2.0412964067671045E-2</v>
      </c>
      <c r="DI75" s="22">
        <f t="shared" si="69"/>
        <v>124.54904511780646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167.82976403567059</v>
      </c>
      <c r="T76" s="59">
        <f t="shared" si="88"/>
        <v>232.70925470547317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56.546431716026873</v>
      </c>
      <c r="AA76" s="21">
        <f>EXP(-LN(2)/25)*AA75+(1-EXP(-LN(2)/25))/(LN(2)/25)*Calculateur!V76*Calculateur!X76*VLOOKUP('Données projet'!$B$9,Paramètres!$A$1:$I$89,3,0)*0.475*44/12</f>
        <v>24.618556348223098</v>
      </c>
      <c r="AB76" s="21">
        <f>EXP(-LN(2)/2)*AB75+(1-EXP(-LN(2)/2))/(LN(2)/2)*V76*Y76*VLOOKUP('Données projet'!$B$9,Paramètres!$A$1:$I$89,3,0)*0.475*44/12</f>
        <v>0.31861189891564018</v>
      </c>
      <c r="AC76" s="22">
        <f t="shared" si="57"/>
        <v>81.483599963165602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300.95519999999999</v>
      </c>
      <c r="AK76" s="13">
        <f t="shared" si="89"/>
        <v>71.376673021759785</v>
      </c>
      <c r="AL76" s="20">
        <f t="shared" si="58"/>
        <v>648.47801217956487</v>
      </c>
      <c r="AM76" s="59">
        <f t="shared" si="59"/>
        <v>916.26079637748671</v>
      </c>
      <c r="AN76" s="59">
        <f ca="1">AVERAGE(OFFSET($AM$3,0,0,'Données projet'!$E$10+1,1))-AVERAGE(OFFSET($H$3,0,0,'Données projet'!$E$10+1,1))</f>
        <v>542.51810435067659</v>
      </c>
      <c r="AO76" s="59">
        <f t="shared" si="90"/>
        <v>325.7263575945085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23.496202822659956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23.496202822659956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296.79999999999995</v>
      </c>
      <c r="BE76" s="13">
        <f>BD76*VLOOKUP('Données projet'!$B$11,Paramètres!$A$1:$I$89,3,0)*VLOOKUP('Données projet'!$B$11,Paramètres!$A$1:$I$89,5,0)</f>
        <v>268.5446399999999</v>
      </c>
      <c r="BF76" s="13">
        <f t="shared" si="91"/>
        <v>64.54030807605065</v>
      </c>
      <c r="BG76" s="20">
        <f t="shared" si="61"/>
        <v>580.12295123245474</v>
      </c>
      <c r="BH76" s="59">
        <f t="shared" si="62"/>
        <v>847.90573543037658</v>
      </c>
      <c r="BI76" s="59">
        <f ca="1">AVERAGE(OFFSET($BH$3,0,0,'Données projet'!$E$11+1,1))-AVERAGE(OFFSET($H$3,0,0,'Données projet'!$E$11+1,1))</f>
        <v>492.39485179035256</v>
      </c>
      <c r="BJ76" s="59">
        <f t="shared" si="92"/>
        <v>297.32483725004124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20.965842518681185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20.965842518681185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</v>
      </c>
      <c r="BY76" s="12">
        <f>IF('Données projet'!$A$114&gt;35,BY75+BX76-CG75,IF(A76&lt;'Données projet'!$A$114,$BV$205^A76,IF(A76='Données projet'!$A$114,'Données projet'!$B$114,BY75+BX76-CG75)))</f>
        <v>173</v>
      </c>
      <c r="BZ76" s="13">
        <f>BY76*VLOOKUP('Données projet'!$B$12,Paramètres!$A$1:$I$89,3,0)*VLOOKUP('Données projet'!$B$12,Paramètres!$A$1:$I$89,5,0)</f>
        <v>164.6268</v>
      </c>
      <c r="CA76" s="13">
        <f t="shared" si="93"/>
        <v>41.884365321551833</v>
      </c>
      <c r="CB76" s="20">
        <f t="shared" si="64"/>
        <v>359.67361293503609</v>
      </c>
      <c r="CC76" s="59">
        <f t="shared" si="65"/>
        <v>627.45639713295782</v>
      </c>
      <c r="CD76" s="59">
        <f ca="1">AVERAGE(OFFSET($CC$3,0,0,'Données projet'!$E$12+1,1))-AVERAGE(OFFSET($H$3,0,0,'Données projet'!$E$12+1,1))</f>
        <v>260.51631161522039</v>
      </c>
      <c r="CE76" s="59">
        <f t="shared" si="94"/>
        <v>171.3469666102674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9.5372628286543861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9.5372628286543861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projet'!$B$13,Paramètres!$A$1:$I$89,3,0)*VLOOKUP('Données projet'!$B$13,Paramètres!$A$1:$I$89,5,0)</f>
        <v>3.3992364478763198E-14</v>
      </c>
      <c r="CV76" s="13">
        <f t="shared" si="95"/>
        <v>5.790027782444094E-13</v>
      </c>
      <c r="CW76" s="20">
        <f t="shared" si="67"/>
        <v>1.0676332069095257E-12</v>
      </c>
      <c r="CX76" s="59">
        <f t="shared" si="68"/>
        <v>267.78278419792287</v>
      </c>
      <c r="CY76" s="59">
        <f ca="1">AVERAGE(OFFSET($CX$3,0,0,'Données projet'!$E$13+1,1))-AVERAGE(OFFSET($H$3,0,0,'Données projet'!$E$13+1,1))</f>
        <v>301.2688576786212</v>
      </c>
      <c r="CZ76" s="59">
        <f t="shared" si="96"/>
        <v>417.62172165132927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93.779708817296779</v>
      </c>
      <c r="DG76" s="21">
        <f>EXP(-LN(2)/25)*DG75+(1-EXP(-LN(2)/25))/(LN(2)/25)*Calculateur!DB76*Calculateur!DD76*VLOOKUP('Données projet'!$B$13,Paramètres!$A$1:$I$89,3,0)*0.475*44/12</f>
        <v>28.083639651996968</v>
      </c>
      <c r="DH76" s="21">
        <f>EXP(-LN(2)/2)*DH75+(1-EXP(-LN(2)/2))/(LN(2)/2)*DB76*DE76*VLOOKUP('Données projet'!$B$13,Paramètres!$A$1:$I$89,3,0)*0.475*44/12</f>
        <v>1.4434145316367527E-2</v>
      </c>
      <c r="DI76" s="22">
        <f t="shared" si="69"/>
        <v>121.87778261461013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167.82976403567059</v>
      </c>
      <c r="T77" s="59">
        <f t="shared" si="88"/>
        <v>232.70925470547317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55.437590679993335</v>
      </c>
      <c r="AA77" s="21">
        <f>EXP(-LN(2)/25)*AA76+(1-EXP(-LN(2)/25))/(LN(2)/25)*Calculateur!V77*Calculateur!X77*VLOOKUP('Données projet'!$B$9,Paramètres!$A$1:$I$89,3,0)*0.475*44/12</f>
        <v>23.945360630247325</v>
      </c>
      <c r="AB77" s="21">
        <f>EXP(-LN(2)/2)*AB76+(1-EXP(-LN(2)/2))/(LN(2)/2)*V77*Y77*VLOOKUP('Données projet'!$B$9,Paramètres!$A$1:$I$89,3,0)*0.475*44/12</f>
        <v>0.22529263428997198</v>
      </c>
      <c r="AC77" s="22">
        <f t="shared" si="57"/>
        <v>79.608243944530628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308.66159999999996</v>
      </c>
      <c r="AK77" s="13">
        <f t="shared" si="89"/>
        <v>72.98924863505313</v>
      </c>
      <c r="AL77" s="20">
        <f t="shared" si="58"/>
        <v>664.70856137271744</v>
      </c>
      <c r="AM77" s="59">
        <f t="shared" si="59"/>
        <v>932.9345904756683</v>
      </c>
      <c r="AN77" s="59">
        <f ca="1">AVERAGE(OFFSET($AM$3,0,0,'Données projet'!$E$10+1,1))-AVERAGE(OFFSET($H$3,0,0,'Données projet'!$E$10+1,1))</f>
        <v>542.51810435067659</v>
      </c>
      <c r="AO77" s="59">
        <f t="shared" si="90"/>
        <v>325.7263575945085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23.035456616576223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23.035456616576223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304.39999999999998</v>
      </c>
      <c r="BE77" s="13">
        <f>BD77*VLOOKUP('Données projet'!$B$11,Paramètres!$A$1:$I$89,3,0)*VLOOKUP('Données projet'!$B$11,Paramètres!$A$1:$I$89,5,0)</f>
        <v>275.42111999999997</v>
      </c>
      <c r="BF77" s="13">
        <f t="shared" si="91"/>
        <v>65.998433293601067</v>
      </c>
      <c r="BG77" s="20">
        <f t="shared" si="61"/>
        <v>594.63905531968851</v>
      </c>
      <c r="BH77" s="59">
        <f t="shared" si="62"/>
        <v>862.86508442263937</v>
      </c>
      <c r="BI77" s="59">
        <f ca="1">AVERAGE(OFFSET($BH$3,0,0,'Données projet'!$E$11+1,1))-AVERAGE(OFFSET($H$3,0,0,'Données projet'!$E$11+1,1))</f>
        <v>492.39485179035256</v>
      </c>
      <c r="BJ77" s="59">
        <f t="shared" si="92"/>
        <v>297.32483725004124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20.554715134791085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20.554715134791085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</v>
      </c>
      <c r="BY77" s="12">
        <f>IF('Données projet'!$A$114&gt;35,BY76+BX77-CG76,IF(A77&lt;'Données projet'!$A$114,$BV$205^A77,IF(A77='Données projet'!$A$114,'Données projet'!$B$114,BY76+BX77-CG76)))</f>
        <v>178</v>
      </c>
      <c r="BZ77" s="13">
        <f>BY77*VLOOKUP('Données projet'!$B$12,Paramètres!$A$1:$I$89,3,0)*VLOOKUP('Données projet'!$B$12,Paramètres!$A$1:$I$89,5,0)</f>
        <v>169.38480000000001</v>
      </c>
      <c r="CA77" s="13">
        <f t="shared" si="93"/>
        <v>42.952210191662466</v>
      </c>
      <c r="CB77" s="20">
        <f t="shared" si="64"/>
        <v>369.82029275047876</v>
      </c>
      <c r="CC77" s="59">
        <f t="shared" si="65"/>
        <v>638.04632185342962</v>
      </c>
      <c r="CD77" s="59">
        <f ca="1">AVERAGE(OFFSET($CC$3,0,0,'Données projet'!$E$12+1,1))-AVERAGE(OFFSET($H$3,0,0,'Données projet'!$E$12+1,1))</f>
        <v>260.51631161522039</v>
      </c>
      <c r="CE77" s="59">
        <f t="shared" si="94"/>
        <v>171.3469666102674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9.3502429217404028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9.3502429217404028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projet'!$B$13,Paramètres!$A$1:$I$89,3,0)*VLOOKUP('Données projet'!$B$13,Paramètres!$A$1:$I$89,5,0)</f>
        <v>3.3992364478763198E-14</v>
      </c>
      <c r="CV77" s="13">
        <f t="shared" si="95"/>
        <v>5.790027782444094E-13</v>
      </c>
      <c r="CW77" s="20">
        <f t="shared" si="67"/>
        <v>1.0676332069095257E-12</v>
      </c>
      <c r="CX77" s="59">
        <f t="shared" si="68"/>
        <v>268.22602910295194</v>
      </c>
      <c r="CY77" s="59">
        <f ca="1">AVERAGE(OFFSET($CX$3,0,0,'Données projet'!$E$13+1,1))-AVERAGE(OFFSET($H$3,0,0,'Données projet'!$E$13+1,1))</f>
        <v>301.2688576786212</v>
      </c>
      <c r="CZ77" s="59">
        <f t="shared" si="96"/>
        <v>417.62172165132927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91.940745927363935</v>
      </c>
      <c r="DG77" s="21">
        <f>EXP(-LN(2)/25)*DG76+(1-EXP(-LN(2)/25))/(LN(2)/25)*Calculateur!DB77*Calculateur!DD77*VLOOKUP('Données projet'!$B$13,Paramètres!$A$1:$I$89,3,0)*0.475*44/12</f>
        <v>27.315691048858689</v>
      </c>
      <c r="DH77" s="21">
        <f>EXP(-LN(2)/2)*DH76+(1-EXP(-LN(2)/2))/(LN(2)/2)*DB77*DE77*VLOOKUP('Données projet'!$B$13,Paramètres!$A$1:$I$89,3,0)*0.475*44/12</f>
        <v>1.0206482033835522E-2</v>
      </c>
      <c r="DI77" s="22">
        <f t="shared" si="69"/>
        <v>119.26664345825647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167.82976403567059</v>
      </c>
      <c r="T78" s="59">
        <f t="shared" si="88"/>
        <v>232.70925470547317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54.350493340350162</v>
      </c>
      <c r="AA78" s="21">
        <f>EXP(-LN(2)/25)*AA77+(1-EXP(-LN(2)/25))/(LN(2)/25)*Calculateur!V78*Calculateur!X78*VLOOKUP('Données projet'!$B$9,Paramètres!$A$1:$I$89,3,0)*0.475*44/12</f>
        <v>23.290573484581426</v>
      </c>
      <c r="AB78" s="21">
        <f>EXP(-LN(2)/2)*AB77+(1-EXP(-LN(2)/2))/(LN(2)/2)*V78*Y78*VLOOKUP('Données projet'!$B$9,Paramètres!$A$1:$I$89,3,0)*0.475*44/12</f>
        <v>0.15930594945782009</v>
      </c>
      <c r="AC78" s="22">
        <f t="shared" si="57"/>
        <v>77.800372774389402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949.59254402300598</v>
      </c>
      <c r="AN78" s="59">
        <f ca="1">AVERAGE(OFFSET($AM$3,0,0,'Données projet'!$E$10+1,1))-AVERAGE(OFFSET($H$3,0,0,'Données projet'!$E$10+1,1))</f>
        <v>542.51810435067659</v>
      </c>
      <c r="AO78" s="59">
        <f t="shared" si="90"/>
        <v>325.7263575945085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29.331846090941752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29.331846090941752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</v>
      </c>
      <c r="BE78" s="13">
        <f>BD78*VLOOKUP('Données projet'!$B$11,Paramètres!$A$1:$I$89,3,0)*VLOOKUP('Données projet'!$B$11,Paramètres!$A$1:$I$89,5,0)</f>
        <v>282.29759999999999</v>
      </c>
      <c r="BF78" s="13">
        <f t="shared" si="91"/>
        <v>67.452326629470178</v>
      </c>
      <c r="BG78" s="20">
        <f t="shared" si="61"/>
        <v>609.14778887966042</v>
      </c>
      <c r="BH78" s="59">
        <f t="shared" si="62"/>
        <v>877.80937357948528</v>
      </c>
      <c r="BI78" s="59">
        <f ca="1">AVERAGE(OFFSET($BH$3,0,0,'Données projet'!$E$11+1,1))-AVERAGE(OFFSET($H$3,0,0,'Données projet'!$E$11+1,1))</f>
        <v>492.39485179035256</v>
      </c>
      <c r="BJ78" s="59">
        <f t="shared" si="92"/>
        <v>297.32483725004124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26.173031896532631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26.173031896532631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183</v>
      </c>
      <c r="BW78" s="12">
        <f>VLOOKUP(A78,'Données projet'!$A$113:$I$133,9,0)</f>
        <v>5</v>
      </c>
      <c r="BX78" s="12">
        <f t="array" ref="BX78">INDEX(BW:BW,MIN(IF(ISNUMBER(BW78:BW274),ROW(BW78:BW274),"")))</f>
        <v>5</v>
      </c>
      <c r="BY78" s="12">
        <f>IF('Données projet'!$A$114&gt;35,BY77+BX78-CG77,IF(A78&lt;'Données projet'!$A$114,$BV$205^A78,IF(A78='Données projet'!$A$114,'Données projet'!$B$114,BY77+BX78-CG77)))</f>
        <v>183</v>
      </c>
      <c r="BZ78" s="13">
        <f>BY78*VLOOKUP('Données projet'!$B$12,Paramètres!$A$1:$I$89,3,0)*VLOOKUP('Données projet'!$B$12,Paramètres!$A$1:$I$89,5,0)</f>
        <v>174.14279999999999</v>
      </c>
      <c r="CA78" s="13">
        <f t="shared" si="93"/>
        <v>44.016568786329351</v>
      </c>
      <c r="CB78" s="20">
        <f t="shared" si="64"/>
        <v>379.96090063619022</v>
      </c>
      <c r="CC78" s="59">
        <f t="shared" si="65"/>
        <v>648.62248533601496</v>
      </c>
      <c r="CD78" s="59">
        <f ca="1">AVERAGE(OFFSET($CC$3,0,0,'Données projet'!$E$12+1,1))-AVERAGE(OFFSET($H$3,0,0,'Données projet'!$E$12+1,1))</f>
        <v>260.51631161522039</v>
      </c>
      <c r="CE78" s="59">
        <f t="shared" si="94"/>
        <v>171.3469666102674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12.333306856752424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12.333306856752424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projet'!$B$13,Paramètres!$A$1:$I$89,3,0)*VLOOKUP('Données projet'!$B$13,Paramètres!$A$1:$I$89,5,0)</f>
        <v>3.3992364478763198E-14</v>
      </c>
      <c r="CV78" s="13">
        <f t="shared" si="95"/>
        <v>5.790027782444094E-13</v>
      </c>
      <c r="CW78" s="20">
        <f t="shared" si="67"/>
        <v>1.0676332069095257E-12</v>
      </c>
      <c r="CX78" s="59">
        <f t="shared" si="68"/>
        <v>268.66158469982588</v>
      </c>
      <c r="CY78" s="59">
        <f ca="1">AVERAGE(OFFSET($CX$3,0,0,'Données projet'!$E$13+1,1))-AVERAGE(OFFSET($H$3,0,0,'Données projet'!$E$13+1,1))</f>
        <v>301.2688576786212</v>
      </c>
      <c r="CZ78" s="59">
        <f t="shared" si="96"/>
        <v>417.62172165132927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90.137843978046064</v>
      </c>
      <c r="DG78" s="21">
        <f>EXP(-LN(2)/25)*DG77+(1-EXP(-LN(2)/25))/(LN(2)/25)*Calculateur!DB78*Calculateur!DD78*VLOOKUP('Données projet'!$B$13,Paramètres!$A$1:$I$89,3,0)*0.475*44/12</f>
        <v>26.568742040657888</v>
      </c>
      <c r="DH78" s="21">
        <f>EXP(-LN(2)/2)*DH77+(1-EXP(-LN(2)/2))/(LN(2)/2)*DB78*DE78*VLOOKUP('Données projet'!$B$13,Paramètres!$A$1:$I$89,3,0)*0.475*44/12</f>
        <v>7.2170726581837633E-3</v>
      </c>
      <c r="DI78" s="22">
        <f t="shared" si="69"/>
        <v>116.71380309136212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167.82976403567059</v>
      </c>
      <c r="T79" s="59">
        <f t="shared" si="88"/>
        <v>232.70925470547317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53.284713316473493</v>
      </c>
      <c r="AA79" s="21">
        <f>EXP(-LN(2)/25)*AA78+(1-EXP(-LN(2)/25))/(LN(2)/25)*Calculateur!V79*Calculateur!X79*VLOOKUP('Données projet'!$B$9,Paramètres!$A$1:$I$89,3,0)*0.475*44/12</f>
        <v>22.653691527847517</v>
      </c>
      <c r="AB79" s="21">
        <f>EXP(-LN(2)/2)*AB78+(1-EXP(-LN(2)/2))/(LN(2)/2)*V79*Y79*VLOOKUP('Données projet'!$B$9,Paramètres!$A$1:$I$89,3,0)*0.475*44/12</f>
        <v>0.11264631714498599</v>
      </c>
      <c r="AC79" s="22">
        <f t="shared" si="57"/>
        <v>76.051051161466006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905.60289286067382</v>
      </c>
      <c r="AN79" s="59">
        <f ca="1">AVERAGE(OFFSET($AM$3,0,0,'Données projet'!$E$10+1,1))-AVERAGE(OFFSET($H$3,0,0,'Données projet'!$E$10+1,1))</f>
        <v>542.51810435067659</v>
      </c>
      <c r="AO79" s="59">
        <f t="shared" si="90"/>
        <v>325.7263575945085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28.756666479757943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28.756666479757943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</v>
      </c>
      <c r="BE79" s="13">
        <f>BD79*VLOOKUP('Données projet'!$B$11,Paramètres!$A$1:$I$89,3,0)*VLOOKUP('Données projet'!$B$11,Paramètres!$A$1:$I$89,5,0)</f>
        <v>263.47775999999999</v>
      </c>
      <c r="BF79" s="13">
        <f t="shared" si="91"/>
        <v>63.46312159763346</v>
      </c>
      <c r="BG79" s="20">
        <f t="shared" si="61"/>
        <v>569.42203544921153</v>
      </c>
      <c r="BH79" s="59">
        <f t="shared" si="62"/>
        <v>838.51161983006091</v>
      </c>
      <c r="BI79" s="59">
        <f ca="1">AVERAGE(OFFSET($BH$3,0,0,'Données projet'!$E$11+1,1))-AVERAGE(OFFSET($H$3,0,0,'Données projet'!$E$11+1,1))</f>
        <v>492.39485179035256</v>
      </c>
      <c r="BJ79" s="59">
        <f t="shared" si="92"/>
        <v>297.32483725004124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25.659794705014772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25.659794705014772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4.5999999999999996</v>
      </c>
      <c r="BY79" s="12">
        <f>IF('Données projet'!$A$114&gt;35,BY78+BX79-CG78,IF(A79&lt;'Données projet'!$A$114,$BV$205^A79,IF(A79='Données projet'!$A$114,'Données projet'!$B$114,BY78+BX79-CG78)))</f>
        <v>173.6</v>
      </c>
      <c r="BZ79" s="13">
        <f>BY79*VLOOKUP('Données projet'!$B$12,Paramètres!$A$1:$I$89,3,0)*VLOOKUP('Données projet'!$B$12,Paramètres!$A$1:$I$89,5,0)</f>
        <v>165.19776000000002</v>
      </c>
      <c r="CA79" s="13">
        <f t="shared" si="93"/>
        <v>42.012694447196324</v>
      </c>
      <c r="CB79" s="20">
        <f t="shared" si="64"/>
        <v>360.8915414955336</v>
      </c>
      <c r="CC79" s="59">
        <f t="shared" si="65"/>
        <v>629.98112587638298</v>
      </c>
      <c r="CD79" s="59">
        <f ca="1">AVERAGE(OFFSET($CC$3,0,0,'Données projet'!$E$12+1,1))-AVERAGE(OFFSET($H$3,0,0,'Données projet'!$E$12+1,1))</f>
        <v>260.51631161522039</v>
      </c>
      <c r="CE79" s="59">
        <f t="shared" si="94"/>
        <v>171.3469666102674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12.091458231865898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12.091458231865898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projet'!$B$13,Paramètres!$A$1:$I$89,3,0)*VLOOKUP('Données projet'!$B$13,Paramètres!$A$1:$I$89,5,0)</f>
        <v>3.3992364478763198E-14</v>
      </c>
      <c r="CV79" s="13">
        <f t="shared" si="95"/>
        <v>5.790027782444094E-13</v>
      </c>
      <c r="CW79" s="20">
        <f t="shared" si="67"/>
        <v>1.0676332069095257E-12</v>
      </c>
      <c r="CX79" s="59">
        <f t="shared" si="68"/>
        <v>269.08958438085051</v>
      </c>
      <c r="CY79" s="59">
        <f ca="1">AVERAGE(OFFSET($CX$3,0,0,'Données projet'!$E$13+1,1))-AVERAGE(OFFSET($H$3,0,0,'Données projet'!$E$13+1,1))</f>
        <v>301.2688576786212</v>
      </c>
      <c r="CZ79" s="59">
        <f t="shared" si="96"/>
        <v>417.62172165132927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88.370295836292712</v>
      </c>
      <c r="DG79" s="21">
        <f>EXP(-LN(2)/25)*DG78+(1-EXP(-LN(2)/25))/(LN(2)/25)*Calculateur!DB79*Calculateur!DD79*VLOOKUP('Données projet'!$B$13,Paramètres!$A$1:$I$89,3,0)*0.475*44/12</f>
        <v>25.842218392366679</v>
      </c>
      <c r="DH79" s="21">
        <f>EXP(-LN(2)/2)*DH78+(1-EXP(-LN(2)/2))/(LN(2)/2)*DB79*DE79*VLOOKUP('Données projet'!$B$13,Paramètres!$A$1:$I$89,3,0)*0.475*44/12</f>
        <v>5.1032410169177611E-3</v>
      </c>
      <c r="DI79" s="22">
        <f t="shared" si="69"/>
        <v>114.2176174696763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167.82976403567059</v>
      </c>
      <c r="T80" s="59">
        <f t="shared" si="88"/>
        <v>232.70925470547317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52.239832588803417</v>
      </c>
      <c r="AA80" s="21">
        <f>EXP(-LN(2)/25)*AA79+(1-EXP(-LN(2)/25))/(LN(2)/25)*Calculateur!V80*Calculateur!X80*VLOOKUP('Données projet'!$B$9,Paramètres!$A$1:$I$89,3,0)*0.475*44/12</f>
        <v>22.034225141712664</v>
      </c>
      <c r="AB80" s="21">
        <f>EXP(-LN(2)/2)*AB79+(1-EXP(-LN(2)/2))/(LN(2)/2)*V80*Y80*VLOOKUP('Données projet'!$B$9,Paramètres!$A$1:$I$89,3,0)*0.475*44/12</f>
        <v>7.9652974728910045E-2</v>
      </c>
      <c r="AC80" s="22">
        <f t="shared" si="57"/>
        <v>74.353710705244993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302.57759999999996</v>
      </c>
      <c r="AK80" s="13">
        <f t="shared" si="89"/>
        <v>71.716558091076294</v>
      </c>
      <c r="AL80" s="20">
        <f t="shared" si="58"/>
        <v>651.89565867529109</v>
      </c>
      <c r="AM80" s="59">
        <f t="shared" si="59"/>
        <v>921.40581789956332</v>
      </c>
      <c r="AN80" s="59">
        <f ca="1">AVERAGE(OFFSET($AM$3,0,0,'Données projet'!$E$10+1,1))-AVERAGE(OFFSET($H$3,0,0,'Données projet'!$E$10+1,1))</f>
        <v>542.51810435067659</v>
      </c>
      <c r="AO80" s="59">
        <f t="shared" si="90"/>
        <v>325.7263575945085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28.192765789924529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28.192765789924529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298.39999999999998</v>
      </c>
      <c r="BE80" s="13">
        <f>BD80*VLOOKUP('Données projet'!$B$11,Paramètres!$A$1:$I$89,3,0)*VLOOKUP('Données projet'!$B$11,Paramètres!$A$1:$I$89,5,0)</f>
        <v>269.99231999999995</v>
      </c>
      <c r="BF80" s="13">
        <f t="shared" si="91"/>
        <v>64.847639395310239</v>
      </c>
      <c r="BG80" s="20">
        <f t="shared" si="61"/>
        <v>583.17959594683191</v>
      </c>
      <c r="BH80" s="59">
        <f t="shared" si="62"/>
        <v>852.68975517110425</v>
      </c>
      <c r="BI80" s="59">
        <f ca="1">AVERAGE(OFFSET($BH$3,0,0,'Données projet'!$E$11+1,1))-AVERAGE(OFFSET($H$3,0,0,'Données projet'!$E$11+1,1))</f>
        <v>492.39485179035256</v>
      </c>
      <c r="BJ80" s="59">
        <f t="shared" si="92"/>
        <v>297.32483725004124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25.156621781778799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25.156621781778799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4.5999999999999996</v>
      </c>
      <c r="BY80" s="12">
        <f>IF('Données projet'!$A$114&gt;35,BY79+BX80-CG79,IF(A80&lt;'Données projet'!$A$114,$BV$205^A80,IF(A80='Données projet'!$A$114,'Données projet'!$B$114,BY79+BX80-CG79)))</f>
        <v>178.2</v>
      </c>
      <c r="BZ80" s="13">
        <f>BY80*VLOOKUP('Données projet'!$B$12,Paramètres!$A$1:$I$89,3,0)*VLOOKUP('Données projet'!$B$12,Paramètres!$A$1:$I$89,5,0)</f>
        <v>169.57511999999997</v>
      </c>
      <c r="CA80" s="13">
        <f t="shared" si="93"/>
        <v>42.994850744606339</v>
      </c>
      <c r="CB80" s="20">
        <f t="shared" si="64"/>
        <v>370.22603238018934</v>
      </c>
      <c r="CC80" s="59">
        <f t="shared" si="65"/>
        <v>639.73619160446162</v>
      </c>
      <c r="CD80" s="59">
        <f ca="1">AVERAGE(OFFSET($CC$3,0,0,'Données projet'!$E$12+1,1))-AVERAGE(OFFSET($H$3,0,0,'Données projet'!$E$12+1,1))</f>
        <v>260.51631161522039</v>
      </c>
      <c r="CE80" s="59">
        <f t="shared" si="94"/>
        <v>171.3469666102674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11.854352111000303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11.854352111000303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projet'!$B$13,Paramètres!$A$1:$I$89,3,0)*VLOOKUP('Données projet'!$B$13,Paramètres!$A$1:$I$89,5,0)</f>
        <v>3.3992364478763198E-14</v>
      </c>
      <c r="CV80" s="13">
        <f t="shared" si="95"/>
        <v>5.790027782444094E-13</v>
      </c>
      <c r="CW80" s="20">
        <f t="shared" si="67"/>
        <v>1.0676332069095257E-12</v>
      </c>
      <c r="CX80" s="59">
        <f t="shared" si="68"/>
        <v>269.51015922427337</v>
      </c>
      <c r="CY80" s="59">
        <f ca="1">AVERAGE(OFFSET($CX$3,0,0,'Données projet'!$E$13+1,1))-AVERAGE(OFFSET($H$3,0,0,'Données projet'!$E$13+1,1))</f>
        <v>301.2688576786212</v>
      </c>
      <c r="CZ80" s="59">
        <f t="shared" si="96"/>
        <v>417.62172165132927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86.63740823550124</v>
      </c>
      <c r="DG80" s="21">
        <f>EXP(-LN(2)/25)*DG79+(1-EXP(-LN(2)/25))/(LN(2)/25)*Calculateur!DB80*Calculateur!DD80*VLOOKUP('Données projet'!$B$13,Paramètres!$A$1:$I$89,3,0)*0.475*44/12</f>
        <v>25.13556157144421</v>
      </c>
      <c r="DH80" s="21">
        <f>EXP(-LN(2)/2)*DH79+(1-EXP(-LN(2)/2))/(LN(2)/2)*DB80*DE80*VLOOKUP('Données projet'!$B$13,Paramètres!$A$1:$I$89,3,0)*0.475*44/12</f>
        <v>3.6085363290918816E-3</v>
      </c>
      <c r="DI80" s="22">
        <f t="shared" si="69"/>
        <v>111.77657834327455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167.82976403567059</v>
      </c>
      <c r="T81" s="59">
        <f t="shared" si="88"/>
        <v>232.70925470547317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51.215441334888638</v>
      </c>
      <c r="AA81" s="21">
        <f>EXP(-LN(2)/25)*AA80+(1-EXP(-LN(2)/25))/(LN(2)/25)*Calculateur!V81*Calculateur!X81*VLOOKUP('Données projet'!$B$9,Paramètres!$A$1:$I$89,3,0)*0.475*44/12</f>
        <v>21.43169809648299</v>
      </c>
      <c r="AB81" s="21">
        <f>EXP(-LN(2)/2)*AB80+(1-EXP(-LN(2)/2))/(LN(2)/2)*V81*Y81*VLOOKUP('Données projet'!$B$9,Paramètres!$A$1:$I$89,3,0)*0.475*44/12</f>
        <v>5.6323158572492996E-2</v>
      </c>
      <c r="AC81" s="22">
        <f t="shared" si="57"/>
        <v>72.703462589944124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309.8784</v>
      </c>
      <c r="AK81" s="13">
        <f t="shared" si="89"/>
        <v>73.243434672131556</v>
      </c>
      <c r="AL81" s="20">
        <f t="shared" si="58"/>
        <v>667.27052872062904</v>
      </c>
      <c r="AM81" s="59">
        <f t="shared" si="59"/>
        <v>937.19396675505527</v>
      </c>
      <c r="AN81" s="59">
        <f ca="1">AVERAGE(OFFSET($AM$3,0,0,'Données projet'!$E$10+1,1))-AVERAGE(OFFSET($H$3,0,0,'Données projet'!$E$10+1,1))</f>
        <v>542.51810435067659</v>
      </c>
      <c r="AO81" s="59">
        <f t="shared" si="90"/>
        <v>325.7263575945085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27.639922848673287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27.639922848673287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305.59999999999997</v>
      </c>
      <c r="BE81" s="13">
        <f>BD81*VLOOKUP('Données projet'!$B$11,Paramètres!$A$1:$I$89,3,0)*VLOOKUP('Données projet'!$B$11,Paramètres!$A$1:$I$89,5,0)</f>
        <v>276.50687999999997</v>
      </c>
      <c r="BF81" s="13">
        <f t="shared" si="91"/>
        <v>66.228273722513677</v>
      </c>
      <c r="BG81" s="20">
        <f t="shared" si="61"/>
        <v>596.93039273337797</v>
      </c>
      <c r="BH81" s="59">
        <f t="shared" si="62"/>
        <v>866.8538307678042</v>
      </c>
      <c r="BI81" s="59">
        <f ca="1">AVERAGE(OFFSET($BH$3,0,0,'Données projet'!$E$11+1,1))-AVERAGE(OFFSET($H$3,0,0,'Données projet'!$E$11+1,1))</f>
        <v>492.39485179035256</v>
      </c>
      <c r="BJ81" s="59">
        <f t="shared" si="92"/>
        <v>297.32483725004124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24.663315772662308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24.663315772662308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4.5999999999999996</v>
      </c>
      <c r="BY81" s="12">
        <f>IF('Données projet'!$A$114&gt;35,BY80+BX81-CG80,IF(A81&lt;'Données projet'!$A$114,$BV$205^A81,IF(A81='Données projet'!$A$114,'Données projet'!$B$114,BY80+BX81-CG80)))</f>
        <v>182.79999999999998</v>
      </c>
      <c r="BZ81" s="13">
        <f>BY81*VLOOKUP('Données projet'!$B$12,Paramètres!$A$1:$I$89,3,0)*VLOOKUP('Données projet'!$B$12,Paramètres!$A$1:$I$89,5,0)</f>
        <v>173.95247999999998</v>
      </c>
      <c r="CA81" s="13">
        <f t="shared" si="93"/>
        <v>43.97406002672421</v>
      </c>
      <c r="CB81" s="20">
        <f t="shared" si="64"/>
        <v>379.55539054654463</v>
      </c>
      <c r="CC81" s="59">
        <f t="shared" si="65"/>
        <v>649.47882858097091</v>
      </c>
      <c r="CD81" s="59">
        <f ca="1">AVERAGE(OFFSET($CC$3,0,0,'Données projet'!$E$12+1,1))-AVERAGE(OFFSET($H$3,0,0,'Données projet'!$E$12+1,1))</f>
        <v>260.51631161522039</v>
      </c>
      <c r="CE81" s="59">
        <f t="shared" si="94"/>
        <v>171.3469666102674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11.621895496544427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11.621895496544427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projet'!$B$13,Paramètres!$A$1:$I$89,3,0)*VLOOKUP('Données projet'!$B$13,Paramètres!$A$1:$I$89,5,0)</f>
        <v>3.3992364478763198E-14</v>
      </c>
      <c r="CV81" s="13">
        <f t="shared" si="95"/>
        <v>5.790027782444094E-13</v>
      </c>
      <c r="CW81" s="20">
        <f t="shared" si="67"/>
        <v>1.0676332069095257E-12</v>
      </c>
      <c r="CX81" s="59">
        <f t="shared" si="68"/>
        <v>269.92343803442731</v>
      </c>
      <c r="CY81" s="59">
        <f ca="1">AVERAGE(OFFSET($CX$3,0,0,'Données projet'!$E$13+1,1))-AVERAGE(OFFSET($H$3,0,0,'Données projet'!$E$13+1,1))</f>
        <v>301.2688576786212</v>
      </c>
      <c r="CZ81" s="59">
        <f t="shared" si="96"/>
        <v>417.62172165132927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84.938501503604215</v>
      </c>
      <c r="DG81" s="21">
        <f>EXP(-LN(2)/25)*DG80+(1-EXP(-LN(2)/25))/(LN(2)/25)*Calculateur!DB81*Calculateur!DD81*VLOOKUP('Données projet'!$B$13,Paramètres!$A$1:$I$89,3,0)*0.475*44/12</f>
        <v>24.448228318451335</v>
      </c>
      <c r="DH81" s="21">
        <f>EXP(-LN(2)/2)*DH80+(1-EXP(-LN(2)/2))/(LN(2)/2)*DB81*DE81*VLOOKUP('Données projet'!$B$13,Paramètres!$A$1:$I$89,3,0)*0.475*44/12</f>
        <v>2.5516205084588806E-3</v>
      </c>
      <c r="DI81" s="22">
        <f t="shared" si="69"/>
        <v>109.389281442564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167.82976403567059</v>
      </c>
      <c r="T82" s="59">
        <f t="shared" si="88"/>
        <v>232.70925470547317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50.211137768646154</v>
      </c>
      <c r="AA82" s="21">
        <f>EXP(-LN(2)/25)*AA81+(1-EXP(-LN(2)/25))/(LN(2)/25)*Calculateur!V82*Calculateur!X82*VLOOKUP('Données projet'!$B$9,Paramètres!$A$1:$I$89,3,0)*0.475*44/12</f>
        <v>20.845647184990643</v>
      </c>
      <c r="AB82" s="21">
        <f>EXP(-LN(2)/2)*AB81+(1-EXP(-LN(2)/2))/(LN(2)/2)*V82*Y82*VLOOKUP('Données projet'!$B$9,Paramètres!$A$1:$I$89,3,0)*0.475*44/12</f>
        <v>3.9826487364455022E-2</v>
      </c>
      <c r="AC82" s="22">
        <f t="shared" si="57"/>
        <v>71.096611441001244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317.17919999999998</v>
      </c>
      <c r="AK82" s="13">
        <f t="shared" si="89"/>
        <v>74.766129261581426</v>
      </c>
      <c r="AL82" s="20">
        <f t="shared" si="58"/>
        <v>682.63811513058749</v>
      </c>
      <c r="AM82" s="59">
        <f t="shared" si="59"/>
        <v>952.9676625117645</v>
      </c>
      <c r="AN82" s="59">
        <f ca="1">AVERAGE(OFFSET($AM$3,0,0,'Données projet'!$E$10+1,1))-AVERAGE(OFFSET($H$3,0,0,'Données projet'!$E$10+1,1))</f>
        <v>542.51810435067659</v>
      </c>
      <c r="AO82" s="59">
        <f t="shared" si="90"/>
        <v>325.7263575945085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27.097920820299084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27.097920820299084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312.79999999999995</v>
      </c>
      <c r="BE82" s="13">
        <f>BD82*VLOOKUP('Données projet'!$B$11,Paramètres!$A$1:$I$89,3,0)*VLOOKUP('Données projet'!$B$11,Paramètres!$A$1:$I$89,5,0)</f>
        <v>283.02143999999993</v>
      </c>
      <c r="BF82" s="13">
        <f t="shared" si="91"/>
        <v>67.605126603830598</v>
      </c>
      <c r="BG82" s="20">
        <f t="shared" si="61"/>
        <v>610.67460350167141</v>
      </c>
      <c r="BH82" s="59">
        <f t="shared" si="62"/>
        <v>881.00415088284831</v>
      </c>
      <c r="BI82" s="59">
        <f ca="1">AVERAGE(OFFSET($BH$3,0,0,'Données projet'!$E$11+1,1))-AVERAGE(OFFSET($H$3,0,0,'Données projet'!$E$11+1,1))</f>
        <v>492.39485179035256</v>
      </c>
      <c r="BJ82" s="59">
        <f t="shared" si="92"/>
        <v>297.32483725004124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24.179683193497635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24.179683193497635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4.5999999999999996</v>
      </c>
      <c r="BY82" s="12">
        <f>IF('Données projet'!$A$114&gt;35,BY81+BX82-CG81,IF(A82&lt;'Données projet'!$A$114,$BV$205^A82,IF(A82='Données projet'!$A$114,'Données projet'!$B$114,BY81+BX82-CG81)))</f>
        <v>187.39999999999998</v>
      </c>
      <c r="BZ82" s="13">
        <f>BY82*VLOOKUP('Données projet'!$B$12,Paramètres!$A$1:$I$89,3,0)*VLOOKUP('Données projet'!$B$12,Paramètres!$A$1:$I$89,5,0)</f>
        <v>178.32983999999996</v>
      </c>
      <c r="CA82" s="13">
        <f t="shared" si="93"/>
        <v>44.950404981211172</v>
      </c>
      <c r="CB82" s="20">
        <f t="shared" si="64"/>
        <v>388.8797600089427</v>
      </c>
      <c r="CC82" s="59">
        <f t="shared" si="65"/>
        <v>659.20930739011965</v>
      </c>
      <c r="CD82" s="59">
        <f ca="1">AVERAGE(OFFSET($CC$3,0,0,'Données projet'!$E$12+1,1))-AVERAGE(OFFSET($H$3,0,0,'Données projet'!$E$12+1,1))</f>
        <v>260.51631161522039</v>
      </c>
      <c r="CE82" s="59">
        <f t="shared" si="94"/>
        <v>171.3469666102674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11.393997214513497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11.393997214513497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projet'!$B$13,Paramètres!$A$1:$I$89,3,0)*VLOOKUP('Données projet'!$B$13,Paramètres!$A$1:$I$89,5,0)</f>
        <v>3.3992364478763198E-14</v>
      </c>
      <c r="CV82" s="13">
        <f t="shared" si="95"/>
        <v>5.790027782444094E-13</v>
      </c>
      <c r="CW82" s="20">
        <f t="shared" si="67"/>
        <v>1.0676332069095257E-12</v>
      </c>
      <c r="CX82" s="59">
        <f t="shared" si="68"/>
        <v>270.32954738117803</v>
      </c>
      <c r="CY82" s="59">
        <f ca="1">AVERAGE(OFFSET($CX$3,0,0,'Données projet'!$E$13+1,1))-AVERAGE(OFFSET($H$3,0,0,'Données projet'!$E$13+1,1))</f>
        <v>301.2688576786212</v>
      </c>
      <c r="CZ82" s="59">
        <f t="shared" si="96"/>
        <v>417.62172165132927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83.272909296488905</v>
      </c>
      <c r="DG82" s="21">
        <f>EXP(-LN(2)/25)*DG81+(1-EXP(-LN(2)/25))/(LN(2)/25)*Calculateur!DB82*Calculateur!DD82*VLOOKUP('Données projet'!$B$13,Paramètres!$A$1:$I$89,3,0)*0.475*44/12</f>
        <v>23.779690229406832</v>
      </c>
      <c r="DH82" s="21">
        <f>EXP(-LN(2)/2)*DH81+(1-EXP(-LN(2)/2))/(LN(2)/2)*DB82*DE82*VLOOKUP('Données projet'!$B$13,Paramètres!$A$1:$I$89,3,0)*0.475*44/12</f>
        <v>1.8042681645459408E-3</v>
      </c>
      <c r="DI82" s="22">
        <f t="shared" si="69"/>
        <v>107.05440379406029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167.82976403567059</v>
      </c>
      <c r="T83" s="59">
        <f t="shared" si="88"/>
        <v>232.70925470547317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49.226527982773</v>
      </c>
      <c r="AA83" s="21">
        <f>EXP(-LN(2)/25)*AA82+(1-EXP(-LN(2)/25))/(LN(2)/25)*Calculateur!V83*Calculateur!X83*VLOOKUP('Données projet'!$B$9,Paramètres!$A$1:$I$89,3,0)*0.475*44/12</f>
        <v>20.275621866492131</v>
      </c>
      <c r="AB83" s="21">
        <f>EXP(-LN(2)/2)*AB82+(1-EXP(-LN(2)/2))/(LN(2)/2)*V83*Y83*VLOOKUP('Données projet'!$B$9,Paramètres!$A$1:$I$89,3,0)*0.475*44/12</f>
        <v>2.8161579286246498E-2</v>
      </c>
      <c r="AC83" s="22">
        <f t="shared" si="57"/>
        <v>69.530311428551371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324.47999999999996</v>
      </c>
      <c r="AK83" s="13">
        <f t="shared" si="89"/>
        <v>76.284749200165507</v>
      </c>
      <c r="AL83" s="20">
        <f t="shared" si="58"/>
        <v>697.99860485695478</v>
      </c>
      <c r="AM83" s="59">
        <f t="shared" si="59"/>
        <v>968.72721649564096</v>
      </c>
      <c r="AN83" s="59">
        <f ca="1">AVERAGE(OFFSET($AM$3,0,0,'Données projet'!$E$10+1,1))-AVERAGE(OFFSET($H$3,0,0,'Données projet'!$E$10+1,1))</f>
        <v>542.51810435067659</v>
      </c>
      <c r="AO83" s="59">
        <f t="shared" si="90"/>
        <v>325.7263575945085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34.664267995163186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34.664267995163186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319.99999999999994</v>
      </c>
      <c r="BE83" s="13">
        <f>BD83*VLOOKUP('Données projet'!$B$11,Paramètres!$A$1:$I$89,3,0)*VLOOKUP('Données projet'!$B$11,Paramètres!$A$1:$I$89,5,0)</f>
        <v>289.53599999999994</v>
      </c>
      <c r="BF83" s="13">
        <f t="shared" si="91"/>
        <v>68.97829509904436</v>
      </c>
      <c r="BG83" s="20">
        <f t="shared" si="61"/>
        <v>624.41239729750214</v>
      </c>
      <c r="BH83" s="59">
        <f t="shared" si="62"/>
        <v>895.1410089361882</v>
      </c>
      <c r="BI83" s="59">
        <f ca="1">AVERAGE(OFFSET($BH$3,0,0,'Données projet'!$E$11+1,1))-AVERAGE(OFFSET($H$3,0,0,'Données projet'!$E$11+1,1))</f>
        <v>492.39485179035256</v>
      </c>
      <c r="BJ83" s="59">
        <f t="shared" si="92"/>
        <v>297.32483725004124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30.931192980299443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30.931192980299443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192</v>
      </c>
      <c r="BW83" s="12">
        <f>VLOOKUP(A83,'Données projet'!$A$113:$I$133,9,0)</f>
        <v>4.5999999999999996</v>
      </c>
      <c r="BX83" s="12">
        <f t="array" ref="BX83">INDEX(BW:BW,MIN(IF(ISNUMBER(BW83:BW279),ROW(BW83:BW279),"")))</f>
        <v>4.5999999999999996</v>
      </c>
      <c r="BY83" s="12">
        <f>IF('Données projet'!$A$114&gt;35,BY82+BX83-CG82,IF(A83&lt;'Données projet'!$A$114,$BV$205^A83,IF(A83='Données projet'!$A$114,'Données projet'!$B$114,BY82+BX83-CG82)))</f>
        <v>191.99999999999997</v>
      </c>
      <c r="BZ83" s="13">
        <f>BY83*VLOOKUP('Données projet'!$B$12,Paramètres!$A$1:$I$89,3,0)*VLOOKUP('Données projet'!$B$12,Paramètres!$A$1:$I$89,5,0)</f>
        <v>182.70719999999997</v>
      </c>
      <c r="CA83" s="13">
        <f t="shared" si="93"/>
        <v>45.923964004932436</v>
      </c>
      <c r="CB83" s="20">
        <f t="shared" si="64"/>
        <v>398.19927730859058</v>
      </c>
      <c r="CC83" s="59">
        <f t="shared" si="65"/>
        <v>668.92788894727664</v>
      </c>
      <c r="CD83" s="59">
        <f ca="1">AVERAGE(OFFSET($CC$3,0,0,'Données projet'!$E$12+1,1))-AVERAGE(OFFSET($H$3,0,0,'Données projet'!$E$12+1,1))</f>
        <v>260.51631161522039</v>
      </c>
      <c r="CE83" s="59">
        <f t="shared" si="94"/>
        <v>171.3469666102674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14</v>
      </c>
      <c r="CH83" s="16">
        <f>IF(ISNA(VLOOKUP(A83,'Données projet'!$A$113:$I$133,5,0)),0%,VLOOKUP(A83,'Données projet'!$A$113:$I$133,5,0)*VLOOKUP('Données projet'!$B$12,Paramètres!$A$1:$I$89,7,0))</f>
        <v>0.215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14.336984374411267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14.336984374411267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projet'!$B$13,Paramètres!$A$1:$I$89,3,0)*VLOOKUP('Données projet'!$B$13,Paramètres!$A$1:$I$89,5,0)</f>
        <v>3.3992364478763198E-14</v>
      </c>
      <c r="CV83" s="13">
        <f t="shared" si="95"/>
        <v>5.790027782444094E-13</v>
      </c>
      <c r="CW83" s="20">
        <f t="shared" si="67"/>
        <v>1.0676332069095257E-12</v>
      </c>
      <c r="CX83" s="59">
        <f t="shared" si="68"/>
        <v>270.7286116386872</v>
      </c>
      <c r="CY83" s="59">
        <f ca="1">AVERAGE(OFFSET($CX$3,0,0,'Données projet'!$E$13+1,1))-AVERAGE(OFFSET($H$3,0,0,'Données projet'!$E$13+1,1))</f>
        <v>301.2688576786212</v>
      </c>
      <c r="CZ83" s="59">
        <f t="shared" si="96"/>
        <v>417.62172165132927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81.639978336644191</v>
      </c>
      <c r="DG83" s="21">
        <f>EXP(-LN(2)/25)*DG82+(1-EXP(-LN(2)/25))/(LN(2)/25)*Calculateur!DB83*Calculateur!DD83*VLOOKUP('Données projet'!$B$13,Paramètres!$A$1:$I$89,3,0)*0.475*44/12</f>
        <v>23.129433349564142</v>
      </c>
      <c r="DH83" s="21">
        <f>EXP(-LN(2)/2)*DH82+(1-EXP(-LN(2)/2))/(LN(2)/2)*DB83*DE83*VLOOKUP('Données projet'!$B$13,Paramètres!$A$1:$I$89,3,0)*0.475*44/12</f>
        <v>1.2758102542294403E-3</v>
      </c>
      <c r="DI83" s="22">
        <f t="shared" si="69"/>
        <v>104.77068749646256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167.82976403567059</v>
      </c>
      <c r="T84" s="59">
        <f t="shared" si="88"/>
        <v>232.70925470547317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48.261225794248148</v>
      </c>
      <c r="AA84" s="21">
        <f>EXP(-LN(2)/25)*AA83+(1-EXP(-LN(2)/25))/(LN(2)/25)*Calculateur!V84*Calculateur!X84*VLOOKUP('Données projet'!$B$9,Paramètres!$A$1:$I$89,3,0)*0.475*44/12</f>
        <v>19.721183920304291</v>
      </c>
      <c r="AB84" s="21">
        <f>EXP(-LN(2)/2)*AB83+(1-EXP(-LN(2)/2))/(LN(2)/2)*V84*Y84*VLOOKUP('Données projet'!$B$9,Paramètres!$A$1:$I$89,3,0)*0.475*44/12</f>
        <v>1.9913243682227511E-2</v>
      </c>
      <c r="AC84" s="22">
        <f t="shared" si="57"/>
        <v>68.002322958234657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298.59999999999997</v>
      </c>
      <c r="AJ84" s="13">
        <f>AI84*VLOOKUP('Données projet'!$B$10,Paramètres!$A$1:$I$89,3,0)*VLOOKUP('Données projet'!$B$10,Paramètres!$A$1:$I$89,5,0)</f>
        <v>302.78039999999999</v>
      </c>
      <c r="AK84" s="13">
        <f t="shared" si="89"/>
        <v>71.75902878776165</v>
      </c>
      <c r="AL84" s="20">
        <f t="shared" si="58"/>
        <v>652.32283847201813</v>
      </c>
      <c r="AM84" s="59">
        <f t="shared" si="59"/>
        <v>923.44359149551951</v>
      </c>
      <c r="AN84" s="59">
        <f ca="1">AVERAGE(OFFSET($AM$3,0,0,'Données projet'!$E$10+1,1))-AVERAGE(OFFSET($H$3,0,0,'Données projet'!$E$10+1,1))</f>
        <v>542.51810435067659</v>
      </c>
      <c r="AO84" s="59">
        <f t="shared" si="90"/>
        <v>325.7263575945085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33.984522842893803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33.984522842893803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298.59999999999997</v>
      </c>
      <c r="BE84" s="13">
        <f>BD84*VLOOKUP('Données projet'!$B$11,Paramètres!$A$1:$I$89,3,0)*VLOOKUP('Données projet'!$B$11,Paramètres!$A$1:$I$89,5,0)</f>
        <v>270.17327999999992</v>
      </c>
      <c r="BF84" s="13">
        <f t="shared" si="91"/>
        <v>64.886042303882988</v>
      </c>
      <c r="BG84" s="20">
        <f t="shared" si="61"/>
        <v>583.56165301259614</v>
      </c>
      <c r="BH84" s="59">
        <f t="shared" si="62"/>
        <v>854.68240603609752</v>
      </c>
      <c r="BI84" s="59">
        <f ca="1">AVERAGE(OFFSET($BH$3,0,0,'Données projet'!$E$11+1,1))-AVERAGE(OFFSET($H$3,0,0,'Données projet'!$E$11+1,1))</f>
        <v>492.39485179035256</v>
      </c>
      <c r="BJ84" s="59">
        <f t="shared" si="92"/>
        <v>297.32483725004124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30.324651152120609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30.324651152120609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4.4000000000000004</v>
      </c>
      <c r="BY84" s="12">
        <f>IF('Données projet'!$A$114&gt;35,BY83+BX84-CG83,IF(A84&lt;'Données projet'!$A$114,$BV$205^A84,IF(A84='Données projet'!$A$114,'Données projet'!$B$114,BY83+BX84-CG83)))</f>
        <v>182.39999999999998</v>
      </c>
      <c r="BZ84" s="13">
        <f>BY84*VLOOKUP('Données projet'!$B$12,Paramètres!$A$1:$I$89,3,0)*VLOOKUP('Données projet'!$B$12,Paramètres!$A$1:$I$89,5,0)</f>
        <v>173.57183999999998</v>
      </c>
      <c r="CA84" s="13">
        <f t="shared" si="93"/>
        <v>43.889026259091224</v>
      </c>
      <c r="CB84" s="20">
        <f t="shared" si="64"/>
        <v>378.74434206791716</v>
      </c>
      <c r="CC84" s="59">
        <f t="shared" si="65"/>
        <v>649.86509509141865</v>
      </c>
      <c r="CD84" s="59">
        <f ca="1">AVERAGE(OFFSET($CC$3,0,0,'Données projet'!$E$12+1,1))-AVERAGE(OFFSET($H$3,0,0,'Données projet'!$E$12+1,1))</f>
        <v>260.51631161522039</v>
      </c>
      <c r="CE84" s="59">
        <f t="shared" si="94"/>
        <v>171.3469666102674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14.055844855526065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14.055844855526065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3.3992364478763198E-14</v>
      </c>
      <c r="CV84" s="13">
        <f t="shared" si="95"/>
        <v>5.790027782444094E-13</v>
      </c>
      <c r="CW84" s="20">
        <f t="shared" si="67"/>
        <v>1.0676332069095257E-12</v>
      </c>
      <c r="CX84" s="59">
        <f t="shared" si="68"/>
        <v>271.12075302350252</v>
      </c>
      <c r="CY84" s="59">
        <f ca="1">AVERAGE(OFFSET($CX$3,0,0,'Données projet'!$E$13+1,1))-AVERAGE(OFFSET($H$3,0,0,'Données projet'!$E$13+1,1))</f>
        <v>301.2688576786212</v>
      </c>
      <c r="CZ84" s="59">
        <f t="shared" si="96"/>
        <v>417.62172165132927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80.039068156932487</v>
      </c>
      <c r="DG84" s="21">
        <f>EXP(-LN(2)/25)*DG83+(1-EXP(-LN(2)/25))/(LN(2)/25)*Calculateur!DB84*Calculateur!DD84*VLOOKUP('Données projet'!$B$13,Paramètres!$A$1:$I$89,3,0)*0.475*44/12</f>
        <v>22.496957778296274</v>
      </c>
      <c r="DH84" s="21">
        <f>EXP(-LN(2)/2)*DH83+(1-EXP(-LN(2)/2))/(LN(2)/2)*DB84*DE84*VLOOKUP('Données projet'!$B$13,Paramètres!$A$1:$I$89,3,0)*0.475*44/12</f>
        <v>9.0213408227297041E-4</v>
      </c>
      <c r="DI84" s="22">
        <f t="shared" si="69"/>
        <v>102.53692806931103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167.82976403567059</v>
      </c>
      <c r="T85" s="59">
        <f t="shared" si="88"/>
        <v>232.70925470547317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47.314852592864071</v>
      </c>
      <c r="AA85" s="21">
        <f>EXP(-LN(2)/25)*AA84+(1-EXP(-LN(2)/25))/(LN(2)/25)*Calculateur!V85*Calculateur!X85*VLOOKUP('Données projet'!$B$9,Paramètres!$A$1:$I$89,3,0)*0.475*44/12</f>
        <v>19.181907108911581</v>
      </c>
      <c r="AB85" s="21">
        <f>EXP(-LN(2)/2)*AB84+(1-EXP(-LN(2)/2))/(LN(2)/2)*V85*Y85*VLOOKUP('Données projet'!$B$9,Paramètres!$A$1:$I$89,3,0)*0.475*44/12</f>
        <v>1.4080789643123249E-2</v>
      </c>
      <c r="AC85" s="22">
        <f t="shared" si="57"/>
        <v>66.510840491418776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305.2</v>
      </c>
      <c r="AJ85" s="13">
        <f>AI85*VLOOKUP('Données projet'!$B$10,Paramètres!$A$1:$I$89,3,0)*VLOOKUP('Données projet'!$B$10,Paramètres!$A$1:$I$89,5,0)</f>
        <v>309.47280000000001</v>
      </c>
      <c r="AK85" s="13">
        <f t="shared" si="89"/>
        <v>73.15871892427802</v>
      </c>
      <c r="AL85" s="20">
        <f t="shared" si="58"/>
        <v>666.41656212645091</v>
      </c>
      <c r="AM85" s="59">
        <f t="shared" si="59"/>
        <v>937.92265375843795</v>
      </c>
      <c r="AN85" s="59">
        <f ca="1">AVERAGE(OFFSET($AM$3,0,0,'Données projet'!$E$10+1,1))-AVERAGE(OFFSET($H$3,0,0,'Données projet'!$E$10+1,1))</f>
        <v>542.51810435067659</v>
      </c>
      <c r="AO85" s="59">
        <f t="shared" si="90"/>
        <v>325.7263575945085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33.318107078456819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33.318107078456819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305.2</v>
      </c>
      <c r="BE85" s="13">
        <f>BD85*VLOOKUP('Données projet'!$B$11,Paramètres!$A$1:$I$89,3,0)*VLOOKUP('Données projet'!$B$11,Paramètres!$A$1:$I$89,5,0)</f>
        <v>276.14495999999997</v>
      </c>
      <c r="BF85" s="13">
        <f t="shared" si="91"/>
        <v>66.151671938851194</v>
      </c>
      <c r="BG85" s="20">
        <f t="shared" si="61"/>
        <v>596.16663396016577</v>
      </c>
      <c r="BH85" s="59">
        <f t="shared" si="62"/>
        <v>867.6727255921528</v>
      </c>
      <c r="BI85" s="59">
        <f ca="1">AVERAGE(OFFSET($BH$3,0,0,'Données projet'!$E$11+1,1))-AVERAGE(OFFSET($H$3,0,0,'Données projet'!$E$11+1,1))</f>
        <v>492.39485179035256</v>
      </c>
      <c r="BJ85" s="59">
        <f t="shared" si="92"/>
        <v>297.32483725004124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29.730003239238378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29.730003239238378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4.4000000000000004</v>
      </c>
      <c r="BY85" s="12">
        <f>IF('Données projet'!$A$114&gt;35,BY84+BX85-CG84,IF(A85&lt;'Données projet'!$A$114,$BV$205^A85,IF(A85='Données projet'!$A$114,'Données projet'!$B$114,BY84+BX85-CG84)))</f>
        <v>186.79999999999998</v>
      </c>
      <c r="BZ85" s="13">
        <f>BY85*VLOOKUP('Données projet'!$B$12,Paramètres!$A$1:$I$89,3,0)*VLOOKUP('Données projet'!$B$12,Paramètres!$A$1:$I$89,5,0)</f>
        <v>177.75888</v>
      </c>
      <c r="CA85" s="13">
        <f t="shared" si="93"/>
        <v>44.823215265943972</v>
      </c>
      <c r="CB85" s="20">
        <f t="shared" si="64"/>
        <v>387.66381592151902</v>
      </c>
      <c r="CC85" s="59">
        <f t="shared" si="65"/>
        <v>659.16990755350605</v>
      </c>
      <c r="CD85" s="59">
        <f ca="1">AVERAGE(OFFSET($CC$3,0,0,'Données projet'!$E$12+1,1))-AVERAGE(OFFSET($H$3,0,0,'Données projet'!$E$12+1,1))</f>
        <v>260.51631161522039</v>
      </c>
      <c r="CE85" s="59">
        <f t="shared" si="94"/>
        <v>171.3469666102674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13.780218311128026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13.780218311128026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3.3992364478763198E-14</v>
      </c>
      <c r="CV85" s="13">
        <f t="shared" si="95"/>
        <v>5.790027782444094E-13</v>
      </c>
      <c r="CW85" s="20">
        <f t="shared" si="67"/>
        <v>1.0676332069095257E-12</v>
      </c>
      <c r="CX85" s="59">
        <f t="shared" si="68"/>
        <v>271.50609163198811</v>
      </c>
      <c r="CY85" s="59">
        <f ca="1">AVERAGE(OFFSET($CX$3,0,0,'Données projet'!$E$13+1,1))-AVERAGE(OFFSET($H$3,0,0,'Données projet'!$E$13+1,1))</f>
        <v>301.2688576786212</v>
      </c>
      <c r="CZ85" s="59">
        <f t="shared" si="96"/>
        <v>417.62172165132927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78.469550849386138</v>
      </c>
      <c r="DG85" s="21">
        <f>EXP(-LN(2)/25)*DG84+(1-EXP(-LN(2)/25))/(LN(2)/25)*Calculateur!DB85*Calculateur!DD85*VLOOKUP('Données projet'!$B$13,Paramètres!$A$1:$I$89,3,0)*0.475*44/12</f>
        <v>21.881777284785169</v>
      </c>
      <c r="DH85" s="21">
        <f>EXP(-LN(2)/2)*DH84+(1-EXP(-LN(2)/2))/(LN(2)/2)*DB85*DE85*VLOOKUP('Données projet'!$B$13,Paramètres!$A$1:$I$89,3,0)*0.475*44/12</f>
        <v>6.3790512711472014E-4</v>
      </c>
      <c r="DI85" s="22">
        <f t="shared" si="69"/>
        <v>100.35196603929843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167.82976403567059</v>
      </c>
      <c r="T86" s="59">
        <f t="shared" si="88"/>
        <v>232.70925470547317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46.387037192728478</v>
      </c>
      <c r="AA86" s="21">
        <f>EXP(-LN(2)/25)*AA85+(1-EXP(-LN(2)/25))/(LN(2)/25)*Calculateur!V86*Calculateur!X86*VLOOKUP('Données projet'!$B$9,Paramètres!$A$1:$I$89,3,0)*0.475*44/12</f>
        <v>18.65737685028574</v>
      </c>
      <c r="AB86" s="21">
        <f>EXP(-LN(2)/2)*AB85+(1-EXP(-LN(2)/2))/(LN(2)/2)*V86*Y86*VLOOKUP('Données projet'!$B$9,Paramètres!$A$1:$I$89,3,0)*0.475*44/12</f>
        <v>9.9566218411137556E-3</v>
      </c>
      <c r="AC86" s="22">
        <f t="shared" si="57"/>
        <v>65.054370664855327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311.8</v>
      </c>
      <c r="AJ86" s="13">
        <f>AI86*VLOOKUP('Données projet'!$B$10,Paramètres!$A$1:$I$89,3,0)*VLOOKUP('Données projet'!$B$10,Paramètres!$A$1:$I$89,5,0)</f>
        <v>316.16520000000003</v>
      </c>
      <c r="AK86" s="13">
        <f t="shared" si="89"/>
        <v>74.554889944758472</v>
      </c>
      <c r="AL86" s="20">
        <f t="shared" si="58"/>
        <v>680.50415665378762</v>
      </c>
      <c r="AM86" s="59">
        <f t="shared" si="59"/>
        <v>952.3889021308911</v>
      </c>
      <c r="AN86" s="59">
        <f ca="1">AVERAGE(OFFSET($AM$3,0,0,'Données projet'!$E$10+1,1))-AVERAGE(OFFSET($H$3,0,0,'Données projet'!$E$10+1,1))</f>
        <v>542.51810435067659</v>
      </c>
      <c r="AO86" s="59">
        <f t="shared" si="90"/>
        <v>325.7263575945085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32.664759320686962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32.664759320686962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311.8</v>
      </c>
      <c r="BE86" s="13">
        <f>BD86*VLOOKUP('Données projet'!$B$11,Paramètres!$A$1:$I$89,3,0)*VLOOKUP('Données projet'!$B$11,Paramètres!$A$1:$I$89,5,0)</f>
        <v>282.11664000000002</v>
      </c>
      <c r="BF86" s="13">
        <f t="shared" si="91"/>
        <v>67.414119514142243</v>
      </c>
      <c r="BG86" s="20">
        <f t="shared" si="61"/>
        <v>608.76607282046439</v>
      </c>
      <c r="BH86" s="59">
        <f t="shared" si="62"/>
        <v>880.65081829756787</v>
      </c>
      <c r="BI86" s="59">
        <f ca="1">AVERAGE(OFFSET($BH$3,0,0,'Données projet'!$E$11+1,1))-AVERAGE(OFFSET($H$3,0,0,'Données projet'!$E$11+1,1))</f>
        <v>492.39485179035256</v>
      </c>
      <c r="BJ86" s="59">
        <f t="shared" si="92"/>
        <v>297.32483725004124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29.147016009228356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29.147016009228356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4.4000000000000004</v>
      </c>
      <c r="BY86" s="12">
        <f>IF('Données projet'!$A$114&gt;35,BY85+BX86-CG85,IF(A86&lt;'Données projet'!$A$114,$BV$205^A86,IF(A86='Données projet'!$A$114,'Données projet'!$B$114,BY85+BX86-CG85)))</f>
        <v>191.2</v>
      </c>
      <c r="BZ86" s="13">
        <f>BY86*VLOOKUP('Données projet'!$B$12,Paramètres!$A$1:$I$89,3,0)*VLOOKUP('Données projet'!$B$12,Paramètres!$A$1:$I$89,5,0)</f>
        <v>181.94592</v>
      </c>
      <c r="CA86" s="13">
        <f t="shared" si="93"/>
        <v>45.754846212632849</v>
      </c>
      <c r="CB86" s="20">
        <f t="shared" si="64"/>
        <v>396.57883448700221</v>
      </c>
      <c r="CC86" s="59">
        <f t="shared" si="65"/>
        <v>668.46357996410575</v>
      </c>
      <c r="CD86" s="59">
        <f ca="1">AVERAGE(OFFSET($CC$3,0,0,'Données projet'!$E$12+1,1))-AVERAGE(OFFSET($H$3,0,0,'Données projet'!$E$12+1,1))</f>
        <v>260.51631161522039</v>
      </c>
      <c r="CE86" s="59">
        <f t="shared" si="94"/>
        <v>171.3469666102674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13.50999663515004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13.50999663515004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3.3992364478763198E-14</v>
      </c>
      <c r="CV86" s="13">
        <f t="shared" si="95"/>
        <v>5.790027782444094E-13</v>
      </c>
      <c r="CW86" s="20">
        <f t="shared" si="67"/>
        <v>1.0676332069095257E-12</v>
      </c>
      <c r="CX86" s="59">
        <f t="shared" si="68"/>
        <v>271.88474547710456</v>
      </c>
      <c r="CY86" s="59">
        <f ca="1">AVERAGE(OFFSET($CX$3,0,0,'Données projet'!$E$13+1,1))-AVERAGE(OFFSET($H$3,0,0,'Données projet'!$E$13+1,1))</f>
        <v>301.2688576786212</v>
      </c>
      <c r="CZ86" s="59">
        <f t="shared" si="96"/>
        <v>417.62172165132927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76.930810818929743</v>
      </c>
      <c r="DG86" s="21">
        <f>EXP(-LN(2)/25)*DG85+(1-EXP(-LN(2)/25))/(LN(2)/25)*Calculateur!DB86*Calculateur!DD86*VLOOKUP('Données projet'!$B$13,Paramètres!$A$1:$I$89,3,0)*0.475*44/12</f>
        <v>21.283418934220062</v>
      </c>
      <c r="DH86" s="21">
        <f>EXP(-LN(2)/2)*DH85+(1-EXP(-LN(2)/2))/(LN(2)/2)*DB86*DE86*VLOOKUP('Données projet'!$B$13,Paramètres!$A$1:$I$89,3,0)*0.475*44/12</f>
        <v>4.5106704113648521E-4</v>
      </c>
      <c r="DI86" s="22">
        <f t="shared" si="69"/>
        <v>98.214680820190949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167.82976403567059</v>
      </c>
      <c r="T87" s="59">
        <f t="shared" si="88"/>
        <v>232.70925470547317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45.477415686678029</v>
      </c>
      <c r="AA87" s="21">
        <f>EXP(-LN(2)/25)*AA86+(1-EXP(-LN(2)/25))/(LN(2)/25)*Calculateur!V87*Calculateur!X87*VLOOKUP('Données projet'!$B$9,Paramètres!$A$1:$I$89,3,0)*0.475*44/12</f>
        <v>18.14718989916587</v>
      </c>
      <c r="AB87" s="21">
        <f>EXP(-LN(2)/2)*AB86+(1-EXP(-LN(2)/2))/(LN(2)/2)*V87*Y87*VLOOKUP('Données projet'!$B$9,Paramètres!$A$1:$I$89,3,0)*0.475*44/12</f>
        <v>7.0403948215616245E-3</v>
      </c>
      <c r="AC87" s="22">
        <f t="shared" si="57"/>
        <v>63.631645980665454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318.40000000000003</v>
      </c>
      <c r="AJ87" s="13">
        <f>AI87*VLOOKUP('Données projet'!$B$10,Paramètres!$A$1:$I$89,3,0)*VLOOKUP('Données projet'!$B$10,Paramètres!$A$1:$I$89,5,0)</f>
        <v>322.85760000000005</v>
      </c>
      <c r="AK87" s="13">
        <f t="shared" si="89"/>
        <v>75.947624920658441</v>
      </c>
      <c r="AL87" s="20">
        <f t="shared" si="58"/>
        <v>694.58576673681353</v>
      </c>
      <c r="AM87" s="59">
        <f t="shared" si="59"/>
        <v>966.84259726136384</v>
      </c>
      <c r="AN87" s="59">
        <f ca="1">AVERAGE(OFFSET($AM$3,0,0,'Données projet'!$E$10+1,1))-AVERAGE(OFFSET($H$3,0,0,'Données projet'!$E$10+1,1))</f>
        <v>542.51810435067659</v>
      </c>
      <c r="AO87" s="59">
        <f t="shared" si="90"/>
        <v>325.7263575945085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32.024223313944191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32.024223313944191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318.40000000000003</v>
      </c>
      <c r="BE87" s="13">
        <f>BD87*VLOOKUP('Données projet'!$B$11,Paramètres!$A$1:$I$89,3,0)*VLOOKUP('Données projet'!$B$11,Paramètres!$A$1:$I$89,5,0)</f>
        <v>288.08832000000001</v>
      </c>
      <c r="BF87" s="13">
        <f t="shared" si="91"/>
        <v>68.673460144735557</v>
      </c>
      <c r="BG87" s="20">
        <f t="shared" si="61"/>
        <v>621.36010041874772</v>
      </c>
      <c r="BH87" s="59">
        <f t="shared" si="62"/>
        <v>893.61693094329803</v>
      </c>
      <c r="BI87" s="59">
        <f ca="1">AVERAGE(OFFSET($BH$3,0,0,'Données projet'!$E$11+1,1))-AVERAGE(OFFSET($H$3,0,0,'Données projet'!$E$11+1,1))</f>
        <v>492.39485179035256</v>
      </c>
      <c r="BJ87" s="59">
        <f t="shared" si="92"/>
        <v>297.32483725004124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28.57546080321173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28.57546080321173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4.4000000000000004</v>
      </c>
      <c r="BY87" s="12">
        <f>IF('Données projet'!$A$114&gt;35,BY86+BX87-CG86,IF(A87&lt;'Données projet'!$A$114,$BV$205^A87,IF(A87='Données projet'!$A$114,'Données projet'!$B$114,BY86+BX87-CG86)))</f>
        <v>195.6</v>
      </c>
      <c r="BZ87" s="13">
        <f>BY87*VLOOKUP('Données projet'!$B$12,Paramètres!$A$1:$I$89,3,0)*VLOOKUP('Données projet'!$B$12,Paramètres!$A$1:$I$89,5,0)</f>
        <v>186.13296</v>
      </c>
      <c r="CA87" s="13">
        <f t="shared" si="93"/>
        <v>46.683984742595676</v>
      </c>
      <c r="CB87" s="20">
        <f t="shared" si="64"/>
        <v>405.48951209335405</v>
      </c>
      <c r="CC87" s="59">
        <f t="shared" si="65"/>
        <v>677.74634261790436</v>
      </c>
      <c r="CD87" s="59">
        <f ca="1">AVERAGE(OFFSET($CC$3,0,0,'Données projet'!$E$12+1,1))-AVERAGE(OFFSET($H$3,0,0,'Données projet'!$E$12+1,1))</f>
        <v>260.51631161522039</v>
      </c>
      <c r="CE87" s="59">
        <f t="shared" si="94"/>
        <v>171.3469666102674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13.245073841419035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13.245073841419035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3.3992364478763198E-14</v>
      </c>
      <c r="CV87" s="13">
        <f t="shared" si="95"/>
        <v>5.790027782444094E-13</v>
      </c>
      <c r="CW87" s="20">
        <f t="shared" si="67"/>
        <v>1.0676332069095257E-12</v>
      </c>
      <c r="CX87" s="59">
        <f t="shared" si="68"/>
        <v>272.25683052455139</v>
      </c>
      <c r="CY87" s="59">
        <f ca="1">AVERAGE(OFFSET($CX$3,0,0,'Données projet'!$E$13+1,1))-AVERAGE(OFFSET($H$3,0,0,'Données projet'!$E$13+1,1))</f>
        <v>301.2688576786212</v>
      </c>
      <c r="CZ87" s="59">
        <f t="shared" si="96"/>
        <v>417.62172165132927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75.422244541931846</v>
      </c>
      <c r="DG87" s="21">
        <f>EXP(-LN(2)/25)*DG86+(1-EXP(-LN(2)/25))/(LN(2)/25)*Calculateur!DB87*Calculateur!DD87*VLOOKUP('Données projet'!$B$13,Paramètres!$A$1:$I$89,3,0)*0.475*44/12</f>
        <v>20.701422724217458</v>
      </c>
      <c r="DH87" s="21">
        <f>EXP(-LN(2)/2)*DH86+(1-EXP(-LN(2)/2))/(LN(2)/2)*DB87*DE87*VLOOKUP('Données projet'!$B$13,Paramètres!$A$1:$I$89,3,0)*0.475*44/12</f>
        <v>3.1895256355736007E-4</v>
      </c>
      <c r="DI87" s="22">
        <f t="shared" si="69"/>
        <v>96.123986218712872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167.82976403567059</v>
      </c>
      <c r="T88" s="59">
        <f t="shared" si="88"/>
        <v>232.70925470547317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44.585631303546897</v>
      </c>
      <c r="AA88" s="21">
        <f>EXP(-LN(2)/25)*AA87+(1-EXP(-LN(2)/25))/(LN(2)/25)*Calculateur!V88*Calculateur!X88*VLOOKUP('Données projet'!$B$9,Paramètres!$A$1:$I$89,3,0)*0.475*44/12</f>
        <v>17.650954037053939</v>
      </c>
      <c r="AB88" s="21">
        <f>EXP(-LN(2)/2)*AB87+(1-EXP(-LN(2)/2))/(LN(2)/2)*V88*Y88*VLOOKUP('Données projet'!$B$9,Paramètres!$A$1:$I$89,3,0)*0.475*44/12</f>
        <v>4.9783109205568778E-3</v>
      </c>
      <c r="AC88" s="22">
        <f t="shared" si="57"/>
        <v>62.241563651521396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325.00000000000006</v>
      </c>
      <c r="AJ88" s="13">
        <f>AI88*VLOOKUP('Données projet'!$B$10,Paramètres!$A$1:$I$89,3,0)*VLOOKUP('Données projet'!$B$10,Paramètres!$A$1:$I$89,5,0)</f>
        <v>329.55000000000013</v>
      </c>
      <c r="AK88" s="13">
        <f t="shared" si="89"/>
        <v>77.337003282690645</v>
      </c>
      <c r="AL88" s="20">
        <f t="shared" si="58"/>
        <v>708.661530717353</v>
      </c>
      <c r="AM88" s="59">
        <f t="shared" si="59"/>
        <v>981.28399144563446</v>
      </c>
      <c r="AN88" s="59">
        <f ca="1">AVERAGE(OFFSET($AM$3,0,0,'Données projet'!$E$10+1,1))-AVERAGE(OFFSET($H$3,0,0,'Données projet'!$E$10+1,1))</f>
        <v>542.51810435067659</v>
      </c>
      <c r="AO88" s="59">
        <f t="shared" si="90"/>
        <v>325.7263575945085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31.396247827605258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31.396247827605258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325.00000000000006</v>
      </c>
      <c r="BE88" s="13">
        <f>BD88*VLOOKUP('Données projet'!$B$11,Paramètres!$A$1:$I$89,3,0)*VLOOKUP('Données projet'!$B$11,Paramètres!$A$1:$I$89,5,0)</f>
        <v>294.06000000000006</v>
      </c>
      <c r="BF88" s="13">
        <f t="shared" si="91"/>
        <v>69.929765653573369</v>
      </c>
      <c r="BG88" s="20">
        <f t="shared" si="61"/>
        <v>633.94884184664033</v>
      </c>
      <c r="BH88" s="59">
        <f t="shared" si="62"/>
        <v>906.5713025749219</v>
      </c>
      <c r="BI88" s="59">
        <f ca="1">AVERAGE(OFFSET($BH$3,0,0,'Données projet'!$E$11+1,1))-AVERAGE(OFFSET($H$3,0,0,'Données projet'!$E$11+1,1))</f>
        <v>492.39485179035256</v>
      </c>
      <c r="BJ88" s="59">
        <f t="shared" si="92"/>
        <v>297.32483725004124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28.015113446170837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28.015113446170837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200</v>
      </c>
      <c r="BW88" s="12">
        <f>VLOOKUP(A88,'Données projet'!$A$113:$I$133,9,0)</f>
        <v>4.4000000000000004</v>
      </c>
      <c r="BX88" s="12">
        <f t="array" ref="BX88">INDEX(BW:BW,MIN(IF(ISNUMBER(BW88:BW284),ROW(BW88:BW284),"")))</f>
        <v>4.4000000000000004</v>
      </c>
      <c r="BY88" s="12">
        <f>IF('Données projet'!$A$114&gt;35,BY87+BX88-CG87,IF(A88&lt;'Données projet'!$A$114,$BV$205^A88,IF(A88='Données projet'!$A$114,'Données projet'!$B$114,BY87+BX88-CG87)))</f>
        <v>200</v>
      </c>
      <c r="BZ88" s="13">
        <f>BY88*VLOOKUP('Données projet'!$B$12,Paramètres!$A$1:$I$89,3,0)*VLOOKUP('Données projet'!$B$12,Paramètres!$A$1:$I$89,5,0)</f>
        <v>190.32</v>
      </c>
      <c r="CA88" s="13">
        <f t="shared" si="93"/>
        <v>47.61069337740188</v>
      </c>
      <c r="CB88" s="20">
        <f t="shared" si="64"/>
        <v>414.39595763230818</v>
      </c>
      <c r="CC88" s="59">
        <f t="shared" si="65"/>
        <v>687.01841836058975</v>
      </c>
      <c r="CD88" s="59">
        <f ca="1">AVERAGE(OFFSET($CC$3,0,0,'Données projet'!$E$12+1,1))-AVERAGE(OFFSET($H$3,0,0,'Données projet'!$E$12+1,1))</f>
        <v>260.51631161522039</v>
      </c>
      <c r="CE88" s="59">
        <f t="shared" si="94"/>
        <v>171.3469666102674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14</v>
      </c>
      <c r="CH88" s="16">
        <f>IF(ISNA(VLOOKUP(A88,'Données projet'!$A$113:$I$133,5,0)),0%,VLOOKUP(A88,'Données projet'!$A$113:$I$133,5,0)*VLOOKUP('Données projet'!$B$12,Paramètres!$A$1:$I$89,7,0))</f>
        <v>0.25800000000000001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16.785045816832906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16.785045816832906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3.3992364478763198E-14</v>
      </c>
      <c r="CV88" s="13">
        <f t="shared" si="95"/>
        <v>5.790027782444094E-13</v>
      </c>
      <c r="CW88" s="20">
        <f t="shared" si="67"/>
        <v>1.0676332069095257E-12</v>
      </c>
      <c r="CX88" s="59">
        <f t="shared" si="68"/>
        <v>272.62246072828259</v>
      </c>
      <c r="CY88" s="59">
        <f ca="1">AVERAGE(OFFSET($CX$3,0,0,'Données projet'!$E$13+1,1))-AVERAGE(OFFSET($H$3,0,0,'Données projet'!$E$13+1,1))</f>
        <v>301.2688576786212</v>
      </c>
      <c r="CZ88" s="59">
        <f t="shared" si="96"/>
        <v>417.62172165132927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73.943260329491309</v>
      </c>
      <c r="DG88" s="21">
        <f>EXP(-LN(2)/25)*DG87+(1-EXP(-LN(2)/25))/(LN(2)/25)*Calculateur!DB88*Calculateur!DD88*VLOOKUP('Données projet'!$B$13,Paramètres!$A$1:$I$89,3,0)*0.475*44/12</f>
        <v>20.135341231183226</v>
      </c>
      <c r="DH88" s="21">
        <f>EXP(-LN(2)/2)*DH87+(1-EXP(-LN(2)/2))/(LN(2)/2)*DB88*DE88*VLOOKUP('Données projet'!$B$13,Paramètres!$A$1:$I$89,3,0)*0.475*44/12</f>
        <v>2.255335205682426E-4</v>
      </c>
      <c r="DI88" s="22">
        <f t="shared" si="69"/>
        <v>94.078827094195105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167.82976403567059</v>
      </c>
      <c r="T89" s="59">
        <f t="shared" si="88"/>
        <v>232.70925470547317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43.711334268234197</v>
      </c>
      <c r="AA89" s="21">
        <f>EXP(-LN(2)/25)*AA88+(1-EXP(-LN(2)/25))/(LN(2)/25)*Calculateur!V89*Calculateur!X89*VLOOKUP('Données projet'!$B$9,Paramètres!$A$1:$I$89,3,0)*0.475*44/12</f>
        <v>17.168287770687368</v>
      </c>
      <c r="AB89" s="21">
        <f>EXP(-LN(2)/2)*AB88+(1-EXP(-LN(2)/2))/(LN(2)/2)*V89*Y89*VLOOKUP('Données projet'!$B$9,Paramètres!$A$1:$I$89,3,0)*0.475*44/12</f>
        <v>3.5201974107808122E-3</v>
      </c>
      <c r="AC89" s="22">
        <f t="shared" si="57"/>
        <v>60.883142236332347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331.60000000000008</v>
      </c>
      <c r="AJ89" s="13">
        <f>AI89*VLOOKUP('Données projet'!$B$10,Paramètres!$A$1:$I$89,3,0)*VLOOKUP('Données projet'!$B$10,Paramètres!$A$1:$I$89,5,0)</f>
        <v>336.24240000000009</v>
      </c>
      <c r="AK89" s="13">
        <f t="shared" si="89"/>
        <v>78.723101051027399</v>
      </c>
      <c r="AL89" s="20">
        <f t="shared" si="58"/>
        <v>722.73158099720615</v>
      </c>
      <c r="AM89" s="59">
        <f t="shared" si="59"/>
        <v>995.71332906261091</v>
      </c>
      <c r="AN89" s="59">
        <f ca="1">AVERAGE(OFFSET($AM$3,0,0,'Données projet'!$E$10+1,1))-AVERAGE(OFFSET($H$3,0,0,'Données projet'!$E$10+1,1))</f>
        <v>542.51810435067659</v>
      </c>
      <c r="AO89" s="59">
        <f t="shared" si="90"/>
        <v>325.7263575945085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30.780586557526206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30.780586557526206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331.60000000000008</v>
      </c>
      <c r="BE89" s="13">
        <f>BD89*VLOOKUP('Données projet'!$B$11,Paramètres!$A$1:$I$89,3,0)*VLOOKUP('Données projet'!$B$11,Paramètres!$A$1:$I$89,5,0)</f>
        <v>300.03168000000005</v>
      </c>
      <c r="BF89" s="13">
        <f t="shared" si="91"/>
        <v>71.183104779714938</v>
      </c>
      <c r="BG89" s="20">
        <f t="shared" si="61"/>
        <v>646.53241682467024</v>
      </c>
      <c r="BH89" s="59">
        <f t="shared" si="62"/>
        <v>919.51416489007488</v>
      </c>
      <c r="BI89" s="59">
        <f ca="1">AVERAGE(OFFSET($BH$3,0,0,'Données projet'!$E$11+1,1))-AVERAGE(OFFSET($H$3,0,0,'Données projet'!$E$11+1,1))</f>
        <v>492.39485179035256</v>
      </c>
      <c r="BJ89" s="59">
        <f t="shared" si="92"/>
        <v>297.32483725004124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27.465754159023376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27.465754159023376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4.2</v>
      </c>
      <c r="BY89" s="12">
        <f>IF('Données projet'!$A$114&gt;35,BY88+BX89-CG88,IF(A89&lt;'Données projet'!$A$114,$BV$205^A89,IF(A89='Données projet'!$A$114,'Données projet'!$B$114,BY88+BX89-CG88)))</f>
        <v>190.2</v>
      </c>
      <c r="BZ89" s="13">
        <f>BY89*VLOOKUP('Données projet'!$B$12,Paramètres!$A$1:$I$89,3,0)*VLOOKUP('Données projet'!$B$12,Paramètres!$A$1:$I$89,5,0)</f>
        <v>180.99431999999999</v>
      </c>
      <c r="CA89" s="13">
        <f t="shared" si="93"/>
        <v>45.543333072238994</v>
      </c>
      <c r="CB89" s="20">
        <f t="shared" si="64"/>
        <v>394.55307910081621</v>
      </c>
      <c r="CC89" s="59">
        <f t="shared" si="65"/>
        <v>667.53482716622091</v>
      </c>
      <c r="CD89" s="59">
        <f ca="1">AVERAGE(OFFSET($CC$3,0,0,'Données projet'!$E$12+1,1))-AVERAGE(OFFSET($H$3,0,0,'Données projet'!$E$12+1,1))</f>
        <v>260.51631161522039</v>
      </c>
      <c r="CE89" s="59">
        <f t="shared" si="94"/>
        <v>171.3469666102674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16.455901306231855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16.455901306231855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3.3992364478763198E-14</v>
      </c>
      <c r="CV89" s="13">
        <f t="shared" si="95"/>
        <v>5.790027782444094E-13</v>
      </c>
      <c r="CW89" s="20">
        <f t="shared" si="67"/>
        <v>1.0676332069095257E-12</v>
      </c>
      <c r="CX89" s="59">
        <f t="shared" si="68"/>
        <v>272.98174806540578</v>
      </c>
      <c r="CY89" s="59">
        <f ca="1">AVERAGE(OFFSET($CX$3,0,0,'Données projet'!$E$13+1,1))-AVERAGE(OFFSET($H$3,0,0,'Données projet'!$E$13+1,1))</f>
        <v>301.2688576786212</v>
      </c>
      <c r="CZ89" s="59">
        <f t="shared" si="96"/>
        <v>417.62172165132927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72.49327809536544</v>
      </c>
      <c r="DG89" s="21">
        <f>EXP(-LN(2)/25)*DG88+(1-EXP(-LN(2)/25))/(LN(2)/25)*Calculateur!DB89*Calculateur!DD89*VLOOKUP('Données projet'!$B$13,Paramètres!$A$1:$I$89,3,0)*0.475*44/12</f>
        <v>19.584739266344947</v>
      </c>
      <c r="DH89" s="21">
        <f>EXP(-LN(2)/2)*DH88+(1-EXP(-LN(2)/2))/(LN(2)/2)*DB89*DE89*VLOOKUP('Données projet'!$B$13,Paramètres!$A$1:$I$89,3,0)*0.475*44/12</f>
        <v>1.5947628177868004E-4</v>
      </c>
      <c r="DI89" s="22">
        <f t="shared" si="69"/>
        <v>92.07817683799216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167.82976403567059</v>
      </c>
      <c r="T90" s="59">
        <f t="shared" si="88"/>
        <v>232.70925470547317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42.854181664515444</v>
      </c>
      <c r="AA90" s="21">
        <f>EXP(-LN(2)/25)*AA89+(1-EXP(-LN(2)/25))/(LN(2)/25)*Calculateur!V90*Calculateur!X90*VLOOKUP('Données projet'!$B$9,Paramètres!$A$1:$I$89,3,0)*0.475*44/12</f>
        <v>16.698820038756907</v>
      </c>
      <c r="AB90" s="21">
        <f>EXP(-LN(2)/2)*AB89+(1-EXP(-LN(2)/2))/(LN(2)/2)*V90*Y90*VLOOKUP('Données projet'!$B$9,Paramètres!$A$1:$I$89,3,0)*0.475*44/12</f>
        <v>2.4891554602784389E-3</v>
      </c>
      <c r="AC90" s="22">
        <f t="shared" si="57"/>
        <v>59.555490858732632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338.2000000000001</v>
      </c>
      <c r="AJ90" s="13">
        <f>AI90*VLOOKUP('Données projet'!$B$10,Paramètres!$A$1:$I$89,3,0)*VLOOKUP('Données projet'!$B$10,Paramètres!$A$1:$I$89,5,0)</f>
        <v>342.93480000000011</v>
      </c>
      <c r="AK90" s="13">
        <f t="shared" si="89"/>
        <v>80.105991046658843</v>
      </c>
      <c r="AL90" s="20">
        <f t="shared" si="58"/>
        <v>736.79604440626429</v>
      </c>
      <c r="AM90" s="59">
        <f t="shared" si="59"/>
        <v>1010.1308469767391</v>
      </c>
      <c r="AN90" s="59">
        <f ca="1">AVERAGE(OFFSET($AM$3,0,0,'Données projet'!$E$10+1,1))-AVERAGE(OFFSET($H$3,0,0,'Données projet'!$E$10+1,1))</f>
        <v>542.51810435067659</v>
      </c>
      <c r="AO90" s="59">
        <f t="shared" si="90"/>
        <v>325.7263575945085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30.176998029437108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30.176998029437108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338.2000000000001</v>
      </c>
      <c r="BE90" s="13">
        <f>BD90*VLOOKUP('Données projet'!$B$11,Paramètres!$A$1:$I$89,3,0)*VLOOKUP('Données projet'!$B$11,Paramètres!$A$1:$I$89,5,0)</f>
        <v>306.00336000000004</v>
      </c>
      <c r="BF90" s="13">
        <f t="shared" si="91"/>
        <v>72.433543369450447</v>
      </c>
      <c r="BG90" s="20">
        <f t="shared" si="61"/>
        <v>659.11094003512619</v>
      </c>
      <c r="BH90" s="59">
        <f t="shared" si="62"/>
        <v>932.44574260560103</v>
      </c>
      <c r="BI90" s="59">
        <f ca="1">AVERAGE(OFFSET($BH$3,0,0,'Données projet'!$E$11+1,1))-AVERAGE(OFFSET($H$3,0,0,'Données projet'!$E$11+1,1))</f>
        <v>492.39485179035256</v>
      </c>
      <c r="BJ90" s="59">
        <f t="shared" si="92"/>
        <v>297.32483725004124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26.927167472420798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26.927167472420798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4.2</v>
      </c>
      <c r="BY90" s="12">
        <f>IF('Données projet'!$A$114&gt;35,BY89+BX90-CG89,IF(A90&lt;'Données projet'!$A$114,$BV$205^A90,IF(A90='Données projet'!$A$114,'Données projet'!$B$114,BY89+BX90-CG89)))</f>
        <v>194.39999999999998</v>
      </c>
      <c r="BZ90" s="13">
        <f>BY90*VLOOKUP('Données projet'!$B$12,Paramètres!$A$1:$I$89,3,0)*VLOOKUP('Données projet'!$B$12,Paramètres!$A$1:$I$89,5,0)</f>
        <v>184.99104</v>
      </c>
      <c r="CA90" s="13">
        <f t="shared" si="93"/>
        <v>46.430826882655644</v>
      </c>
      <c r="CB90" s="20">
        <f t="shared" si="64"/>
        <v>403.05975148729186</v>
      </c>
      <c r="CC90" s="59">
        <f t="shared" si="65"/>
        <v>676.39455405776675</v>
      </c>
      <c r="CD90" s="59">
        <f ca="1">AVERAGE(OFFSET($CC$3,0,0,'Données projet'!$E$12+1,1))-AVERAGE(OFFSET($H$3,0,0,'Données projet'!$E$12+1,1))</f>
        <v>260.51631161522039</v>
      </c>
      <c r="CE90" s="59">
        <f t="shared" si="94"/>
        <v>171.3469666102674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16.133211118725363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16.133211118725363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3.3992364478763198E-14</v>
      </c>
      <c r="CV90" s="13">
        <f t="shared" si="95"/>
        <v>5.790027782444094E-13</v>
      </c>
      <c r="CW90" s="20">
        <f t="shared" si="67"/>
        <v>1.0676332069095257E-12</v>
      </c>
      <c r="CX90" s="59">
        <f t="shared" si="68"/>
        <v>273.33480257047592</v>
      </c>
      <c r="CY90" s="59">
        <f ca="1">AVERAGE(OFFSET($CX$3,0,0,'Données projet'!$E$13+1,1))-AVERAGE(OFFSET($H$3,0,0,'Données projet'!$E$13+1,1))</f>
        <v>301.2688576786212</v>
      </c>
      <c r="CZ90" s="59">
        <f t="shared" si="96"/>
        <v>417.62172165132927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71.071729128448936</v>
      </c>
      <c r="DG90" s="21">
        <f>EXP(-LN(2)/25)*DG89+(1-EXP(-LN(2)/25))/(LN(2)/25)*Calculateur!DB90*Calculateur!DD90*VLOOKUP('Données projet'!$B$13,Paramètres!$A$1:$I$89,3,0)*0.475*44/12</f>
        <v>19.049193541190068</v>
      </c>
      <c r="DH90" s="21">
        <f>EXP(-LN(2)/2)*DH89+(1-EXP(-LN(2)/2))/(LN(2)/2)*DB90*DE90*VLOOKUP('Données projet'!$B$13,Paramètres!$A$1:$I$89,3,0)*0.475*44/12</f>
        <v>1.127667602841213E-4</v>
      </c>
      <c r="DI90" s="22">
        <f t="shared" si="69"/>
        <v>90.121035436399282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167.82976403567059</v>
      </c>
      <c r="T91" s="59">
        <f t="shared" si="88"/>
        <v>232.70925470547317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42.013837300544154</v>
      </c>
      <c r="AA91" s="21">
        <f>EXP(-LN(2)/25)*AA90+(1-EXP(-LN(2)/25))/(LN(2)/25)*Calculateur!V91*Calculateur!X91*VLOOKUP('Données projet'!$B$9,Paramètres!$A$1:$I$89,3,0)*0.475*44/12</f>
        <v>16.242189926644318</v>
      </c>
      <c r="AB91" s="21">
        <f>EXP(-LN(2)/2)*AB90+(1-EXP(-LN(2)/2))/(LN(2)/2)*V91*Y91*VLOOKUP('Données projet'!$B$9,Paramètres!$A$1:$I$89,3,0)*0.475*44/12</f>
        <v>1.7600987053904061E-3</v>
      </c>
      <c r="AC91" s="22">
        <f t="shared" si="57"/>
        <v>58.257787325893858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344.80000000000013</v>
      </c>
      <c r="AJ91" s="13">
        <f>AI91*VLOOKUP('Données projet'!$B$10,Paramètres!$A$1:$I$89,3,0)*VLOOKUP('Données projet'!$B$10,Paramètres!$A$1:$I$89,5,0)</f>
        <v>349.62720000000013</v>
      </c>
      <c r="AK91" s="13">
        <f t="shared" si="89"/>
        <v>81.485743085784506</v>
      </c>
      <c r="AL91" s="20">
        <f t="shared" si="58"/>
        <v>750.85504254107491</v>
      </c>
      <c r="AM91" s="59">
        <f t="shared" si="59"/>
        <v>1024.5367749102686</v>
      </c>
      <c r="AN91" s="59">
        <f ca="1">AVERAGE(OFFSET($AM$3,0,0,'Données projet'!$E$10+1,1))-AVERAGE(OFFSET($H$3,0,0,'Données projet'!$E$10+1,1))</f>
        <v>542.51810435067659</v>
      </c>
      <c r="AO91" s="59">
        <f t="shared" si="90"/>
        <v>325.7263575945085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29.585245504231189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29.585245504231189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344.80000000000013</v>
      </c>
      <c r="BE91" s="13">
        <f>BD91*VLOOKUP('Données projet'!$B$11,Paramètres!$A$1:$I$89,3,0)*VLOOKUP('Données projet'!$B$11,Paramètres!$A$1:$I$89,5,0)</f>
        <v>311.97504000000009</v>
      </c>
      <c r="BF91" s="13">
        <f t="shared" si="91"/>
        <v>73.681144552074599</v>
      </c>
      <c r="BG91" s="20">
        <f t="shared" si="61"/>
        <v>671.68452142819672</v>
      </c>
      <c r="BH91" s="59">
        <f t="shared" si="62"/>
        <v>945.36625379739041</v>
      </c>
      <c r="BI91" s="59">
        <f ca="1">AVERAGE(OFFSET($BH$3,0,0,'Données projet'!$E$11+1,1))-AVERAGE(OFFSET($H$3,0,0,'Données projet'!$E$11+1,1))</f>
        <v>492.39485179035256</v>
      </c>
      <c r="BJ91" s="59">
        <f t="shared" si="92"/>
        <v>297.32483725004124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26.399142142237054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26.399142142237054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4.2</v>
      </c>
      <c r="BY91" s="12">
        <f>IF('Données projet'!$A$114&gt;35,BY90+BX91-CG90,IF(A91&lt;'Données projet'!$A$114,$BV$205^A91,IF(A91='Données projet'!$A$114,'Données projet'!$B$114,BY90+BX91-CG90)))</f>
        <v>198.59999999999997</v>
      </c>
      <c r="BZ91" s="13">
        <f>BY91*VLOOKUP('Données projet'!$B$12,Paramètres!$A$1:$I$89,3,0)*VLOOKUP('Données projet'!$B$12,Paramètres!$A$1:$I$89,5,0)</f>
        <v>188.98775999999995</v>
      </c>
      <c r="CA91" s="13">
        <f t="shared" si="93"/>
        <v>47.316091431214247</v>
      </c>
      <c r="CB91" s="20">
        <f t="shared" si="64"/>
        <v>411.56254124269799</v>
      </c>
      <c r="CC91" s="59">
        <f t="shared" si="65"/>
        <v>685.24427361189169</v>
      </c>
      <c r="CD91" s="59">
        <f ca="1">AVERAGE(OFFSET($CC$3,0,0,'Données projet'!$E$12+1,1))-AVERAGE(OFFSET($H$3,0,0,'Données projet'!$E$12+1,1))</f>
        <v>260.51631161522039</v>
      </c>
      <c r="CE91" s="59">
        <f t="shared" si="94"/>
        <v>171.3469666102674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15.816848688974293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15.816848688974293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3.3992364478763198E-14</v>
      </c>
      <c r="CV91" s="13">
        <f t="shared" si="95"/>
        <v>5.790027782444094E-13</v>
      </c>
      <c r="CW91" s="20">
        <f t="shared" si="67"/>
        <v>1.0676332069095257E-12</v>
      </c>
      <c r="CX91" s="59">
        <f t="shared" si="68"/>
        <v>273.68173236919478</v>
      </c>
      <c r="CY91" s="59">
        <f ca="1">AVERAGE(OFFSET($CX$3,0,0,'Données projet'!$E$13+1,1))-AVERAGE(OFFSET($H$3,0,0,'Données projet'!$E$13+1,1))</f>
        <v>301.2688576786212</v>
      </c>
      <c r="CZ91" s="59">
        <f t="shared" si="96"/>
        <v>417.62172165132927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69.678055869714413</v>
      </c>
      <c r="DG91" s="21">
        <f>EXP(-LN(2)/25)*DG90+(1-EXP(-LN(2)/25))/(LN(2)/25)*Calculateur!DB91*Calculateur!DD91*VLOOKUP('Données projet'!$B$13,Paramètres!$A$1:$I$89,3,0)*0.475*44/12</f>
        <v>18.528292342052673</v>
      </c>
      <c r="DH91" s="21">
        <f>EXP(-LN(2)/2)*DH90+(1-EXP(-LN(2)/2))/(LN(2)/2)*DB91*DE91*VLOOKUP('Données projet'!$B$13,Paramètres!$A$1:$I$89,3,0)*0.475*44/12</f>
        <v>7.9738140889340018E-5</v>
      </c>
      <c r="DI91" s="22">
        <f t="shared" si="69"/>
        <v>88.206427949907962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167.82976403567059</v>
      </c>
      <c r="T92" s="59">
        <f t="shared" si="88"/>
        <v>232.70925470547317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41.189971576990885</v>
      </c>
      <c r="AA92" s="21">
        <f>EXP(-LN(2)/25)*AA91+(1-EXP(-LN(2)/25))/(LN(2)/25)*Calculateur!V92*Calculateur!X92*VLOOKUP('Données projet'!$B$9,Paramètres!$A$1:$I$89,3,0)*0.475*44/12</f>
        <v>15.798046388960584</v>
      </c>
      <c r="AB92" s="21">
        <f>EXP(-LN(2)/2)*AB91+(1-EXP(-LN(2)/2))/(LN(2)/2)*V92*Y92*VLOOKUP('Données projet'!$B$9,Paramètres!$A$1:$I$89,3,0)*0.475*44/12</f>
        <v>1.2445777301392195E-3</v>
      </c>
      <c r="AC92" s="22">
        <f t="shared" si="57"/>
        <v>56.989262543681612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351.40000000000015</v>
      </c>
      <c r="AJ92" s="13">
        <f>AI92*VLOOKUP('Données projet'!$B$10,Paramètres!$A$1:$I$89,3,0)*VLOOKUP('Données projet'!$B$10,Paramètres!$A$1:$I$89,5,0)</f>
        <v>356.31960000000021</v>
      </c>
      <c r="AK92" s="13">
        <f t="shared" si="89"/>
        <v>82.862424158901803</v>
      </c>
      <c r="AL92" s="20">
        <f t="shared" si="58"/>
        <v>764.90869207675416</v>
      </c>
      <c r="AM92" s="59">
        <f t="shared" si="59"/>
        <v>1038.9313357882777</v>
      </c>
      <c r="AN92" s="59">
        <f ca="1">AVERAGE(OFFSET($AM$3,0,0,'Données projet'!$E$10+1,1))-AVERAGE(OFFSET($H$3,0,0,'Données projet'!$E$10+1,1))</f>
        <v>542.51810435067659</v>
      </c>
      <c r="AO92" s="59">
        <f t="shared" si="90"/>
        <v>325.7263575945085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29.005096885111154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29.005096885111154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351.40000000000015</v>
      </c>
      <c r="BE92" s="13">
        <f>BD92*VLOOKUP('Données projet'!$B$11,Paramètres!$A$1:$I$89,3,0)*VLOOKUP('Données projet'!$B$11,Paramètres!$A$1:$I$89,5,0)</f>
        <v>317.94672000000014</v>
      </c>
      <c r="BF92" s="13">
        <f t="shared" si="91"/>
        <v>74.925968901822259</v>
      </c>
      <c r="BG92" s="20">
        <f t="shared" si="61"/>
        <v>684.25326650400723</v>
      </c>
      <c r="BH92" s="59">
        <f t="shared" si="62"/>
        <v>958.27591021553076</v>
      </c>
      <c r="BI92" s="59">
        <f ca="1">AVERAGE(OFFSET($BH$3,0,0,'Données projet'!$E$11+1,1))-AVERAGE(OFFSET($H$3,0,0,'Données projet'!$E$11+1,1))</f>
        <v>492.39485179035256</v>
      </c>
      <c r="BJ92" s="59">
        <f t="shared" si="92"/>
        <v>297.32483725004124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25.881471066714564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25.881471066714564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4.2</v>
      </c>
      <c r="BY92" s="12">
        <f>IF('Données projet'!$A$114&gt;35,BY91+BX92-CG91,IF(A92&lt;'Données projet'!$A$114,$BV$205^A92,IF(A92='Données projet'!$A$114,'Données projet'!$B$114,BY91+BX92-CG91)))</f>
        <v>202.79999999999995</v>
      </c>
      <c r="BZ92" s="13">
        <f>BY92*VLOOKUP('Données projet'!$B$12,Paramètres!$A$1:$I$89,3,0)*VLOOKUP('Données projet'!$B$12,Paramètres!$A$1:$I$89,5,0)</f>
        <v>192.98447999999996</v>
      </c>
      <c r="CA92" s="13">
        <f t="shared" si="93"/>
        <v>48.199179293232802</v>
      </c>
      <c r="CB92" s="20">
        <f t="shared" si="64"/>
        <v>420.06153993571371</v>
      </c>
      <c r="CC92" s="59">
        <f t="shared" si="65"/>
        <v>694.0841836472373</v>
      </c>
      <c r="CD92" s="59">
        <f ca="1">AVERAGE(OFFSET($CC$3,0,0,'Données projet'!$E$12+1,1))-AVERAGE(OFFSET($H$3,0,0,'Données projet'!$E$12+1,1))</f>
        <v>260.51631161522039</v>
      </c>
      <c r="CE92" s="59">
        <f t="shared" si="94"/>
        <v>171.3469666102674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15.506689933508612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15.506689933508612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3.3992364478763198E-14</v>
      </c>
      <c r="CV92" s="13">
        <f t="shared" si="95"/>
        <v>5.790027782444094E-13</v>
      </c>
      <c r="CW92" s="20">
        <f t="shared" si="67"/>
        <v>1.0676332069095257E-12</v>
      </c>
      <c r="CX92" s="59">
        <f t="shared" si="68"/>
        <v>274.02264371152467</v>
      </c>
      <c r="CY92" s="59">
        <f ca="1">AVERAGE(OFFSET($CX$3,0,0,'Données projet'!$E$13+1,1))-AVERAGE(OFFSET($H$3,0,0,'Données projet'!$E$13+1,1))</f>
        <v>301.2688576786212</v>
      </c>
      <c r="CZ92" s="59">
        <f t="shared" si="96"/>
        <v>417.62172165132927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68.311711693526931</v>
      </c>
      <c r="DG92" s="21">
        <f>EXP(-LN(2)/25)*DG91+(1-EXP(-LN(2)/25))/(LN(2)/25)*Calculateur!DB92*Calculateur!DD92*VLOOKUP('Données projet'!$B$13,Paramètres!$A$1:$I$89,3,0)*0.475*44/12</f>
        <v>18.021635213598696</v>
      </c>
      <c r="DH92" s="21">
        <f>EXP(-LN(2)/2)*DH91+(1-EXP(-LN(2)/2))/(LN(2)/2)*DB92*DE92*VLOOKUP('Données projet'!$B$13,Paramètres!$A$1:$I$89,3,0)*0.475*44/12</f>
        <v>5.6383380142060651E-5</v>
      </c>
      <c r="DI92" s="22">
        <f t="shared" si="69"/>
        <v>86.333403290505771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167.82976403567059</v>
      </c>
      <c r="T93" s="59">
        <f t="shared" si="88"/>
        <v>232.70925470547317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40.382261357768023</v>
      </c>
      <c r="AA93" s="21">
        <f>EXP(-LN(2)/25)*AA92+(1-EXP(-LN(2)/25))/(LN(2)/25)*Calculateur!V93*Calculateur!X93*VLOOKUP('Données projet'!$B$9,Paramètres!$A$1:$I$89,3,0)*0.475*44/12</f>
        <v>15.366047979671304</v>
      </c>
      <c r="AB93" s="21">
        <f>EXP(-LN(2)/2)*AB92+(1-EXP(-LN(2)/2))/(LN(2)/2)*V93*Y93*VLOOKUP('Données projet'!$B$9,Paramètres!$A$1:$I$89,3,0)*0.475*44/12</f>
        <v>8.8004935269520306E-4</v>
      </c>
      <c r="AC93" s="22">
        <f t="shared" si="57"/>
        <v>55.749189386792018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358.00000000000017</v>
      </c>
      <c r="AJ93" s="13">
        <f>AI93*VLOOKUP('Données projet'!$B$10,Paramètres!$A$1:$I$89,3,0)*VLOOKUP('Données projet'!$B$10,Paramètres!$A$1:$I$89,5,0)</f>
        <v>363.01200000000023</v>
      </c>
      <c r="AK93" s="13">
        <f t="shared" si="89"/>
        <v>84.23609859605908</v>
      </c>
      <c r="AL93" s="20">
        <f t="shared" si="58"/>
        <v>778.95710505480326</v>
      </c>
      <c r="AM93" s="59">
        <f t="shared" si="59"/>
        <v>1053.314746059031</v>
      </c>
      <c r="AN93" s="59">
        <f ca="1">AVERAGE(OFFSET($AM$3,0,0,'Données projet'!$E$10+1,1))-AVERAGE(OFFSET($H$3,0,0,'Données projet'!$E$10+1,1))</f>
        <v>542.51810435067659</v>
      </c>
      <c r="AO93" s="59">
        <f t="shared" si="90"/>
        <v>325.7263575945085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47.331006666007454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47.331006666007454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358.00000000000017</v>
      </c>
      <c r="BE93" s="13">
        <f>BD93*VLOOKUP('Données projet'!$B$11,Paramètres!$A$1:$I$89,3,0)*VLOOKUP('Données projet'!$B$11,Paramètres!$A$1:$I$89,5,0)</f>
        <v>323.91840000000013</v>
      </c>
      <c r="BF93" s="13">
        <f t="shared" si="91"/>
        <v>76.168074587293162</v>
      </c>
      <c r="BG93" s="20">
        <f t="shared" si="61"/>
        <v>696.8172765728691</v>
      </c>
      <c r="BH93" s="59">
        <f t="shared" si="62"/>
        <v>971.17491757709672</v>
      </c>
      <c r="BI93" s="59">
        <f ca="1">AVERAGE(OFFSET($BH$3,0,0,'Données projet'!$E$11+1,1))-AVERAGE(OFFSET($H$3,0,0,'Données projet'!$E$11+1,1))</f>
        <v>492.39485179035256</v>
      </c>
      <c r="BJ93" s="59">
        <f t="shared" si="92"/>
        <v>297.32483725004124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42.233821332745109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42.233821332745109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207</v>
      </c>
      <c r="BW93" s="12">
        <f>VLOOKUP(A93,'Données projet'!$A$113:$I$133,9,0)</f>
        <v>4.2</v>
      </c>
      <c r="BX93" s="12">
        <f t="array" ref="BX93">INDEX(BW:BW,MIN(IF(ISNUMBER(BW93:BW289),ROW(BW93:BW289),"")))</f>
        <v>4.2</v>
      </c>
      <c r="BY93" s="12">
        <f>IF('Données projet'!$A$114&gt;35,BY92+BX93-CG92,IF(A93&lt;'Données projet'!$A$114,$BV$205^A93,IF(A93='Données projet'!$A$114,'Données projet'!$B$114,BY92+BX93-CG92)))</f>
        <v>206.99999999999994</v>
      </c>
      <c r="BZ93" s="13">
        <f>BY93*VLOOKUP('Données projet'!$B$12,Paramètres!$A$1:$I$89,3,0)*VLOOKUP('Données projet'!$B$12,Paramètres!$A$1:$I$89,5,0)</f>
        <v>196.98119999999994</v>
      </c>
      <c r="CA93" s="13">
        <f t="shared" si="93"/>
        <v>49.080140741894134</v>
      </c>
      <c r="CB93" s="20">
        <f t="shared" si="64"/>
        <v>428.55683512546551</v>
      </c>
      <c r="CC93" s="59">
        <f t="shared" si="65"/>
        <v>702.91447612969318</v>
      </c>
      <c r="CD93" s="59">
        <f ca="1">AVERAGE(OFFSET($CC$3,0,0,'Données projet'!$E$12+1,1))-AVERAGE(OFFSET($H$3,0,0,'Données projet'!$E$12+1,1))</f>
        <v>260.51631161522039</v>
      </c>
      <c r="CE93" s="59">
        <f t="shared" si="94"/>
        <v>171.3469666102674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207</v>
      </c>
      <c r="CH93" s="16">
        <f>IF(ISNA(VLOOKUP(A93,'Données projet'!$A$113:$I$133,5,0)),0%,VLOOKUP(A93,'Données projet'!$A$113:$I$133,5,0)*VLOOKUP('Données projet'!$B$12,Paramètres!$A$1:$I$89,7,0))</f>
        <v>0.25800000000000001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71.383888738672283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71.383888738672283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3.3992364478763198E-14</v>
      </c>
      <c r="CV93" s="13">
        <f t="shared" si="95"/>
        <v>5.790027782444094E-13</v>
      </c>
      <c r="CW93" s="20">
        <f t="shared" si="67"/>
        <v>1.0676332069095257E-12</v>
      </c>
      <c r="CX93" s="59">
        <f t="shared" si="68"/>
        <v>274.35764100422875</v>
      </c>
      <c r="CY93" s="59">
        <f ca="1">AVERAGE(OFFSET($CX$3,0,0,'Données projet'!$E$13+1,1))-AVERAGE(OFFSET($H$3,0,0,'Données projet'!$E$13+1,1))</f>
        <v>301.2688576786212</v>
      </c>
      <c r="CZ93" s="59">
        <f t="shared" si="96"/>
        <v>417.62172165132927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66.972160693246821</v>
      </c>
      <c r="DG93" s="21">
        <f>EXP(-LN(2)/25)*DG92+(1-EXP(-LN(2)/25))/(LN(2)/25)*Calculateur!DB93*Calculateur!DD93*VLOOKUP('Données projet'!$B$13,Paramètres!$A$1:$I$89,3,0)*0.475*44/12</f>
        <v>17.528832650966233</v>
      </c>
      <c r="DH93" s="21">
        <f>EXP(-LN(2)/2)*DH92+(1-EXP(-LN(2)/2))/(LN(2)/2)*DB93*DE93*VLOOKUP('Données projet'!$B$13,Paramètres!$A$1:$I$89,3,0)*0.475*44/12</f>
        <v>3.9869070444670009E-5</v>
      </c>
      <c r="DI93" s="22">
        <f t="shared" si="69"/>
        <v>84.501033213283506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167.82976403567059</v>
      </c>
      <c r="T94" s="59">
        <f t="shared" si="88"/>
        <v>232.70925470547317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39.590389843289536</v>
      </c>
      <c r="AA94" s="21">
        <f>EXP(-LN(2)/25)*AA93+(1-EXP(-LN(2)/25))/(LN(2)/25)*Calculateur!V94*Calculateur!X94*VLOOKUP('Données projet'!$B$9,Paramètres!$A$1:$I$89,3,0)*0.475*44/12</f>
        <v>14.945862589601848</v>
      </c>
      <c r="AB94" s="21">
        <f>EXP(-LN(2)/2)*AB93+(1-EXP(-LN(2)/2))/(LN(2)/2)*V94*Y94*VLOOKUP('Données projet'!$B$9,Paramètres!$A$1:$I$89,3,0)*0.475*44/12</f>
        <v>6.2228886506960973E-4</v>
      </c>
      <c r="AC94" s="22">
        <f t="shared" si="57"/>
        <v>54.536874721756455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308.00000000000017</v>
      </c>
      <c r="AJ94" s="13">
        <f>AI94*VLOOKUP('Données projet'!$B$10,Paramètres!$A$1:$I$89,3,0)*VLOOKUP('Données projet'!$B$10,Paramètres!$A$1:$I$89,5,0)</f>
        <v>312.31200000000024</v>
      </c>
      <c r="AK94" s="13">
        <f t="shared" si="89"/>
        <v>73.751458791112086</v>
      </c>
      <c r="AL94" s="20">
        <f t="shared" si="58"/>
        <v>672.39385739452064</v>
      </c>
      <c r="AM94" s="59">
        <f t="shared" si="59"/>
        <v>947.08068423736563</v>
      </c>
      <c r="AN94" s="59">
        <f ca="1">AVERAGE(OFFSET($AM$3,0,0,'Données projet'!$E$10+1,1))-AVERAGE(OFFSET($H$3,0,0,'Données projet'!$E$10+1,1))</f>
        <v>542.51810435067659</v>
      </c>
      <c r="AO94" s="59">
        <f t="shared" si="90"/>
        <v>325.7263575945085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46.402874494350527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46.402874494350527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</v>
      </c>
      <c r="BD94" s="12">
        <f>IF('Données projet'!$A$88&gt;35,BD93+BC94-BL93,IF(A94&lt;'Données projet'!$A$88,$BA$205^A94,IF(A94='Données projet'!$A$88,'Données projet'!$B$88,BD93+BC94-BL93)))</f>
        <v>308.00000000000017</v>
      </c>
      <c r="BE94" s="13">
        <f>BD94*VLOOKUP('Données projet'!$B$11,Paramètres!$A$1:$I$89,3,0)*VLOOKUP('Données projet'!$B$11,Paramètres!$A$1:$I$89,5,0)</f>
        <v>278.67840000000018</v>
      </c>
      <c r="BF94" s="13">
        <f t="shared" si="91"/>
        <v>66.687639951856809</v>
      </c>
      <c r="BG94" s="20">
        <f t="shared" si="61"/>
        <v>601.51251958281762</v>
      </c>
      <c r="BH94" s="59">
        <f t="shared" si="62"/>
        <v>876.19934642566272</v>
      </c>
      <c r="BI94" s="59">
        <f ca="1">AVERAGE(OFFSET($BH$3,0,0,'Données projet'!$E$11+1,1))-AVERAGE(OFFSET($H$3,0,0,'Données projet'!$E$11+1,1))</f>
        <v>492.39485179035256</v>
      </c>
      <c r="BJ94" s="59">
        <f t="shared" si="92"/>
        <v>297.32483725004124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41.40564185649739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41.40564185649739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-5.4092197387944907E-14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260.51631161522039</v>
      </c>
      <c r="CE94" s="59">
        <f t="shared" si="94"/>
        <v>171.3469666102674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69.984094220379845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69.984094220379845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3.3992364478763198E-14</v>
      </c>
      <c r="CV94" s="13">
        <f t="shared" si="95"/>
        <v>5.790027782444094E-13</v>
      </c>
      <c r="CW94" s="20">
        <f t="shared" si="67"/>
        <v>1.0676332069095257E-12</v>
      </c>
      <c r="CX94" s="59">
        <f t="shared" si="68"/>
        <v>274.68682684284613</v>
      </c>
      <c r="CY94" s="59">
        <f ca="1">AVERAGE(OFFSET($CX$3,0,0,'Données projet'!$E$13+1,1))-AVERAGE(OFFSET($H$3,0,0,'Données projet'!$E$13+1,1))</f>
        <v>301.2688576786212</v>
      </c>
      <c r="CZ94" s="59">
        <f t="shared" si="96"/>
        <v>417.62172165132927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65.658877471036774</v>
      </c>
      <c r="DG94" s="21">
        <f>EXP(-LN(2)/25)*DG93+(1-EXP(-LN(2)/25))/(LN(2)/25)*Calculateur!DB94*Calculateur!DD94*VLOOKUP('Données projet'!$B$13,Paramètres!$A$1:$I$89,3,0)*0.475*44/12</f>
        <v>17.049505800324315</v>
      </c>
      <c r="DH94" s="21">
        <f>EXP(-LN(2)/2)*DH93+(1-EXP(-LN(2)/2))/(LN(2)/2)*DB94*DE94*VLOOKUP('Données projet'!$B$13,Paramètres!$A$1:$I$89,3,0)*0.475*44/12</f>
        <v>2.8191690071030325E-5</v>
      </c>
      <c r="DI94" s="22">
        <f t="shared" si="69"/>
        <v>82.708411463051164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167.82976403567059</v>
      </c>
      <c r="T95" s="59">
        <f t="shared" si="88"/>
        <v>232.70925470547317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38.814046446216039</v>
      </c>
      <c r="AA95" s="21">
        <f>EXP(-LN(2)/25)*AA94+(1-EXP(-LN(2)/25))/(LN(2)/25)*Calculateur!V95*Calculateur!X95*VLOOKUP('Données projet'!$B$9,Paramètres!$A$1:$I$89,3,0)*0.475*44/12</f>
        <v>14.537167191120432</v>
      </c>
      <c r="AB95" s="21">
        <f>EXP(-LN(2)/2)*AB94+(1-EXP(-LN(2)/2))/(LN(2)/2)*V95*Y95*VLOOKUP('Données projet'!$B$9,Paramètres!$A$1:$I$89,3,0)*0.475*44/12</f>
        <v>4.4002467634760153E-4</v>
      </c>
      <c r="AC95" s="22">
        <f t="shared" si="57"/>
        <v>53.351653662012822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314.00000000000017</v>
      </c>
      <c r="AJ95" s="13">
        <f>AI95*VLOOKUP('Données projet'!$B$10,Paramètres!$A$1:$I$89,3,0)*VLOOKUP('Données projet'!$B$10,Paramètres!$A$1:$I$89,5,0)</f>
        <v>318.39600000000019</v>
      </c>
      <c r="AK95" s="13">
        <f t="shared" si="89"/>
        <v>75.019512724335002</v>
      </c>
      <c r="AL95" s="20">
        <f t="shared" si="58"/>
        <v>685.19868466155049</v>
      </c>
      <c r="AM95" s="59">
        <f t="shared" si="59"/>
        <v>960.20898670466227</v>
      </c>
      <c r="AN95" s="59">
        <f ca="1">AVERAGE(OFFSET($AM$3,0,0,'Données projet'!$E$10+1,1))-AVERAGE(OFFSET($H$3,0,0,'Données projet'!$E$10+1,1))</f>
        <v>542.51810435067659</v>
      </c>
      <c r="AO95" s="59">
        <f t="shared" si="90"/>
        <v>325.7263575945085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45.492942428475068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45.492942428475068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</v>
      </c>
      <c r="BD95" s="12">
        <f>IF('Données projet'!$A$88&gt;35,BD94+BC95-BL94,IF(A95&lt;'Données projet'!$A$88,$BA$205^A95,IF(A95='Données projet'!$A$88,'Données projet'!$B$88,BD94+BC95-BL94)))</f>
        <v>314.00000000000017</v>
      </c>
      <c r="BE95" s="13">
        <f>BD95*VLOOKUP('Données projet'!$B$11,Paramètres!$A$1:$I$89,3,0)*VLOOKUP('Données projet'!$B$11,Paramètres!$A$1:$I$89,5,0)</f>
        <v>284.10720000000015</v>
      </c>
      <c r="BF95" s="13">
        <f t="shared" si="91"/>
        <v>67.834241327943772</v>
      </c>
      <c r="BG95" s="20">
        <f t="shared" si="61"/>
        <v>612.96467697950231</v>
      </c>
      <c r="BH95" s="59">
        <f t="shared" si="62"/>
        <v>887.97497902261398</v>
      </c>
      <c r="BI95" s="59">
        <f ca="1">AVERAGE(OFFSET($BH$3,0,0,'Données projet'!$E$11+1,1))-AVERAGE(OFFSET($H$3,0,0,'Données projet'!$E$11+1,1))</f>
        <v>492.39485179035256</v>
      </c>
      <c r="BJ95" s="59">
        <f t="shared" si="92"/>
        <v>297.32483725004124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40.593702474639286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40.593702474639286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-5.4092197387944907E-14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260.51631161522039</v>
      </c>
      <c r="CE95" s="59">
        <f t="shared" si="94"/>
        <v>171.3469666102674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68.611748818800777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68.611748818800777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3.3992364478763198E-14</v>
      </c>
      <c r="CV95" s="13">
        <f t="shared" si="95"/>
        <v>5.790027782444094E-13</v>
      </c>
      <c r="CW95" s="20">
        <f t="shared" si="67"/>
        <v>1.0676332069095257E-12</v>
      </c>
      <c r="CX95" s="59">
        <f t="shared" si="68"/>
        <v>275.0103020431128</v>
      </c>
      <c r="CY95" s="59">
        <f ca="1">AVERAGE(OFFSET($CX$3,0,0,'Données projet'!$E$13+1,1))-AVERAGE(OFFSET($H$3,0,0,'Données projet'!$E$13+1,1))</f>
        <v>301.2688576786212</v>
      </c>
      <c r="CZ95" s="59">
        <f t="shared" si="96"/>
        <v>417.62172165132927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64.371346931790598</v>
      </c>
      <c r="DG95" s="21">
        <f>EXP(-LN(2)/25)*DG94+(1-EXP(-LN(2)/25))/(LN(2)/25)*Calculateur!DB95*Calculateur!DD95*VLOOKUP('Données projet'!$B$13,Paramètres!$A$1:$I$89,3,0)*0.475*44/12</f>
        <v>16.583286167619903</v>
      </c>
      <c r="DH95" s="21">
        <f>EXP(-LN(2)/2)*DH94+(1-EXP(-LN(2)/2))/(LN(2)/2)*DB95*DE95*VLOOKUP('Données projet'!$B$13,Paramètres!$A$1:$I$89,3,0)*0.475*44/12</f>
        <v>1.9934535222335004E-5</v>
      </c>
      <c r="DI95" s="22">
        <f t="shared" si="69"/>
        <v>80.954653033945718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167.82976403567059</v>
      </c>
      <c r="T96" s="59">
        <f t="shared" si="88"/>
        <v>232.70925470547317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38.052926669636442</v>
      </c>
      <c r="AA96" s="21">
        <f>EXP(-LN(2)/25)*AA95+(1-EXP(-LN(2)/25))/(LN(2)/25)*Calculateur!V96*Calculateur!X96*VLOOKUP('Données projet'!$B$9,Paramètres!$A$1:$I$89,3,0)*0.475*44/12</f>
        <v>14.139647589802847</v>
      </c>
      <c r="AB96" s="21">
        <f>EXP(-LN(2)/2)*AB95+(1-EXP(-LN(2)/2))/(LN(2)/2)*V96*Y96*VLOOKUP('Données projet'!$B$9,Paramètres!$A$1:$I$89,3,0)*0.475*44/12</f>
        <v>3.1114443253480486E-4</v>
      </c>
      <c r="AC96" s="22">
        <f t="shared" si="57"/>
        <v>52.192885403871827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320.00000000000017</v>
      </c>
      <c r="AJ96" s="13">
        <f>AI96*VLOOKUP('Données projet'!$B$10,Paramètres!$A$1:$I$89,3,0)*VLOOKUP('Données projet'!$B$10,Paramètres!$A$1:$I$89,5,0)</f>
        <v>324.48000000000019</v>
      </c>
      <c r="AK96" s="13">
        <f t="shared" si="89"/>
        <v>76.284749200165578</v>
      </c>
      <c r="AL96" s="20">
        <f t="shared" si="58"/>
        <v>697.99860485695535</v>
      </c>
      <c r="AM96" s="59">
        <f t="shared" si="59"/>
        <v>973.32677052879126</v>
      </c>
      <c r="AN96" s="59">
        <f ca="1">AVERAGE(OFFSET($AM$3,0,0,'Données projet'!$E$10+1,1))-AVERAGE(OFFSET($H$3,0,0,'Données projet'!$E$10+1,1))</f>
        <v>542.51810435067659</v>
      </c>
      <c r="AO96" s="59">
        <f t="shared" si="90"/>
        <v>325.7263575945085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44.600853575407669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44.600853575407669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</v>
      </c>
      <c r="BD96" s="12">
        <f>IF('Données projet'!$A$88&gt;35,BD95+BC96-BL95,IF(A96&lt;'Données projet'!$A$88,$BA$205^A96,IF(A96='Données projet'!$A$88,'Données projet'!$B$88,BD95+BC96-BL95)))</f>
        <v>320.00000000000017</v>
      </c>
      <c r="BE96" s="13">
        <f>BD96*VLOOKUP('Données projet'!$B$11,Paramètres!$A$1:$I$89,3,0)*VLOOKUP('Données projet'!$B$11,Paramètres!$A$1:$I$89,5,0)</f>
        <v>289.53600000000012</v>
      </c>
      <c r="BF96" s="13">
        <f t="shared" si="91"/>
        <v>68.978295099044416</v>
      </c>
      <c r="BG96" s="20">
        <f t="shared" si="61"/>
        <v>624.41239729750248</v>
      </c>
      <c r="BH96" s="59">
        <f t="shared" si="62"/>
        <v>899.7405629693385</v>
      </c>
      <c r="BI96" s="59">
        <f ca="1">AVERAGE(OFFSET($BH$3,0,0,'Données projet'!$E$11+1,1))-AVERAGE(OFFSET($H$3,0,0,'Données projet'!$E$11+1,1))</f>
        <v>492.39485179035256</v>
      </c>
      <c r="BJ96" s="59">
        <f t="shared" si="92"/>
        <v>297.32483725004124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39.797684728825303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39.797684728825303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-5.4092197387944907E-14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260.51631161522039</v>
      </c>
      <c r="CE96" s="59">
        <f t="shared" si="94"/>
        <v>171.3469666102674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67.266314273498622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67.266314273498622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3.3992364478763198E-14</v>
      </c>
      <c r="CV96" s="13">
        <f t="shared" si="95"/>
        <v>5.790027782444094E-13</v>
      </c>
      <c r="CW96" s="20">
        <f t="shared" si="67"/>
        <v>1.0676332069095257E-12</v>
      </c>
      <c r="CX96" s="59">
        <f t="shared" si="68"/>
        <v>275.32816567183704</v>
      </c>
      <c r="CY96" s="59">
        <f ca="1">AVERAGE(OFFSET($CX$3,0,0,'Données projet'!$E$13+1,1))-AVERAGE(OFFSET($H$3,0,0,'Données projet'!$E$13+1,1))</f>
        <v>301.2688576786212</v>
      </c>
      <c r="CZ96" s="59">
        <f t="shared" si="96"/>
        <v>417.62172165132927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63.10906408110295</v>
      </c>
      <c r="DG96" s="21">
        <f>EXP(-LN(2)/25)*DG95+(1-EXP(-LN(2)/25))/(LN(2)/25)*Calculateur!DB96*Calculateur!DD96*VLOOKUP('Données projet'!$B$13,Paramètres!$A$1:$I$89,3,0)*0.475*44/12</f>
        <v>16.129815335289219</v>
      </c>
      <c r="DH96" s="21">
        <f>EXP(-LN(2)/2)*DH95+(1-EXP(-LN(2)/2))/(LN(2)/2)*DB96*DE96*VLOOKUP('Données projet'!$B$13,Paramètres!$A$1:$I$89,3,0)*0.475*44/12</f>
        <v>1.4095845035515163E-5</v>
      </c>
      <c r="DI96" s="22">
        <f t="shared" si="69"/>
        <v>79.238893512237198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167.82976403567059</v>
      </c>
      <c r="T97" s="59">
        <f t="shared" si="88"/>
        <v>232.70925470547317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37.306731987638344</v>
      </c>
      <c r="AA97" s="21">
        <f>EXP(-LN(2)/25)*AA96+(1-EXP(-LN(2)/25))/(LN(2)/25)*Calculateur!V97*Calculateur!X97*VLOOKUP('Données projet'!$B$9,Paramètres!$A$1:$I$89,3,0)*0.475*44/12</f>
        <v>13.752998182887938</v>
      </c>
      <c r="AB97" s="21">
        <f>EXP(-LN(2)/2)*AB96+(1-EXP(-LN(2)/2))/(LN(2)/2)*V97*Y97*VLOOKUP('Données projet'!$B$9,Paramètres!$A$1:$I$89,3,0)*0.475*44/12</f>
        <v>2.2001233817380076E-4</v>
      </c>
      <c r="AC97" s="22">
        <f t="shared" si="57"/>
        <v>51.059950182864455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326.00000000000017</v>
      </c>
      <c r="AJ97" s="13">
        <f>AI97*VLOOKUP('Données projet'!$B$10,Paramètres!$A$1:$I$89,3,0)*VLOOKUP('Données projet'!$B$10,Paramètres!$A$1:$I$89,5,0)</f>
        <v>330.56400000000019</v>
      </c>
      <c r="AK97" s="13">
        <f t="shared" si="89"/>
        <v>77.547227137682924</v>
      </c>
      <c r="AL97" s="20">
        <f t="shared" si="58"/>
        <v>710.79372059813147</v>
      </c>
      <c r="AM97" s="59">
        <f t="shared" si="59"/>
        <v>986.43423567537002</v>
      </c>
      <c r="AN97" s="59">
        <f ca="1">AVERAGE(OFFSET($AM$3,0,0,'Données projet'!$E$10+1,1))-AVERAGE(OFFSET($H$3,0,0,'Données projet'!$E$10+1,1))</f>
        <v>542.51810435067659</v>
      </c>
      <c r="AO97" s="59">
        <f t="shared" si="90"/>
        <v>325.7263575945085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43.726258040628451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43.726258040628451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</v>
      </c>
      <c r="BD97" s="12">
        <f>IF('Données projet'!$A$88&gt;35,BD96+BC97-BL96,IF(A97&lt;'Données projet'!$A$88,$BA$205^A97,IF(A97='Données projet'!$A$88,'Données projet'!$B$88,BD96+BC97-BL96)))</f>
        <v>326.00000000000017</v>
      </c>
      <c r="BE97" s="13">
        <f>BD97*VLOOKUP('Données projet'!$B$11,Paramètres!$A$1:$I$89,3,0)*VLOOKUP('Données projet'!$B$11,Paramètres!$A$1:$I$89,5,0)</f>
        <v>294.96480000000014</v>
      </c>
      <c r="BF97" s="13">
        <f t="shared" si="91"/>
        <v>70.119854541045058</v>
      </c>
      <c r="BG97" s="20">
        <f t="shared" si="61"/>
        <v>635.85577332565367</v>
      </c>
      <c r="BH97" s="59">
        <f t="shared" si="62"/>
        <v>911.49628840289211</v>
      </c>
      <c r="BI97" s="59">
        <f ca="1">AVERAGE(OFFSET($BH$3,0,0,'Données projet'!$E$11+1,1))-AVERAGE(OFFSET($H$3,0,0,'Données projet'!$E$11+1,1))</f>
        <v>492.39485179035256</v>
      </c>
      <c r="BJ97" s="59">
        <f t="shared" si="92"/>
        <v>297.32483725004124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39.017276405483848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39.017276405483848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-5.4092197387944907E-14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260.51631161522039</v>
      </c>
      <c r="CE97" s="59">
        <f t="shared" si="94"/>
        <v>171.3469666102674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65.947262878995801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65.947262878995801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3.3992364478763198E-14</v>
      </c>
      <c r="CV97" s="13">
        <f t="shared" si="95"/>
        <v>5.790027782444094E-13</v>
      </c>
      <c r="CW97" s="20">
        <f t="shared" si="67"/>
        <v>1.0676332069095257E-12</v>
      </c>
      <c r="CX97" s="59">
        <f t="shared" si="68"/>
        <v>275.64051507723957</v>
      </c>
      <c r="CY97" s="59">
        <f ca="1">AVERAGE(OFFSET($CX$3,0,0,'Données projet'!$E$13+1,1))-AVERAGE(OFFSET($H$3,0,0,'Données projet'!$E$13+1,1))</f>
        <v>301.2688576786212</v>
      </c>
      <c r="CZ97" s="59">
        <f t="shared" si="96"/>
        <v>417.62172165132927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61.871533827200771</v>
      </c>
      <c r="DG97" s="21">
        <f>EXP(-LN(2)/25)*DG96+(1-EXP(-LN(2)/25))/(LN(2)/25)*Calculateur!DB97*Calculateur!DD97*VLOOKUP('Données projet'!$B$13,Paramètres!$A$1:$I$89,3,0)*0.475*44/12</f>
        <v>15.688744686715612</v>
      </c>
      <c r="DH97" s="21">
        <f>EXP(-LN(2)/2)*DH96+(1-EXP(-LN(2)/2))/(LN(2)/2)*DB97*DE97*VLOOKUP('Données projet'!$B$13,Paramètres!$A$1:$I$89,3,0)*0.475*44/12</f>
        <v>9.9672676111675022E-6</v>
      </c>
      <c r="DI97" s="22">
        <f t="shared" si="69"/>
        <v>77.560288481184003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167.82976403567059</v>
      </c>
      <c r="T98" s="59">
        <f t="shared" si="88"/>
        <v>232.70925470547317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36.575169728220409</v>
      </c>
      <c r="AA98" s="21">
        <f>EXP(-LN(2)/25)*AA97+(1-EXP(-LN(2)/25))/(LN(2)/25)*Calculateur!V98*Calculateur!X98*VLOOKUP('Données projet'!$B$9,Paramètres!$A$1:$I$89,3,0)*0.475*44/12</f>
        <v>13.376921724338125</v>
      </c>
      <c r="AB98" s="21">
        <f>EXP(-LN(2)/2)*AB97+(1-EXP(-LN(2)/2))/(LN(2)/2)*V98*Y98*VLOOKUP('Données projet'!$B$9,Paramètres!$A$1:$I$89,3,0)*0.475*44/12</f>
        <v>1.5557221626740243E-4</v>
      </c>
      <c r="AC98" s="22">
        <f t="shared" si="57"/>
        <v>49.952247024774799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332.00000000000017</v>
      </c>
      <c r="AJ98" s="13">
        <f>AI98*VLOOKUP('Données projet'!$B$10,Paramètres!$A$1:$I$89,3,0)*VLOOKUP('Données projet'!$B$10,Paramètres!$A$1:$I$89,5,0)</f>
        <v>336.6480000000002</v>
      </c>
      <c r="AK98" s="13">
        <f t="shared" si="89"/>
        <v>78.807003163010378</v>
      </c>
      <c r="AL98" s="20">
        <f t="shared" si="58"/>
        <v>723.58413050891011</v>
      </c>
      <c r="AM98" s="59">
        <f t="shared" si="59"/>
        <v>999.5315764276761</v>
      </c>
      <c r="AN98" s="59">
        <f ca="1">AVERAGE(OFFSET($AM$3,0,0,'Données projet'!$E$10+1,1))-AVERAGE(OFFSET($H$3,0,0,'Données projet'!$E$10+1,1))</f>
        <v>542.51810435067659</v>
      </c>
      <c r="AO98" s="59">
        <f t="shared" si="90"/>
        <v>325.7263575945085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42.868812790835648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42.868812790835648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</v>
      </c>
      <c r="BD98" s="12">
        <f>IF('Données projet'!$A$88&gt;35,BD97+BC98-BL97,IF(A98&lt;'Données projet'!$A$88,$BA$205^A98,IF(A98='Données projet'!$A$88,'Données projet'!$B$88,BD97+BC98-BL97)))</f>
        <v>332.00000000000017</v>
      </c>
      <c r="BE98" s="13">
        <f>BD98*VLOOKUP('Données projet'!$B$11,Paramètres!$A$1:$I$89,3,0)*VLOOKUP('Données projet'!$B$11,Paramètres!$A$1:$I$89,5,0)</f>
        <v>300.39360000000016</v>
      </c>
      <c r="BF98" s="13">
        <f t="shared" si="91"/>
        <v>71.258970856492738</v>
      </c>
      <c r="BG98" s="20">
        <f t="shared" si="61"/>
        <v>647.29489424172516</v>
      </c>
      <c r="BH98" s="59">
        <f t="shared" si="62"/>
        <v>923.24234016049104</v>
      </c>
      <c r="BI98" s="59">
        <f ca="1">AVERAGE(OFFSET($BH$3,0,0,'Données projet'!$E$11+1,1))-AVERAGE(OFFSET($H$3,0,0,'Données projet'!$E$11+1,1))</f>
        <v>492.39485179035256</v>
      </c>
      <c r="BJ98" s="59">
        <f t="shared" si="92"/>
        <v>297.32483725004124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38.25217141336104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38.25217141336104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-5.4092197387944907E-14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260.51631161522039</v>
      </c>
      <c r="CE98" s="59">
        <f t="shared" si="94"/>
        <v>171.3469666102674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64.654077277797271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64.654077277797271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3.3992364478763198E-14</v>
      </c>
      <c r="CV98" s="13">
        <f t="shared" si="95"/>
        <v>5.790027782444094E-13</v>
      </c>
      <c r="CW98" s="20">
        <f t="shared" si="67"/>
        <v>1.0676332069095257E-12</v>
      </c>
      <c r="CX98" s="59">
        <f t="shared" si="68"/>
        <v>275.94744591876702</v>
      </c>
      <c r="CY98" s="59">
        <f ca="1">AVERAGE(OFFSET($CX$3,0,0,'Données projet'!$E$13+1,1))-AVERAGE(OFFSET($H$3,0,0,'Données projet'!$E$13+1,1))</f>
        <v>301.2688576786212</v>
      </c>
      <c r="CZ98" s="59">
        <f t="shared" si="96"/>
        <v>417.62172165132927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60.658270786758692</v>
      </c>
      <c r="DG98" s="21">
        <f>EXP(-LN(2)/25)*DG97+(1-EXP(-LN(2)/25))/(LN(2)/25)*Calculateur!DB98*Calculateur!DD98*VLOOKUP('Données projet'!$B$13,Paramètres!$A$1:$I$89,3,0)*0.475*44/12</f>
        <v>15.259735138222148</v>
      </c>
      <c r="DH98" s="21">
        <f>EXP(-LN(2)/2)*DH97+(1-EXP(-LN(2)/2))/(LN(2)/2)*DB98*DE98*VLOOKUP('Données projet'!$B$13,Paramètres!$A$1:$I$89,3,0)*0.475*44/12</f>
        <v>7.0479225177575813E-6</v>
      </c>
      <c r="DI98" s="22">
        <f t="shared" si="69"/>
        <v>75.918012972903355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167.82976403567059</v>
      </c>
      <c r="T99" s="59">
        <f t="shared" si="88"/>
        <v>232.70925470547317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35.857952958500746</v>
      </c>
      <c r="AA99" s="21">
        <f>EXP(-LN(2)/25)*AA98+(1-EXP(-LN(2)/25))/(LN(2)/25)*Calculateur!V99*Calculateur!X99*VLOOKUP('Données projet'!$B$9,Paramètres!$A$1:$I$89,3,0)*0.475*44/12</f>
        <v>13.011129096324359</v>
      </c>
      <c r="AB99" s="21">
        <f>EXP(-LN(2)/2)*AB98+(1-EXP(-LN(2)/2))/(LN(2)/2)*V99*Y99*VLOOKUP('Données projet'!$B$9,Paramètres!$A$1:$I$89,3,0)*0.475*44/12</f>
        <v>1.1000616908690038E-4</v>
      </c>
      <c r="AC99" s="22">
        <f t="shared" si="57"/>
        <v>48.869192060994195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</v>
      </c>
      <c r="AI99" s="13">
        <f>IF('Données projet'!$A$62&gt;35,AI98+AH99-AQ98,IF(A99&lt;'Données projet'!$A$62,$AF$205^A99,IF(A99='Données projet'!$A$62,'Données projet'!$B$62,AI98+AH99-AQ98)))</f>
        <v>338.00000000000017</v>
      </c>
      <c r="AJ99" s="13">
        <f>AI99*VLOOKUP('Données projet'!$B$10,Paramètres!$A$1:$I$89,3,0)*VLOOKUP('Données projet'!$B$10,Paramètres!$A$1:$I$89,5,0)</f>
        <v>342.7320000000002</v>
      </c>
      <c r="AK99" s="13">
        <f t="shared" si="89"/>
        <v>80.064131738348422</v>
      </c>
      <c r="AL99" s="20">
        <f t="shared" si="58"/>
        <v>736.36992944429039</v>
      </c>
      <c r="AM99" s="59">
        <f t="shared" si="59"/>
        <v>1012.6189816406778</v>
      </c>
      <c r="AN99" s="59">
        <f ca="1">AVERAGE(OFFSET($AM$3,0,0,'Données projet'!$E$10+1,1))-AVERAGE(OFFSET($H$3,0,0,'Données projet'!$E$10+1,1))</f>
        <v>542.51810435067659</v>
      </c>
      <c r="AO99" s="59">
        <f t="shared" si="90"/>
        <v>325.7263575945085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42.028181519401322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42.028181519401322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</v>
      </c>
      <c r="BD99" s="12">
        <f>IF('Données projet'!$A$88&gt;35,BD98+BC99-BL98,IF(A99&lt;'Données projet'!$A$88,$BA$205^A99,IF(A99='Données projet'!$A$88,'Données projet'!$B$88,BD98+BC99-BL98)))</f>
        <v>338.00000000000017</v>
      </c>
      <c r="BE99" s="13">
        <f>BD99*VLOOKUP('Données projet'!$B$11,Paramètres!$A$1:$I$89,3,0)*VLOOKUP('Données projet'!$B$11,Paramètres!$A$1:$I$89,5,0)</f>
        <v>305.82240000000013</v>
      </c>
      <c r="BF99" s="13">
        <f t="shared" si="91"/>
        <v>72.395693291268998</v>
      </c>
      <c r="BG99" s="20">
        <f t="shared" si="61"/>
        <v>658.72984581562707</v>
      </c>
      <c r="BH99" s="59">
        <f t="shared" si="62"/>
        <v>934.9788980120145</v>
      </c>
      <c r="BI99" s="59">
        <f ca="1">AVERAGE(OFFSET($BH$3,0,0,'Données projet'!$E$11+1,1))-AVERAGE(OFFSET($H$3,0,0,'Données projet'!$E$11+1,1))</f>
        <v>492.39485179035256</v>
      </c>
      <c r="BJ99" s="59">
        <f t="shared" si="92"/>
        <v>297.32483725004124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37.502069663465797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37.502069663465797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-5.4092197387944907E-14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260.51631161522039</v>
      </c>
      <c r="CE99" s="59">
        <f t="shared" si="94"/>
        <v>171.3469666102674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63.386250257472916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63.386250257472916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3.3992364478763198E-14</v>
      </c>
      <c r="CV99" s="13">
        <f t="shared" si="95"/>
        <v>5.790027782444094E-13</v>
      </c>
      <c r="CW99" s="20">
        <f t="shared" si="67"/>
        <v>1.0676332069095257E-12</v>
      </c>
      <c r="CX99" s="59">
        <f t="shared" si="68"/>
        <v>276.2490521963885</v>
      </c>
      <c r="CY99" s="59">
        <f ca="1">AVERAGE(OFFSET($CX$3,0,0,'Données projet'!$E$13+1,1))-AVERAGE(OFFSET($H$3,0,0,'Données projet'!$E$13+1,1))</f>
        <v>301.2688576786212</v>
      </c>
      <c r="CZ99" s="59">
        <f t="shared" si="96"/>
        <v>417.62172165132927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59.468799094522296</v>
      </c>
      <c r="DG99" s="21">
        <f>EXP(-LN(2)/25)*DG98+(1-EXP(-LN(2)/25))/(LN(2)/25)*Calculateur!DB99*Calculateur!DD99*VLOOKUP('Données projet'!$B$13,Paramètres!$A$1:$I$89,3,0)*0.475*44/12</f>
        <v>14.842456878392868</v>
      </c>
      <c r="DH99" s="21">
        <f>EXP(-LN(2)/2)*DH98+(1-EXP(-LN(2)/2))/(LN(2)/2)*DB99*DE99*VLOOKUP('Données projet'!$B$13,Paramètres!$A$1:$I$89,3,0)*0.475*44/12</f>
        <v>4.9836338055837511E-6</v>
      </c>
      <c r="DI99" s="22">
        <f t="shared" si="69"/>
        <v>74.311260956548963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167.82976403567059</v>
      </c>
      <c r="T100" s="59">
        <f t="shared" si="88"/>
        <v>232.70925470547317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35.154800372176254</v>
      </c>
      <c r="AA100" s="21">
        <f>EXP(-LN(2)/25)*AA99+(1-EXP(-LN(2)/25))/(LN(2)/25)*Calculateur!V100*Calculateur!X100*VLOOKUP('Données projet'!$B$9,Paramètres!$A$1:$I$89,3,0)*0.475*44/12</f>
        <v>12.655339086959827</v>
      </c>
      <c r="AB100" s="21">
        <f>EXP(-LN(2)/2)*AB99+(1-EXP(-LN(2)/2))/(LN(2)/2)*V100*Y100*VLOOKUP('Données projet'!$B$9,Paramètres!$A$1:$I$89,3,0)*0.475*44/12</f>
        <v>7.7786108133701216E-5</v>
      </c>
      <c r="AC100" s="22">
        <f t="shared" si="57"/>
        <v>47.810217245244218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</v>
      </c>
      <c r="AI100" s="13">
        <f>IF('Données projet'!$A$62&gt;35,AI99+AH100-AQ99,IF(A100&lt;'Données projet'!$A$62,$AF$205^A100,IF(A100='Données projet'!$A$62,'Données projet'!$B$62,AI99+AH100-AQ99)))</f>
        <v>344.00000000000017</v>
      </c>
      <c r="AJ100" s="13">
        <f>AI100*VLOOKUP('Données projet'!$B$10,Paramètres!$A$1:$I$89,3,0)*VLOOKUP('Données projet'!$B$10,Paramètres!$A$1:$I$89,5,0)</f>
        <v>348.8160000000002</v>
      </c>
      <c r="AK100" s="13">
        <f t="shared" si="89"/>
        <v>81.318665281585453</v>
      </c>
      <c r="AL100" s="20">
        <f t="shared" si="58"/>
        <v>749.15120869876171</v>
      </c>
      <c r="AM100" s="59">
        <f t="shared" si="59"/>
        <v>1025.6966349781446</v>
      </c>
      <c r="AN100" s="59">
        <f ca="1">AVERAGE(OFFSET($AM$3,0,0,'Données projet'!$E$10+1,1))-AVERAGE(OFFSET($H$3,0,0,'Données projet'!$E$10+1,1))</f>
        <v>542.51810435067659</v>
      </c>
      <c r="AO100" s="59">
        <f t="shared" si="90"/>
        <v>325.7263575945085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41.204034514465377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41.204034514465377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</v>
      </c>
      <c r="BD100" s="12">
        <f>IF('Données projet'!$A$88&gt;35,BD99+BC100-BL99,IF(A100&lt;'Données projet'!$A$88,$BA$205^A100,IF(A100='Données projet'!$A$88,'Données projet'!$B$88,BD99+BC100-BL99)))</f>
        <v>344.00000000000017</v>
      </c>
      <c r="BE100" s="13">
        <f>BD100*VLOOKUP('Données projet'!$B$11,Paramètres!$A$1:$I$89,3,0)*VLOOKUP('Données projet'!$B$11,Paramètres!$A$1:$I$89,5,0)</f>
        <v>311.25120000000015</v>
      </c>
      <c r="BF100" s="13">
        <f t="shared" si="91"/>
        <v>73.530069242745114</v>
      </c>
      <c r="BG100" s="20">
        <f t="shared" si="61"/>
        <v>670.1607105977813</v>
      </c>
      <c r="BH100" s="59">
        <f t="shared" si="62"/>
        <v>946.70613687716411</v>
      </c>
      <c r="BI100" s="59">
        <f ca="1">AVERAGE(OFFSET($BH$3,0,0,'Données projet'!$E$11+1,1))-AVERAGE(OFFSET($H$3,0,0,'Données projet'!$E$11+1,1))</f>
        <v>492.39485179035256</v>
      </c>
      <c r="BJ100" s="59">
        <f t="shared" si="92"/>
        <v>297.32483725004124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36.766676951369107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36.766676951369107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-5.4092197387944907E-14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260.51631161522039</v>
      </c>
      <c r="CE100" s="59">
        <f t="shared" si="94"/>
        <v>171.3469666102674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62.143284551718992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62.143284551718992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3.3992364478763198E-14</v>
      </c>
      <c r="CV100" s="13">
        <f t="shared" si="95"/>
        <v>5.790027782444094E-13</v>
      </c>
      <c r="CW100" s="20">
        <f t="shared" si="67"/>
        <v>1.0676332069095257E-12</v>
      </c>
      <c r="CX100" s="59">
        <f t="shared" si="68"/>
        <v>276.54542627938389</v>
      </c>
      <c r="CY100" s="59">
        <f ca="1">AVERAGE(OFFSET($CX$3,0,0,'Données projet'!$E$13+1,1))-AVERAGE(OFFSET($H$3,0,0,'Données projet'!$E$13+1,1))</f>
        <v>301.2688576786212</v>
      </c>
      <c r="CZ100" s="59">
        <f t="shared" si="96"/>
        <v>417.62172165132927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58.302652216664562</v>
      </c>
      <c r="DG100" s="21">
        <f>EXP(-LN(2)/25)*DG99+(1-EXP(-LN(2)/25))/(LN(2)/25)*Calculateur!DB100*Calculateur!DD100*VLOOKUP('Données projet'!$B$13,Paramètres!$A$1:$I$89,3,0)*0.475*44/12</f>
        <v>14.436589114522331</v>
      </c>
      <c r="DH100" s="21">
        <f>EXP(-LN(2)/2)*DH99+(1-EXP(-LN(2)/2))/(LN(2)/2)*DB100*DE100*VLOOKUP('Données projet'!$B$13,Paramètres!$A$1:$I$89,3,0)*0.475*44/12</f>
        <v>3.5239612588787907E-6</v>
      </c>
      <c r="DI100" s="22">
        <f t="shared" si="69"/>
        <v>72.739244855148144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167.82976403567059</v>
      </c>
      <c r="T101" s="59">
        <f t="shared" si="88"/>
        <v>232.70925470547317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34.465436179188849</v>
      </c>
      <c r="AA101" s="21">
        <f>EXP(-LN(2)/25)*AA100+(1-EXP(-LN(2)/25))/(LN(2)/25)*Calculateur!V101*Calculateur!X101*VLOOKUP('Données projet'!$B$9,Paramètres!$A$1:$I$89,3,0)*0.475*44/12</f>
        <v>12.309278174111553</v>
      </c>
      <c r="AB101" s="21">
        <f>EXP(-LN(2)/2)*AB100+(1-EXP(-LN(2)/2))/(LN(2)/2)*V101*Y101*VLOOKUP('Données projet'!$B$9,Paramètres!$A$1:$I$89,3,0)*0.475*44/12</f>
        <v>5.5003084543450191E-5</v>
      </c>
      <c r="AC101" s="22">
        <f t="shared" si="57"/>
        <v>46.774769356384944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</v>
      </c>
      <c r="AI101" s="13">
        <f>IF('Données projet'!$A$62&gt;35,AI100+AH101-AQ100,IF(A101&lt;'Données projet'!$A$62,$AF$205^A101,IF(A101='Données projet'!$A$62,'Données projet'!$B$62,AI100+AH101-AQ100)))</f>
        <v>350.00000000000017</v>
      </c>
      <c r="AJ101" s="13">
        <f>AI101*VLOOKUP('Données projet'!$B$10,Paramètres!$A$1:$I$89,3,0)*VLOOKUP('Données projet'!$B$10,Paramètres!$A$1:$I$89,5,0)</f>
        <v>354.9000000000002</v>
      </c>
      <c r="AK101" s="13">
        <f t="shared" si="89"/>
        <v>82.570654277328188</v>
      </c>
      <c r="AL101" s="20">
        <f t="shared" si="58"/>
        <v>761.92805619968021</v>
      </c>
      <c r="AM101" s="59">
        <f t="shared" si="59"/>
        <v>1038.7647151343117</v>
      </c>
      <c r="AN101" s="59">
        <f ca="1">AVERAGE(OFFSET($AM$3,0,0,'Données projet'!$E$10+1,1))-AVERAGE(OFFSET($H$3,0,0,'Données projet'!$E$10+1,1))</f>
        <v>542.51810435067659</v>
      </c>
      <c r="AO101" s="59">
        <f t="shared" si="90"/>
        <v>325.7263575945085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40.396048529616188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40.396048529616188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</v>
      </c>
      <c r="BD101" s="12">
        <f>IF('Données projet'!$A$88&gt;35,BD100+BC101-BL100,IF(A101&lt;'Données projet'!$A$88,$BA$205^A101,IF(A101='Données projet'!$A$88,'Données projet'!$B$88,BD100+BC101-BL100)))</f>
        <v>350.00000000000017</v>
      </c>
      <c r="BE101" s="13">
        <f>BD101*VLOOKUP('Données projet'!$B$11,Paramètres!$A$1:$I$89,3,0)*VLOOKUP('Données projet'!$B$11,Paramètres!$A$1:$I$89,5,0)</f>
        <v>316.68000000000012</v>
      </c>
      <c r="BF101" s="13">
        <f t="shared" si="91"/>
        <v>74.662144360177763</v>
      </c>
      <c r="BG101" s="20">
        <f t="shared" si="61"/>
        <v>681.58756809397642</v>
      </c>
      <c r="BH101" s="59">
        <f t="shared" si="62"/>
        <v>958.42422702860779</v>
      </c>
      <c r="BI101" s="59">
        <f ca="1">AVERAGE(OFFSET($BH$3,0,0,'Données projet'!$E$11+1,1))-AVERAGE(OFFSET($H$3,0,0,'Données projet'!$E$11+1,1))</f>
        <v>492.39485179035256</v>
      </c>
      <c r="BJ101" s="59">
        <f t="shared" si="92"/>
        <v>297.32483725004124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36.045704841811371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36.045704841811371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-5.4092197387944907E-14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260.51631161522039</v>
      </c>
      <c r="CE101" s="59">
        <f t="shared" si="94"/>
        <v>171.3469666102674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60.924692645320683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60.924692645320683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3.3992364478763198E-14</v>
      </c>
      <c r="CV101" s="13">
        <f t="shared" si="95"/>
        <v>5.790027782444094E-13</v>
      </c>
      <c r="CW101" s="20">
        <f t="shared" si="67"/>
        <v>1.0676332069095257E-12</v>
      </c>
      <c r="CX101" s="59">
        <f t="shared" si="68"/>
        <v>276.83665893463245</v>
      </c>
      <c r="CY101" s="59">
        <f ca="1">AVERAGE(OFFSET($CX$3,0,0,'Données projet'!$E$13+1,1))-AVERAGE(OFFSET($H$3,0,0,'Données projet'!$E$13+1,1))</f>
        <v>301.2688576786212</v>
      </c>
      <c r="CZ101" s="59">
        <f t="shared" si="96"/>
        <v>417.62172165132927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57.159372767802253</v>
      </c>
      <c r="DG101" s="21">
        <f>EXP(-LN(2)/25)*DG100+(1-EXP(-LN(2)/25))/(LN(2)/25)*Calculateur!DB101*Calculateur!DD101*VLOOKUP('Données projet'!$B$13,Paramètres!$A$1:$I$89,3,0)*0.475*44/12</f>
        <v>14.041819825998491</v>
      </c>
      <c r="DH101" s="21">
        <f>EXP(-LN(2)/2)*DH100+(1-EXP(-LN(2)/2))/(LN(2)/2)*DB101*DE101*VLOOKUP('Données projet'!$B$13,Paramètres!$A$1:$I$89,3,0)*0.475*44/12</f>
        <v>2.4918169027918756E-6</v>
      </c>
      <c r="DI101" s="22">
        <f t="shared" si="69"/>
        <v>71.201195085617641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167.82976403567059</v>
      </c>
      <c r="T102" s="59">
        <f t="shared" si="88"/>
        <v>232.70925470547317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33.789589997555289</v>
      </c>
      <c r="AA102" s="21">
        <f>EXP(-LN(2)/25)*AA101+(1-EXP(-LN(2)/25))/(LN(2)/25)*Calculateur!V102*Calculateur!X102*VLOOKUP('Données projet'!$B$9,Paramètres!$A$1:$I$89,3,0)*0.475*44/12</f>
        <v>11.972680315123666</v>
      </c>
      <c r="AB102" s="21">
        <f>EXP(-LN(2)/2)*AB101+(1-EXP(-LN(2)/2))/(LN(2)/2)*V102*Y102*VLOOKUP('Données projet'!$B$9,Paramètres!$A$1:$I$89,3,0)*0.475*44/12</f>
        <v>3.8893054066850608E-5</v>
      </c>
      <c r="AC102" s="22">
        <f t="shared" si="57"/>
        <v>45.762309205733025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</v>
      </c>
      <c r="AI102" s="13">
        <f>IF('Données projet'!$A$62&gt;35,AI101+AH102-AQ101,IF(A102&lt;'Données projet'!$A$62,$AF$205^A102,IF(A102='Données projet'!$A$62,'Données projet'!$B$62,AI101+AH102-AQ101)))</f>
        <v>356.00000000000017</v>
      </c>
      <c r="AJ102" s="13">
        <f>AI102*VLOOKUP('Données projet'!$B$10,Paramètres!$A$1:$I$89,3,0)*VLOOKUP('Données projet'!$B$10,Paramètres!$A$1:$I$89,5,0)</f>
        <v>360.98400000000021</v>
      </c>
      <c r="AK102" s="13">
        <f t="shared" si="89"/>
        <v>83.820147380102171</v>
      </c>
      <c r="AL102" s="20">
        <f t="shared" si="58"/>
        <v>774.70055668701161</v>
      </c>
      <c r="AM102" s="59">
        <f t="shared" si="59"/>
        <v>1051.8233960414218</v>
      </c>
      <c r="AN102" s="59">
        <f ca="1">AVERAGE(OFFSET($AM$3,0,0,'Données projet'!$E$10+1,1))-AVERAGE(OFFSET($H$3,0,0,'Données projet'!$E$10+1,1))</f>
        <v>542.51810435067659</v>
      </c>
      <c r="AO102" s="59">
        <f t="shared" si="90"/>
        <v>325.7263575945085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39.603906657107103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39.603906657107103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</v>
      </c>
      <c r="BD102" s="12">
        <f>IF('Données projet'!$A$88&gt;35,BD101+BC102-BL101,IF(A102&lt;'Données projet'!$A$88,$BA$205^A102,IF(A102='Données projet'!$A$88,'Données projet'!$B$88,BD101+BC102-BL101)))</f>
        <v>356.00000000000017</v>
      </c>
      <c r="BE102" s="13">
        <f>BD102*VLOOKUP('Données projet'!$B$11,Paramètres!$A$1:$I$89,3,0)*VLOOKUP('Données projet'!$B$11,Paramètres!$A$1:$I$89,5,0)</f>
        <v>322.10880000000014</v>
      </c>
      <c r="BF102" s="13">
        <f t="shared" si="91"/>
        <v>75.791962638025339</v>
      </c>
      <c r="BG102" s="20">
        <f t="shared" si="61"/>
        <v>693.01049492789434</v>
      </c>
      <c r="BH102" s="59">
        <f t="shared" si="62"/>
        <v>970.13333428230453</v>
      </c>
      <c r="BI102" s="59">
        <f ca="1">AVERAGE(OFFSET($BH$3,0,0,'Données projet'!$E$11+1,1))-AVERAGE(OFFSET($H$3,0,0,'Données projet'!$E$11+1,1))</f>
        <v>492.39485179035256</v>
      </c>
      <c r="BJ102" s="59">
        <f t="shared" si="92"/>
        <v>297.32483725004124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35.338870555572498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35.338870555572498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-5.4092197387944907E-14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260.51631161522039</v>
      </c>
      <c r="CE102" s="59">
        <f t="shared" si="94"/>
        <v>171.3469666102674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59.729996582939172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59.729996582939172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3.3992364478763198E-14</v>
      </c>
      <c r="CV102" s="13">
        <f t="shared" si="95"/>
        <v>5.790027782444094E-13</v>
      </c>
      <c r="CW102" s="20">
        <f t="shared" si="67"/>
        <v>1.0676332069095257E-12</v>
      </c>
      <c r="CX102" s="59">
        <f t="shared" si="68"/>
        <v>277.12283935441121</v>
      </c>
      <c r="CY102" s="59">
        <f ca="1">AVERAGE(OFFSET($CX$3,0,0,'Données projet'!$E$13+1,1))-AVERAGE(OFFSET($H$3,0,0,'Données projet'!$E$13+1,1))</f>
        <v>301.2688576786212</v>
      </c>
      <c r="CZ102" s="59">
        <f t="shared" si="96"/>
        <v>417.62172165132927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56.038512331600529</v>
      </c>
      <c r="DG102" s="21">
        <f>EXP(-LN(2)/25)*DG101+(1-EXP(-LN(2)/25))/(LN(2)/25)*Calculateur!DB102*Calculateur!DD102*VLOOKUP('Données projet'!$B$13,Paramètres!$A$1:$I$89,3,0)*0.475*44/12</f>
        <v>13.657845524429352</v>
      </c>
      <c r="DH102" s="21">
        <f>EXP(-LN(2)/2)*DH101+(1-EXP(-LN(2)/2))/(LN(2)/2)*DB102*DE102*VLOOKUP('Données projet'!$B$13,Paramètres!$A$1:$I$89,3,0)*0.475*44/12</f>
        <v>1.7619806294393953E-6</v>
      </c>
      <c r="DI102" s="22">
        <f t="shared" si="69"/>
        <v>69.696359618010504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167.82976403567059</v>
      </c>
      <c r="T103" s="59">
        <f t="shared" si="88"/>
        <v>232.70925470547317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33.126996747318096</v>
      </c>
      <c r="AA103" s="21">
        <f>EXP(-LN(2)/25)*AA102+(1-EXP(-LN(2)/25))/(LN(2)/25)*Calculateur!V103*Calculateur!X103*VLOOKUP('Données projet'!$B$9,Paramètres!$A$1:$I$89,3,0)*0.475*44/12</f>
        <v>11.645286742290716</v>
      </c>
      <c r="AB103" s="21">
        <f>EXP(-LN(2)/2)*AB102+(1-EXP(-LN(2)/2))/(LN(2)/2)*V103*Y103*VLOOKUP('Données projet'!$B$9,Paramètres!$A$1:$I$89,3,0)*0.475*44/12</f>
        <v>2.7501542271725096E-5</v>
      </c>
      <c r="AC103" s="22">
        <f t="shared" si="57"/>
        <v>44.77231099115108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362</v>
      </c>
      <c r="AG103" s="12">
        <f>VLOOKUP(A103,'Données projet'!$A$61:$I$81,9,0)</f>
        <v>6</v>
      </c>
      <c r="AH103" s="12">
        <f t="array" ref="AH103">INDEX(AG:AG,MIN(IF(ISNUMBER(AG103:AG299),ROW(AG103:AG299),"")))</f>
        <v>6</v>
      </c>
      <c r="AI103" s="13">
        <f>IF('Données projet'!$A$62&gt;35,AI102+AH103-AQ102,IF(A103&lt;'Données projet'!$A$62,$AF$205^A103,IF(A103='Données projet'!$A$62,'Données projet'!$B$62,AI102+AH103-AQ102)))</f>
        <v>362.00000000000017</v>
      </c>
      <c r="AJ103" s="13">
        <f>AI103*VLOOKUP('Données projet'!$B$10,Paramètres!$A$1:$I$89,3,0)*VLOOKUP('Données projet'!$B$10,Paramètres!$A$1:$I$89,5,0)</f>
        <v>367.06800000000021</v>
      </c>
      <c r="AK103" s="13">
        <f t="shared" si="89"/>
        <v>85.067191510398061</v>
      </c>
      <c r="AL103" s="20">
        <f t="shared" si="58"/>
        <v>787.4687918806103</v>
      </c>
      <c r="AM103" s="59">
        <f t="shared" si="59"/>
        <v>1064.8728470643196</v>
      </c>
      <c r="AN103" s="59">
        <f ca="1">AVERAGE(OFFSET($AM$3,0,0,'Données projet'!$E$10+1,1))-AVERAGE(OFFSET($H$3,0,0,'Données projet'!$E$10+1,1))</f>
        <v>542.51810435067659</v>
      </c>
      <c r="AO103" s="59">
        <f t="shared" si="90"/>
        <v>325.7263575945085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56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60.421220534360359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60.421220534360359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362</v>
      </c>
      <c r="BB103" s="12">
        <f>VLOOKUP(A103,'Données projet'!$A$87:$I$107,9,0)</f>
        <v>6</v>
      </c>
      <c r="BC103" s="12">
        <f t="array" ref="BC103">INDEX(BB:BB,MIN(IF(ISNUMBER(BB103:BB299),ROW(BB103:BB299),"")))</f>
        <v>6</v>
      </c>
      <c r="BD103" s="12">
        <f>IF('Données projet'!$A$88&gt;35,BD102+BC103-BL102,IF(A103&lt;'Données projet'!$A$88,$BA$205^A103,IF(A103='Données projet'!$A$88,'Données projet'!$B$88,BD102+BC103-BL102)))</f>
        <v>362.00000000000017</v>
      </c>
      <c r="BE103" s="13">
        <f>BD103*VLOOKUP('Données projet'!$B$11,Paramètres!$A$1:$I$89,3,0)*VLOOKUP('Données projet'!$B$11,Paramètres!$A$1:$I$89,5,0)</f>
        <v>327.53760000000017</v>
      </c>
      <c r="BF103" s="13">
        <f t="shared" si="91"/>
        <v>76.919566502794808</v>
      </c>
      <c r="BG103" s="20">
        <f t="shared" si="61"/>
        <v>704.42956499236789</v>
      </c>
      <c r="BH103" s="59">
        <f t="shared" si="62"/>
        <v>981.83362017607715</v>
      </c>
      <c r="BI103" s="59">
        <f ca="1">AVERAGE(OFFSET($BH$3,0,0,'Données projet'!$E$11+1,1))-AVERAGE(OFFSET($H$3,0,0,'Données projet'!$E$11+1,1))</f>
        <v>492.39485179035256</v>
      </c>
      <c r="BJ103" s="59">
        <f t="shared" si="92"/>
        <v>297.32483725004124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56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53.914319861429249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53.914319861429249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-5.4092197387944907E-14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260.51631161522039</v>
      </c>
      <c r="CE103" s="59">
        <f t="shared" si="94"/>
        <v>171.3469666102674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58.558727781648322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58.558727781648322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3.3992364478763198E-14</v>
      </c>
      <c r="CV103" s="13">
        <f t="shared" si="95"/>
        <v>5.790027782444094E-13</v>
      </c>
      <c r="CW103" s="20">
        <f t="shared" si="67"/>
        <v>1.0676332069095257E-12</v>
      </c>
      <c r="CX103" s="59">
        <f t="shared" si="68"/>
        <v>277.40405518371028</v>
      </c>
      <c r="CY103" s="59">
        <f ca="1">AVERAGE(OFFSET($CX$3,0,0,'Données projet'!$E$13+1,1))-AVERAGE(OFFSET($H$3,0,0,'Données projet'!$E$13+1,1))</f>
        <v>301.2688576786212</v>
      </c>
      <c r="CZ103" s="59">
        <f t="shared" si="96"/>
        <v>417.62172165132927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54.939631284895356</v>
      </c>
      <c r="DG103" s="21">
        <f>EXP(-LN(2)/25)*DG102+(1-EXP(-LN(2)/25))/(LN(2)/25)*Calculateur!DB103*Calculateur!DD103*VLOOKUP('Données projet'!$B$13,Paramètres!$A$1:$I$89,3,0)*0.475*44/12</f>
        <v>13.284371020328949</v>
      </c>
      <c r="DH103" s="21">
        <f>EXP(-LN(2)/2)*DH102+(1-EXP(-LN(2)/2))/(LN(2)/2)*DB103*DE103*VLOOKUP('Données projet'!$B$13,Paramètres!$A$1:$I$89,3,0)*0.475*44/12</f>
        <v>1.2459084513959378E-6</v>
      </c>
      <c r="DI103" s="22">
        <f t="shared" si="69"/>
        <v>68.224003551132753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167.82976403567059</v>
      </c>
      <c r="T104" s="59">
        <f t="shared" si="88"/>
        <v>232.70925470547317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32.477396546576081</v>
      </c>
      <c r="AA104" s="21">
        <f>EXP(-LN(2)/25)*AA103+(1-EXP(-LN(2)/25))/(LN(2)/25)*Calculateur!V104*Calculateur!X104*VLOOKUP('Données projet'!$B$9,Paramètres!$A$1:$I$89,3,0)*0.475*44/12</f>
        <v>11.326845763923762</v>
      </c>
      <c r="AB104" s="21">
        <f>EXP(-LN(2)/2)*AB103+(1-EXP(-LN(2)/2))/(LN(2)/2)*V104*Y104*VLOOKUP('Données projet'!$B$9,Paramètres!$A$1:$I$89,3,0)*0.475*44/12</f>
        <v>1.9446527033425304E-5</v>
      </c>
      <c r="AC104" s="22">
        <f t="shared" si="57"/>
        <v>43.804261757026879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311.20000000000016</v>
      </c>
      <c r="AJ104" s="13">
        <f>AI104*VLOOKUP('Données projet'!$B$10,Paramètres!$A$1:$I$89,3,0)*VLOOKUP('Données projet'!$B$10,Paramètres!$A$1:$I$89,5,0)</f>
        <v>315.55680000000018</v>
      </c>
      <c r="AK104" s="13">
        <f t="shared" si="89"/>
        <v>74.42810851327107</v>
      </c>
      <c r="AL104" s="20">
        <f t="shared" si="58"/>
        <v>679.22371566061418</v>
      </c>
      <c r="AM104" s="59">
        <f t="shared" si="59"/>
        <v>956.90410820768852</v>
      </c>
      <c r="AN104" s="59">
        <f ca="1">AVERAGE(OFFSET($AM$3,0,0,'Données projet'!$E$10+1,1))-AVERAGE(OFFSET($H$3,0,0,'Données projet'!$E$10+1,1))</f>
        <v>542.51810435067659</v>
      </c>
      <c r="AO104" s="59">
        <f t="shared" si="90"/>
        <v>325.7263575945085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59.236397252987118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59.236397252987118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311.20000000000016</v>
      </c>
      <c r="BE104" s="13">
        <f>BD104*VLOOKUP('Données projet'!$B$11,Paramètres!$A$1:$I$89,3,0)*VLOOKUP('Données projet'!$B$11,Paramètres!$A$1:$I$89,5,0)</f>
        <v>281.57376000000011</v>
      </c>
      <c r="BF104" s="13">
        <f t="shared" si="91"/>
        <v>67.299481043335049</v>
      </c>
      <c r="BG104" s="20">
        <f t="shared" si="61"/>
        <v>607.62089481714213</v>
      </c>
      <c r="BH104" s="59">
        <f t="shared" si="62"/>
        <v>885.30128736421648</v>
      </c>
      <c r="BI104" s="59">
        <f ca="1">AVERAGE(OFFSET($BH$3,0,0,'Données projet'!$E$11+1,1))-AVERAGE(OFFSET($H$3,0,0,'Données projet'!$E$11+1,1))</f>
        <v>492.39485179035256</v>
      </c>
      <c r="BJ104" s="59">
        <f t="shared" si="92"/>
        <v>297.32483725004124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52.857092933434664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52.857092933434664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-5.4092197387944907E-14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260.51631161522039</v>
      </c>
      <c r="CE104" s="59">
        <f t="shared" si="94"/>
        <v>171.3469666102674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57.410426847147356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57.410426847147356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3.3992364478763198E-14</v>
      </c>
      <c r="CV104" s="13">
        <f t="shared" si="95"/>
        <v>5.790027782444094E-13</v>
      </c>
      <c r="CW104" s="20">
        <f t="shared" si="67"/>
        <v>1.0676332069095257E-12</v>
      </c>
      <c r="CX104" s="59">
        <f t="shared" si="68"/>
        <v>277.68039254707548</v>
      </c>
      <c r="CY104" s="59">
        <f ca="1">AVERAGE(OFFSET($CX$3,0,0,'Données projet'!$E$13+1,1))-AVERAGE(OFFSET($H$3,0,0,'Données projet'!$E$13+1,1))</f>
        <v>301.2688576786212</v>
      </c>
      <c r="CZ104" s="59">
        <f t="shared" si="96"/>
        <v>417.62172165132927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53.86229862526482</v>
      </c>
      <c r="DG104" s="21">
        <f>EXP(-LN(2)/25)*DG103+(1-EXP(-LN(2)/25))/(LN(2)/25)*Calculateur!DB104*Calculateur!DD104*VLOOKUP('Données projet'!$B$13,Paramètres!$A$1:$I$89,3,0)*0.475*44/12</f>
        <v>12.921109196183345</v>
      </c>
      <c r="DH104" s="21">
        <f>EXP(-LN(2)/2)*DH103+(1-EXP(-LN(2)/2))/(LN(2)/2)*DB104*DE104*VLOOKUP('Données projet'!$B$13,Paramètres!$A$1:$I$89,3,0)*0.475*44/12</f>
        <v>8.8099031471969767E-7</v>
      </c>
      <c r="DI104" s="22">
        <f t="shared" si="69"/>
        <v>66.783408702438479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167.82976403567059</v>
      </c>
      <c r="T105" s="59">
        <f t="shared" si="88"/>
        <v>232.70925470547317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31.840534609553615</v>
      </c>
      <c r="AA105" s="21">
        <f>EXP(-LN(2)/25)*AA104+(1-EXP(-LN(2)/25))/(LN(2)/25)*Calculateur!V105*Calculateur!X105*VLOOKUP('Données projet'!$B$9,Paramètres!$A$1:$I$89,3,0)*0.475*44/12</f>
        <v>11.017112570856336</v>
      </c>
      <c r="AB105" s="21">
        <f>EXP(-LN(2)/2)*AB104+(1-EXP(-LN(2)/2))/(LN(2)/2)*V105*Y105*VLOOKUP('Données projet'!$B$9,Paramètres!$A$1:$I$89,3,0)*0.475*44/12</f>
        <v>1.3750771135862548E-5</v>
      </c>
      <c r="AC105" s="22">
        <f t="shared" si="57"/>
        <v>42.857660931181087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316.40000000000015</v>
      </c>
      <c r="AJ105" s="13">
        <f>AI105*VLOOKUP('Données projet'!$B$10,Paramètres!$A$1:$I$89,3,0)*VLOOKUP('Données projet'!$B$10,Paramètres!$A$1:$I$89,5,0)</f>
        <v>320.8296000000002</v>
      </c>
      <c r="AK105" s="13">
        <f t="shared" si="89"/>
        <v>75.525942057150743</v>
      </c>
      <c r="AL105" s="20">
        <f t="shared" si="58"/>
        <v>690.31923574953782</v>
      </c>
      <c r="AM105" s="59">
        <f t="shared" si="59"/>
        <v>968.27117182452071</v>
      </c>
      <c r="AN105" s="59">
        <f ca="1">AVERAGE(OFFSET($AM$3,0,0,'Données projet'!$E$10+1,1))-AVERAGE(OFFSET($H$3,0,0,'Données projet'!$E$10+1,1))</f>
        <v>542.51810435067659</v>
      </c>
      <c r="AO105" s="59">
        <f t="shared" si="90"/>
        <v>325.7263575945085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58.074807633490764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58.074807633490764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316.40000000000015</v>
      </c>
      <c r="BE105" s="13">
        <f>BD105*VLOOKUP('Données projet'!$B$11,Paramètres!$A$1:$I$89,3,0)*VLOOKUP('Données projet'!$B$11,Paramètres!$A$1:$I$89,5,0)</f>
        <v>286.27872000000013</v>
      </c>
      <c r="BF105" s="13">
        <f t="shared" si="91"/>
        <v>68.292165517667613</v>
      </c>
      <c r="BG105" s="20">
        <f t="shared" si="61"/>
        <v>617.54429227660466</v>
      </c>
      <c r="BH105" s="59">
        <f t="shared" si="62"/>
        <v>895.49622835158766</v>
      </c>
      <c r="BI105" s="59">
        <f ca="1">AVERAGE(OFFSET($BH$3,0,0,'Données projet'!$E$11+1,1))-AVERAGE(OFFSET($H$3,0,0,'Données projet'!$E$11+1,1))</f>
        <v>492.39485179035256</v>
      </c>
      <c r="BJ105" s="59">
        <f t="shared" si="92"/>
        <v>297.32483725004124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51.820597580653299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51.820597580653299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-5.4092197387944907E-14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260.51631161522039</v>
      </c>
      <c r="CE105" s="59">
        <f t="shared" si="94"/>
        <v>171.3469666102674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56.284643393577539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56.284643393577539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3.3992364478763198E-14</v>
      </c>
      <c r="CV105" s="13">
        <f t="shared" si="95"/>
        <v>5.790027782444094E-13</v>
      </c>
      <c r="CW105" s="20">
        <f t="shared" si="67"/>
        <v>1.0676332069095257E-12</v>
      </c>
      <c r="CX105" s="59">
        <f t="shared" si="68"/>
        <v>277.95193607498402</v>
      </c>
      <c r="CY105" s="59">
        <f ca="1">AVERAGE(OFFSET($CX$3,0,0,'Données projet'!$E$13+1,1))-AVERAGE(OFFSET($H$3,0,0,'Données projet'!$E$13+1,1))</f>
        <v>301.2688576786212</v>
      </c>
      <c r="CZ105" s="59">
        <f t="shared" si="96"/>
        <v>417.62172165132927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52.806091801981601</v>
      </c>
      <c r="DG105" s="21">
        <f>EXP(-LN(2)/25)*DG104+(1-EXP(-LN(2)/25))/(LN(2)/25)*Calculateur!DB105*Calculateur!DD105*VLOOKUP('Données projet'!$B$13,Paramètres!$A$1:$I$89,3,0)*0.475*44/12</f>
        <v>12.56778078572211</v>
      </c>
      <c r="DH105" s="21">
        <f>EXP(-LN(2)/2)*DH104+(1-EXP(-LN(2)/2))/(LN(2)/2)*DB105*DE105*VLOOKUP('Données projet'!$B$13,Paramètres!$A$1:$I$89,3,0)*0.475*44/12</f>
        <v>6.2295422569796889E-7</v>
      </c>
      <c r="DI105" s="22">
        <f t="shared" si="69"/>
        <v>65.373873210657948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167.82976403567059</v>
      </c>
      <c r="T106" s="59">
        <f t="shared" si="88"/>
        <v>232.70925470547317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31.216161146668735</v>
      </c>
      <c r="AA106" s="21">
        <f>EXP(-LN(2)/25)*AA105+(1-EXP(-LN(2)/25))/(LN(2)/25)*Calculateur!V106*Calculateur!X106*VLOOKUP('Données projet'!$B$9,Paramètres!$A$1:$I$89,3,0)*0.475*44/12</f>
        <v>10.715849048241498</v>
      </c>
      <c r="AB106" s="21">
        <f>EXP(-LN(2)/2)*AB105+(1-EXP(-LN(2)/2))/(LN(2)/2)*V106*Y106*VLOOKUP('Données projet'!$B$9,Paramètres!$A$1:$I$89,3,0)*0.475*44/12</f>
        <v>9.723263516712652E-6</v>
      </c>
      <c r="AC106" s="22">
        <f t="shared" si="57"/>
        <v>41.932019918173751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321.60000000000014</v>
      </c>
      <c r="AJ106" s="13">
        <f>AI106*VLOOKUP('Données projet'!$B$10,Paramètres!$A$1:$I$89,3,0)*VLOOKUP('Données projet'!$B$10,Paramètres!$A$1:$I$89,5,0)</f>
        <v>326.10240000000016</v>
      </c>
      <c r="AK106" s="13">
        <f t="shared" si="89"/>
        <v>76.621677329562345</v>
      </c>
      <c r="AL106" s="20">
        <f t="shared" si="58"/>
        <v>701.41110134898815</v>
      </c>
      <c r="AM106" s="59">
        <f t="shared" si="59"/>
        <v>979.62987027875079</v>
      </c>
      <c r="AN106" s="59">
        <f ca="1">AVERAGE(OFFSET($AM$3,0,0,'Données projet'!$E$10+1,1))-AVERAGE(OFFSET($H$3,0,0,'Données projet'!$E$10+1,1))</f>
        <v>542.51810435067659</v>
      </c>
      <c r="AO106" s="59">
        <f t="shared" si="90"/>
        <v>325.7263575945085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56.935996077933019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56.935996077933019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321.60000000000014</v>
      </c>
      <c r="BE106" s="13">
        <f>BD106*VLOOKUP('Données projet'!$B$11,Paramètres!$A$1:$I$89,3,0)*VLOOKUP('Données projet'!$B$11,Paramètres!$A$1:$I$89,5,0)</f>
        <v>290.98368000000011</v>
      </c>
      <c r="BF106" s="13">
        <f t="shared" si="91"/>
        <v>69.282952690245423</v>
      </c>
      <c r="BG106" s="20">
        <f t="shared" si="61"/>
        <v>627.46438526884424</v>
      </c>
      <c r="BH106" s="59">
        <f t="shared" si="62"/>
        <v>905.68315419860687</v>
      </c>
      <c r="BI106" s="59">
        <f ca="1">AVERAGE(OFFSET($BH$3,0,0,'Données projet'!$E$11+1,1))-AVERAGE(OFFSET($H$3,0,0,'Données projet'!$E$11+1,1))</f>
        <v>492.39485179035256</v>
      </c>
      <c r="BJ106" s="59">
        <f t="shared" si="92"/>
        <v>297.32483725004124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50.804427269540234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50.804427269540234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-5.4092197387944907E-14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260.51631161522039</v>
      </c>
      <c r="CE106" s="59">
        <f t="shared" si="94"/>
        <v>171.3469666102674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55.180935866872126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55.180935866872126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3.3992364478763198E-14</v>
      </c>
      <c r="CV106" s="13">
        <f t="shared" si="95"/>
        <v>5.790027782444094E-13</v>
      </c>
      <c r="CW106" s="20">
        <f t="shared" si="67"/>
        <v>1.0676332069095257E-12</v>
      </c>
      <c r="CX106" s="59">
        <f t="shared" si="68"/>
        <v>278.21876892976377</v>
      </c>
      <c r="CY106" s="59">
        <f ca="1">AVERAGE(OFFSET($CX$3,0,0,'Données projet'!$E$13+1,1))-AVERAGE(OFFSET($H$3,0,0,'Données projet'!$E$13+1,1))</f>
        <v>301.2688576786212</v>
      </c>
      <c r="CZ106" s="59">
        <f t="shared" si="96"/>
        <v>417.62172165132927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51.770596550280416</v>
      </c>
      <c r="DG106" s="21">
        <f>EXP(-LN(2)/25)*DG105+(1-EXP(-LN(2)/25))/(LN(2)/25)*Calculateur!DB106*Calculateur!DD106*VLOOKUP('Données projet'!$B$13,Paramètres!$A$1:$I$89,3,0)*0.475*44/12</f>
        <v>12.224114159225671</v>
      </c>
      <c r="DH106" s="21">
        <f>EXP(-LN(2)/2)*DH105+(1-EXP(-LN(2)/2))/(LN(2)/2)*DB106*DE106*VLOOKUP('Données projet'!$B$13,Paramètres!$A$1:$I$89,3,0)*0.475*44/12</f>
        <v>4.4049515735984883E-7</v>
      </c>
      <c r="DI106" s="22">
        <f t="shared" si="69"/>
        <v>63.994711150001244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167.82976403567059</v>
      </c>
      <c r="T107" s="59">
        <f t="shared" si="88"/>
        <v>232.70925470547317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30.604031266560821</v>
      </c>
      <c r="AA107" s="21">
        <f>EXP(-LN(2)/25)*AA106+(1-EXP(-LN(2)/25))/(LN(2)/25)*Calculateur!V107*Calculateur!X107*VLOOKUP('Données projet'!$B$9,Paramètres!$A$1:$I$89,3,0)*0.475*44/12</f>
        <v>10.422823592495325</v>
      </c>
      <c r="AB107" s="21">
        <f>EXP(-LN(2)/2)*AB106+(1-EXP(-LN(2)/2))/(LN(2)/2)*V107*Y107*VLOOKUP('Données projet'!$B$9,Paramètres!$A$1:$I$89,3,0)*0.475*44/12</f>
        <v>6.8753855679312739E-6</v>
      </c>
      <c r="AC107" s="22">
        <f t="shared" si="57"/>
        <v>41.026861734441709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326.80000000000013</v>
      </c>
      <c r="AJ107" s="13">
        <f>AI107*VLOOKUP('Données projet'!$B$10,Paramètres!$A$1:$I$89,3,0)*VLOOKUP('Données projet'!$B$10,Paramètres!$A$1:$I$89,5,0)</f>
        <v>331.37520000000018</v>
      </c>
      <c r="AK107" s="13">
        <f t="shared" si="89"/>
        <v>77.715352174616967</v>
      </c>
      <c r="AL107" s="20">
        <f t="shared" si="58"/>
        <v>712.49937837079142</v>
      </c>
      <c r="AM107" s="59">
        <f t="shared" si="59"/>
        <v>990.98035120185227</v>
      </c>
      <c r="AN107" s="59">
        <f ca="1">AVERAGE(OFFSET($AM$3,0,0,'Données projet'!$E$10+1,1))-AVERAGE(OFFSET($H$3,0,0,'Données projet'!$E$10+1,1))</f>
        <v>542.51810435067659</v>
      </c>
      <c r="AO107" s="59">
        <f t="shared" si="90"/>
        <v>325.7263575945085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55.819515922373299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55.819515922373299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326.80000000000013</v>
      </c>
      <c r="BE107" s="13">
        <f>BD107*VLOOKUP('Données projet'!$B$11,Paramètres!$A$1:$I$89,3,0)*VLOOKUP('Données projet'!$B$11,Paramètres!$A$1:$I$89,5,0)</f>
        <v>295.68864000000013</v>
      </c>
      <c r="BF107" s="13">
        <f t="shared" si="91"/>
        <v>70.271876780519804</v>
      </c>
      <c r="BG107" s="20">
        <f t="shared" si="61"/>
        <v>637.38123339273886</v>
      </c>
      <c r="BH107" s="59">
        <f t="shared" si="62"/>
        <v>915.86220622379983</v>
      </c>
      <c r="BI107" s="59">
        <f ca="1">AVERAGE(OFFSET($BH$3,0,0,'Données projet'!$E$11+1,1))-AVERAGE(OFFSET($H$3,0,0,'Données projet'!$E$11+1,1))</f>
        <v>492.39485179035256</v>
      </c>
      <c r="BJ107" s="59">
        <f t="shared" si="92"/>
        <v>297.32483725004124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49.808183438425409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49.808183438425409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-5.4092197387944907E-14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260.51631161522039</v>
      </c>
      <c r="CE107" s="59">
        <f t="shared" si="94"/>
        <v>171.3469666102674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54.098871371570283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54.098871371570283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3.3992364478763198E-14</v>
      </c>
      <c r="CV107" s="13">
        <f t="shared" si="95"/>
        <v>5.790027782444094E-13</v>
      </c>
      <c r="CW107" s="20">
        <f t="shared" si="67"/>
        <v>1.0676332069095257E-12</v>
      </c>
      <c r="CX107" s="59">
        <f t="shared" si="68"/>
        <v>278.48097283106199</v>
      </c>
      <c r="CY107" s="59">
        <f ca="1">AVERAGE(OFFSET($CX$3,0,0,'Données projet'!$E$13+1,1))-AVERAGE(OFFSET($H$3,0,0,'Données projet'!$E$13+1,1))</f>
        <v>301.2688576786212</v>
      </c>
      <c r="CZ107" s="59">
        <f t="shared" si="96"/>
        <v>417.62172165132927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50.75540672887535</v>
      </c>
      <c r="DG107" s="21">
        <f>EXP(-LN(2)/25)*DG106+(1-EXP(-LN(2)/25))/(LN(2)/25)*Calculateur!DB107*Calculateur!DD107*VLOOKUP('Données projet'!$B$13,Paramètres!$A$1:$I$89,3,0)*0.475*44/12</f>
        <v>11.889845114703419</v>
      </c>
      <c r="DH107" s="21">
        <f>EXP(-LN(2)/2)*DH106+(1-EXP(-LN(2)/2))/(LN(2)/2)*DB107*DE107*VLOOKUP('Données projet'!$B$13,Paramètres!$A$1:$I$89,3,0)*0.475*44/12</f>
        <v>3.1147711284898444E-7</v>
      </c>
      <c r="DI107" s="22">
        <f t="shared" si="69"/>
        <v>62.645252155055886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167.82976403567059</v>
      </c>
      <c r="T108" s="59">
        <f t="shared" si="88"/>
        <v>232.70925470547317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30.00390488003946</v>
      </c>
      <c r="AA108" s="21">
        <f>EXP(-LN(2)/25)*AA107+(1-EXP(-LN(2)/25))/(LN(2)/25)*Calculateur!V108*Calculateur!X108*VLOOKUP('Données projet'!$B$9,Paramètres!$A$1:$I$89,3,0)*0.475*44/12</f>
        <v>10.137810933246069</v>
      </c>
      <c r="AB108" s="21">
        <f>EXP(-LN(2)/2)*AB107+(1-EXP(-LN(2)/2))/(LN(2)/2)*V108*Y108*VLOOKUP('Données projet'!$B$9,Paramètres!$A$1:$I$89,3,0)*0.475*44/12</f>
        <v>4.861631758356326E-6</v>
      </c>
      <c r="AC108" s="22">
        <f t="shared" si="57"/>
        <v>40.141720674917288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332.00000000000011</v>
      </c>
      <c r="AJ108" s="13">
        <f>AI108*VLOOKUP('Données projet'!$B$10,Paramètres!$A$1:$I$89,3,0)*VLOOKUP('Données projet'!$B$10,Paramètres!$A$1:$I$89,5,0)</f>
        <v>336.64800000000014</v>
      </c>
      <c r="AK108" s="13">
        <f t="shared" si="89"/>
        <v>78.807003163010378</v>
      </c>
      <c r="AL108" s="20">
        <f t="shared" si="58"/>
        <v>723.58413050891011</v>
      </c>
      <c r="AM108" s="59">
        <f t="shared" si="59"/>
        <v>1002.3227585897819</v>
      </c>
      <c r="AN108" s="59">
        <f ca="1">AVERAGE(OFFSET($AM$3,0,0,'Données projet'!$E$10+1,1))-AVERAGE(OFFSET($H$3,0,0,'Données projet'!$E$10+1,1))</f>
        <v>542.51810435067659</v>
      </c>
      <c r="AO108" s="59">
        <f t="shared" si="90"/>
        <v>325.7263575945085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54.724929261678454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54.724929261678454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332.00000000000011</v>
      </c>
      <c r="BE108" s="13">
        <f>BD108*VLOOKUP('Données projet'!$B$11,Paramètres!$A$1:$I$89,3,0)*VLOOKUP('Données projet'!$B$11,Paramètres!$A$1:$I$89,5,0)</f>
        <v>300.39360000000011</v>
      </c>
      <c r="BF108" s="13">
        <f t="shared" si="91"/>
        <v>71.258970856492738</v>
      </c>
      <c r="BG108" s="20">
        <f t="shared" si="61"/>
        <v>647.29489424172505</v>
      </c>
      <c r="BH108" s="59">
        <f t="shared" si="62"/>
        <v>926.03352232259681</v>
      </c>
      <c r="BI108" s="59">
        <f ca="1">AVERAGE(OFFSET($BH$3,0,0,'Données projet'!$E$11+1,1))-AVERAGE(OFFSET($H$3,0,0,'Données projet'!$E$11+1,1))</f>
        <v>492.39485179035256</v>
      </c>
      <c r="BJ108" s="59">
        <f t="shared" si="92"/>
        <v>297.32483725004124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48.831475341190007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48.831475341190007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-5.4092197387944907E-14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260.51631161522039</v>
      </c>
      <c r="CE108" s="59">
        <f t="shared" si="94"/>
        <v>171.3469666102674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53.038025501027136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53.038025501027136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3.3992364478763198E-14</v>
      </c>
      <c r="CV108" s="13">
        <f t="shared" si="95"/>
        <v>5.790027782444094E-13</v>
      </c>
      <c r="CW108" s="20">
        <f t="shared" si="67"/>
        <v>1.0676332069095257E-12</v>
      </c>
      <c r="CX108" s="59">
        <f t="shared" si="68"/>
        <v>278.73862808087284</v>
      </c>
      <c r="CY108" s="59">
        <f ca="1">AVERAGE(OFFSET($CX$3,0,0,'Données projet'!$E$13+1,1))-AVERAGE(OFFSET($H$3,0,0,'Données projet'!$E$13+1,1))</f>
        <v>301.2688576786212</v>
      </c>
      <c r="CZ108" s="59">
        <f t="shared" si="96"/>
        <v>417.62172165132927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49.760124160663388</v>
      </c>
      <c r="DG108" s="21">
        <f>EXP(-LN(2)/25)*DG107+(1-EXP(-LN(2)/25))/(LN(2)/25)*Calculateur!DB108*Calculateur!DD108*VLOOKUP('Données projet'!$B$13,Paramètres!$A$1:$I$89,3,0)*0.475*44/12</f>
        <v>11.564716674782074</v>
      </c>
      <c r="DH108" s="21">
        <f>EXP(-LN(2)/2)*DH107+(1-EXP(-LN(2)/2))/(LN(2)/2)*DB108*DE108*VLOOKUP('Données projet'!$B$13,Paramètres!$A$1:$I$89,3,0)*0.475*44/12</f>
        <v>2.2024757867992442E-7</v>
      </c>
      <c r="DI108" s="22">
        <f t="shared" si="69"/>
        <v>61.324841055693042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167.82976403567059</v>
      </c>
      <c r="T109" s="59">
        <f t="shared" si="88"/>
        <v>232.70925470547317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29.41554660591683</v>
      </c>
      <c r="AA109" s="21">
        <f>EXP(-LN(2)/25)*AA108+(1-EXP(-LN(2)/25))/(LN(2)/25)*Calculateur!V109*Calculateur!X109*VLOOKUP('Données projet'!$B$9,Paramètres!$A$1:$I$89,3,0)*0.475*44/12</f>
        <v>9.8605919601521492</v>
      </c>
      <c r="AB109" s="21">
        <f>EXP(-LN(2)/2)*AB108+(1-EXP(-LN(2)/2))/(LN(2)/2)*V109*Y109*VLOOKUP('Données projet'!$B$9,Paramètres!$A$1:$I$89,3,0)*0.475*44/12</f>
        <v>3.4376927839656369E-6</v>
      </c>
      <c r="AC109" s="22">
        <f t="shared" si="57"/>
        <v>39.276142003761763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337.2000000000001</v>
      </c>
      <c r="AJ109" s="13">
        <f>AI109*VLOOKUP('Données projet'!$B$10,Paramètres!$A$1:$I$89,3,0)*VLOOKUP('Données projet'!$B$10,Paramètres!$A$1:$I$89,5,0)</f>
        <v>341.9208000000001</v>
      </c>
      <c r="AK109" s="13">
        <f t="shared" si="89"/>
        <v>79.89666565413367</v>
      </c>
      <c r="AL109" s="20">
        <f t="shared" si="58"/>
        <v>734.66541934761642</v>
      </c>
      <c r="AM109" s="59">
        <f t="shared" si="59"/>
        <v>1013.6572329357455</v>
      </c>
      <c r="AN109" s="59">
        <f ca="1">AVERAGE(OFFSET($AM$3,0,0,'Données projet'!$E$10+1,1))-AVERAGE(OFFSET($H$3,0,0,'Données projet'!$E$10+1,1))</f>
        <v>542.51810435067659</v>
      </c>
      <c r="AO109" s="59">
        <f t="shared" si="90"/>
        <v>325.7263575945085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53.651806777767895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53.651806777767895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337.2000000000001</v>
      </c>
      <c r="BE109" s="13">
        <f>BD109*VLOOKUP('Données projet'!$B$11,Paramètres!$A$1:$I$89,3,0)*VLOOKUP('Données projet'!$B$11,Paramètres!$A$1:$I$89,5,0)</f>
        <v>305.09856000000008</v>
      </c>
      <c r="BF109" s="13">
        <f t="shared" si="91"/>
        <v>72.244266890878862</v>
      </c>
      <c r="BG109" s="20">
        <f t="shared" si="61"/>
        <v>657.20542350161418</v>
      </c>
      <c r="BH109" s="59">
        <f t="shared" si="62"/>
        <v>936.19723708974334</v>
      </c>
      <c r="BI109" s="59">
        <f ca="1">AVERAGE(OFFSET($BH$3,0,0,'Données projet'!$E$11+1,1))-AVERAGE(OFFSET($H$3,0,0,'Données projet'!$E$11+1,1))</f>
        <v>492.39485179035256</v>
      </c>
      <c r="BJ109" s="59">
        <f t="shared" si="92"/>
        <v>297.32483725004124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47.873919894008274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47.873919894008274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-5.4092197387944907E-14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260.51631161522039</v>
      </c>
      <c r="CE109" s="59">
        <f t="shared" si="94"/>
        <v>171.3469666102674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51.99798217095325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51.99798217095325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3.3992364478763198E-14</v>
      </c>
      <c r="CV109" s="13">
        <f t="shared" si="95"/>
        <v>5.790027782444094E-13</v>
      </c>
      <c r="CW109" s="20">
        <f t="shared" si="67"/>
        <v>1.0676332069095257E-12</v>
      </c>
      <c r="CX109" s="59">
        <f t="shared" si="68"/>
        <v>278.99181358813019</v>
      </c>
      <c r="CY109" s="59">
        <f ca="1">AVERAGE(OFFSET($CX$3,0,0,'Données projet'!$E$13+1,1))-AVERAGE(OFFSET($H$3,0,0,'Données projet'!$E$13+1,1))</f>
        <v>301.2688576786212</v>
      </c>
      <c r="CZ109" s="59">
        <f t="shared" si="96"/>
        <v>417.62172165132927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48.784358476551638</v>
      </c>
      <c r="DG109" s="21">
        <f>EXP(-LN(2)/25)*DG108+(1-EXP(-LN(2)/25))/(LN(2)/25)*Calculateur!DB109*Calculateur!DD109*VLOOKUP('Données projet'!$B$13,Paramètres!$A$1:$I$89,3,0)*0.475*44/12</f>
        <v>11.24847888914814</v>
      </c>
      <c r="DH109" s="21">
        <f>EXP(-LN(2)/2)*DH108+(1-EXP(-LN(2)/2))/(LN(2)/2)*DB109*DE109*VLOOKUP('Données projet'!$B$13,Paramètres!$A$1:$I$89,3,0)*0.475*44/12</f>
        <v>1.5573855642449222E-7</v>
      </c>
      <c r="DI109" s="22">
        <f t="shared" si="69"/>
        <v>60.032837521438331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167.82976403567059</v>
      </c>
      <c r="T110" s="59">
        <f t="shared" si="88"/>
        <v>232.70925470547317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28.838725678686632</v>
      </c>
      <c r="AA110" s="21">
        <f>EXP(-LN(2)/25)*AA109+(1-EXP(-LN(2)/25))/(LN(2)/25)*Calculateur!V110*Calculateur!X110*VLOOKUP('Données projet'!$B$9,Paramètres!$A$1:$I$89,3,0)*0.475*44/12</f>
        <v>9.590953554455794</v>
      </c>
      <c r="AB110" s="21">
        <f>EXP(-LN(2)/2)*AB109+(1-EXP(-LN(2)/2))/(LN(2)/2)*V110*Y110*VLOOKUP('Données projet'!$B$9,Paramètres!$A$1:$I$89,3,0)*0.475*44/12</f>
        <v>2.430815879178163E-6</v>
      </c>
      <c r="AC110" s="22">
        <f t="shared" si="57"/>
        <v>38.429681663958299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342.40000000000009</v>
      </c>
      <c r="AJ110" s="13">
        <f>AI110*VLOOKUP('Données projet'!$B$10,Paramètres!$A$1:$I$89,3,0)*VLOOKUP('Données projet'!$B$10,Paramètres!$A$1:$I$89,5,0)</f>
        <v>347.19360000000012</v>
      </c>
      <c r="AK110" s="13">
        <f t="shared" si="89"/>
        <v>80.984373854243287</v>
      </c>
      <c r="AL110" s="20">
        <f t="shared" si="58"/>
        <v>745.74330446280726</v>
      </c>
      <c r="AM110" s="59">
        <f t="shared" si="59"/>
        <v>1024.9839113556809</v>
      </c>
      <c r="AN110" s="59">
        <f ca="1">AVERAGE(OFFSET($AM$3,0,0,'Données projet'!$E$10+1,1))-AVERAGE(OFFSET($H$3,0,0,'Données projet'!$E$10+1,1))</f>
        <v>542.51810435067659</v>
      </c>
      <c r="AO110" s="59">
        <f t="shared" si="90"/>
        <v>325.7263575945085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52.599727571226737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52.599727571226737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342.40000000000009</v>
      </c>
      <c r="BE110" s="13">
        <f>BD110*VLOOKUP('Données projet'!$B$11,Paramètres!$A$1:$I$89,3,0)*VLOOKUP('Données projet'!$B$11,Paramètres!$A$1:$I$89,5,0)</f>
        <v>309.80352000000005</v>
      </c>
      <c r="BF110" s="13">
        <f t="shared" si="91"/>
        <v>73.227795813703821</v>
      </c>
      <c r="BG110" s="20">
        <f t="shared" si="61"/>
        <v>667.11287504220093</v>
      </c>
      <c r="BH110" s="59">
        <f t="shared" si="62"/>
        <v>946.35348193507457</v>
      </c>
      <c r="BI110" s="59">
        <f ca="1">AVERAGE(OFFSET($BH$3,0,0,'Données projet'!$E$11+1,1))-AVERAGE(OFFSET($H$3,0,0,'Données projet'!$E$11+1,1))</f>
        <v>492.39485179035256</v>
      </c>
      <c r="BJ110" s="59">
        <f t="shared" si="92"/>
        <v>297.32483725004124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46.935141525094629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46.935141525094629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-5.4092197387944907E-14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260.51631161522039</v>
      </c>
      <c r="CE110" s="59">
        <f t="shared" si="94"/>
        <v>171.3469666102674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50.978333456218323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50.978333456218323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3.3992364478763198E-14</v>
      </c>
      <c r="CV110" s="13">
        <f t="shared" si="95"/>
        <v>5.790027782444094E-13</v>
      </c>
      <c r="CW110" s="20">
        <f t="shared" si="67"/>
        <v>1.0676332069095257E-12</v>
      </c>
      <c r="CX110" s="59">
        <f t="shared" si="68"/>
        <v>279.24060689287472</v>
      </c>
      <c r="CY110" s="59">
        <f ca="1">AVERAGE(OFFSET($CX$3,0,0,'Données projet'!$E$13+1,1))-AVERAGE(OFFSET($H$3,0,0,'Données projet'!$E$13+1,1))</f>
        <v>301.2688576786212</v>
      </c>
      <c r="CZ110" s="59">
        <f t="shared" si="96"/>
        <v>417.62172165132927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47.827726962347015</v>
      </c>
      <c r="DG110" s="21">
        <f>EXP(-LN(2)/25)*DG109+(1-EXP(-LN(2)/25))/(LN(2)/25)*Calculateur!DB110*Calculateur!DD110*VLOOKUP('Données projet'!$B$13,Paramètres!$A$1:$I$89,3,0)*0.475*44/12</f>
        <v>10.940888642392588</v>
      </c>
      <c r="DH110" s="21">
        <f>EXP(-LN(2)/2)*DH109+(1-EXP(-LN(2)/2))/(LN(2)/2)*DB110*DE110*VLOOKUP('Données projet'!$B$13,Paramètres!$A$1:$I$89,3,0)*0.475*44/12</f>
        <v>1.1012378933996221E-7</v>
      </c>
      <c r="DI110" s="22">
        <f t="shared" si="69"/>
        <v>58.768615714863394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167.82976403567059</v>
      </c>
      <c r="T111" s="59">
        <f t="shared" si="88"/>
        <v>232.70925470547317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28.273215858013394</v>
      </c>
      <c r="AA111" s="21">
        <f>EXP(-LN(2)/25)*AA110+(1-EXP(-LN(2)/25))/(LN(2)/25)*Calculateur!V111*Calculateur!X111*VLOOKUP('Données projet'!$B$9,Paramètres!$A$1:$I$89,3,0)*0.475*44/12</f>
        <v>9.3286884251428734</v>
      </c>
      <c r="AB111" s="21">
        <f>EXP(-LN(2)/2)*AB110+(1-EXP(-LN(2)/2))/(LN(2)/2)*V111*Y111*VLOOKUP('Données projet'!$B$9,Paramètres!$A$1:$I$89,3,0)*0.475*44/12</f>
        <v>1.7188463919828185E-6</v>
      </c>
      <c r="AC111" s="22">
        <f t="shared" si="57"/>
        <v>37.601906002002657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347.60000000000008</v>
      </c>
      <c r="AJ111" s="13">
        <f>AI111*VLOOKUP('Données projet'!$B$10,Paramètres!$A$1:$I$89,3,0)*VLOOKUP('Données projet'!$B$10,Paramètres!$A$1:$I$89,5,0)</f>
        <v>352.46640000000008</v>
      </c>
      <c r="AK111" s="13">
        <f t="shared" si="89"/>
        <v>82.070160870997498</v>
      </c>
      <c r="AL111" s="20">
        <f t="shared" si="58"/>
        <v>756.81784351698741</v>
      </c>
      <c r="AM111" s="59">
        <f t="shared" si="59"/>
        <v>1036.3029277069868</v>
      </c>
      <c r="AN111" s="59">
        <f ca="1">AVERAGE(OFFSET($AM$3,0,0,'Données projet'!$E$10+1,1))-AVERAGE(OFFSET($H$3,0,0,'Données projet'!$E$10+1,1))</f>
        <v>542.51810435067659</v>
      </c>
      <c r="AO111" s="59">
        <f t="shared" si="90"/>
        <v>325.7263575945085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51.568278996220897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51.568278996220897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347.60000000000008</v>
      </c>
      <c r="BE111" s="13">
        <f>BD111*VLOOKUP('Données projet'!$B$11,Paramètres!$A$1:$I$89,3,0)*VLOOKUP('Données projet'!$B$11,Paramètres!$A$1:$I$89,5,0)</f>
        <v>314.50848000000008</v>
      </c>
      <c r="BF111" s="13">
        <f t="shared" si="91"/>
        <v>74.20958756161744</v>
      </c>
      <c r="BG111" s="20">
        <f t="shared" si="61"/>
        <v>677.01730100315046</v>
      </c>
      <c r="BH111" s="59">
        <f t="shared" si="62"/>
        <v>956.50238519314985</v>
      </c>
      <c r="BI111" s="59">
        <f ca="1">AVERAGE(OFFSET($BH$3,0,0,'Données projet'!$E$11+1,1))-AVERAGE(OFFSET($H$3,0,0,'Données projet'!$E$11+1,1))</f>
        <v>492.39485179035256</v>
      </c>
      <c r="BJ111" s="59">
        <f t="shared" si="92"/>
        <v>297.32483725004124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46.014772027397115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46.014772027397115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-5.4092197387944907E-14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260.51631161522039</v>
      </c>
      <c r="CE111" s="59">
        <f t="shared" si="94"/>
        <v>171.3469666102674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49.978679430855038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49.978679430855038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3.3992364478763198E-14</v>
      </c>
      <c r="CV111" s="13">
        <f t="shared" si="95"/>
        <v>5.790027782444094E-13</v>
      </c>
      <c r="CW111" s="20">
        <f t="shared" si="67"/>
        <v>1.0676332069095257E-12</v>
      </c>
      <c r="CX111" s="59">
        <f t="shared" si="68"/>
        <v>279.48508419000041</v>
      </c>
      <c r="CY111" s="59">
        <f ca="1">AVERAGE(OFFSET($CX$3,0,0,'Données projet'!$E$13+1,1))-AVERAGE(OFFSET($H$3,0,0,'Données projet'!$E$13+1,1))</f>
        <v>301.2688576786212</v>
      </c>
      <c r="CZ111" s="59">
        <f t="shared" si="96"/>
        <v>417.62172165132927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46.88985440864834</v>
      </c>
      <c r="DG111" s="21">
        <f>EXP(-LN(2)/25)*DG110+(1-EXP(-LN(2)/25))/(LN(2)/25)*Calculateur!DB111*Calculateur!DD111*VLOOKUP('Données projet'!$B$13,Paramètres!$A$1:$I$89,3,0)*0.475*44/12</f>
        <v>10.641709467110035</v>
      </c>
      <c r="DH111" s="21">
        <f>EXP(-LN(2)/2)*DH110+(1-EXP(-LN(2)/2))/(LN(2)/2)*DB111*DE111*VLOOKUP('Données projet'!$B$13,Paramètres!$A$1:$I$89,3,0)*0.475*44/12</f>
        <v>7.7869278212246111E-8</v>
      </c>
      <c r="DI111" s="22">
        <f t="shared" si="69"/>
        <v>57.531563953627654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167.82976403567059</v>
      </c>
      <c r="T112" s="59">
        <f t="shared" si="88"/>
        <v>232.70925470547317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27.718795339996628</v>
      </c>
      <c r="AA112" s="21">
        <f>EXP(-LN(2)/25)*AA111+(1-EXP(-LN(2)/25))/(LN(2)/25)*Calculateur!V112*Calculateur!X112*VLOOKUP('Données projet'!$B$9,Paramètres!$A$1:$I$89,3,0)*0.475*44/12</f>
        <v>9.0735949495829384</v>
      </c>
      <c r="AB112" s="21">
        <f>EXP(-LN(2)/2)*AB111+(1-EXP(-LN(2)/2))/(LN(2)/2)*V112*Y112*VLOOKUP('Données projet'!$B$9,Paramètres!$A$1:$I$89,3,0)*0.475*44/12</f>
        <v>1.2154079395890815E-6</v>
      </c>
      <c r="AC112" s="22">
        <f t="shared" si="57"/>
        <v>36.792391504987506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352.80000000000007</v>
      </c>
      <c r="AJ112" s="13">
        <f>AI112*VLOOKUP('Données projet'!$B$10,Paramètres!$A$1:$I$89,3,0)*VLOOKUP('Données projet'!$B$10,Paramètres!$A$1:$I$89,5,0)</f>
        <v>357.7392000000001</v>
      </c>
      <c r="AK112" s="13">
        <f t="shared" si="89"/>
        <v>83.154058764636403</v>
      </c>
      <c r="AL112" s="20">
        <f t="shared" si="58"/>
        <v>767.88909234840855</v>
      </c>
      <c r="AM112" s="59">
        <f t="shared" si="59"/>
        <v>1047.6144127009979</v>
      </c>
      <c r="AN112" s="59">
        <f ca="1">AVERAGE(OFFSET($AM$3,0,0,'Données projet'!$E$10+1,1))-AVERAGE(OFFSET($H$3,0,0,'Données projet'!$E$10+1,1))</f>
        <v>542.51810435067659</v>
      </c>
      <c r="AO112" s="59">
        <f t="shared" si="90"/>
        <v>325.7263575945085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50.557056498649416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50.557056498649416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352.80000000000007</v>
      </c>
      <c r="BE112" s="13">
        <f>BD112*VLOOKUP('Données projet'!$B$11,Paramètres!$A$1:$I$89,3,0)*VLOOKUP('Données projet'!$B$11,Paramètres!$A$1:$I$89,5,0)</f>
        <v>319.21344000000005</v>
      </c>
      <c r="BF112" s="13">
        <f t="shared" si="91"/>
        <v>75.18967112417171</v>
      </c>
      <c r="BG112" s="20">
        <f t="shared" si="61"/>
        <v>686.91875187459902</v>
      </c>
      <c r="BH112" s="59">
        <f t="shared" si="62"/>
        <v>966.6440722271883</v>
      </c>
      <c r="BI112" s="59">
        <f ca="1">AVERAGE(OFFSET($BH$3,0,0,'Données projet'!$E$11+1,1))-AVERAGE(OFFSET($H$3,0,0,'Données projet'!$E$11+1,1))</f>
        <v>492.39485179035256</v>
      </c>
      <c r="BJ112" s="59">
        <f t="shared" si="92"/>
        <v>297.32483725004124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45.112450414179484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45.112450414179484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-5.4092197387944907E-14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260.51631161522039</v>
      </c>
      <c r="CE112" s="59">
        <f t="shared" si="94"/>
        <v>171.3469666102674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48.998628011200381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48.998628011200381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3.3992364478763198E-14</v>
      </c>
      <c r="CV112" s="13">
        <f t="shared" si="95"/>
        <v>5.790027782444094E-13</v>
      </c>
      <c r="CW112" s="20">
        <f t="shared" si="67"/>
        <v>1.0676332069095257E-12</v>
      </c>
      <c r="CX112" s="59">
        <f t="shared" si="68"/>
        <v>279.72532035259036</v>
      </c>
      <c r="CY112" s="59">
        <f ca="1">AVERAGE(OFFSET($CX$3,0,0,'Données projet'!$E$13+1,1))-AVERAGE(OFFSET($H$3,0,0,'Données projet'!$E$13+1,1))</f>
        <v>301.2688576786212</v>
      </c>
      <c r="CZ112" s="59">
        <f t="shared" si="96"/>
        <v>417.62172165132927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45.970372963681918</v>
      </c>
      <c r="DG112" s="21">
        <f>EXP(-LN(2)/25)*DG111+(1-EXP(-LN(2)/25))/(LN(2)/25)*Calculateur!DB112*Calculateur!DD112*VLOOKUP('Données projet'!$B$13,Paramètres!$A$1:$I$89,3,0)*0.475*44/12</f>
        <v>10.350711362108733</v>
      </c>
      <c r="DH112" s="21">
        <f>EXP(-LN(2)/2)*DH111+(1-EXP(-LN(2)/2))/(LN(2)/2)*DB112*DE112*VLOOKUP('Données projet'!$B$13,Paramètres!$A$1:$I$89,3,0)*0.475*44/12</f>
        <v>5.5061894669981104E-8</v>
      </c>
      <c r="DI112" s="22">
        <f t="shared" si="69"/>
        <v>56.321084380852547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167.82976403567059</v>
      </c>
      <c r="T113" s="59">
        <f t="shared" si="88"/>
        <v>232.70925470547317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27.175246670175046</v>
      </c>
      <c r="AA113" s="21">
        <f>EXP(-LN(2)/25)*AA112+(1-EXP(-LN(2)/25))/(LN(2)/25)*Calculateur!V113*Calculateur!X113*VLOOKUP('Données projet'!$B$9,Paramètres!$A$1:$I$89,3,0)*0.475*44/12</f>
        <v>8.8254770185269731</v>
      </c>
      <c r="AB113" s="21">
        <f>EXP(-LN(2)/2)*AB112+(1-EXP(-LN(2)/2))/(LN(2)/2)*V113*Y113*VLOOKUP('Données projet'!$B$9,Paramètres!$A$1:$I$89,3,0)*0.475*44/12</f>
        <v>8.5942319599140923E-7</v>
      </c>
      <c r="AC113" s="22">
        <f t="shared" si="57"/>
        <v>36.000724548125213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358.00000000000006</v>
      </c>
      <c r="AJ113" s="13">
        <f>AI113*VLOOKUP('Données projet'!$B$10,Paramètres!$A$1:$I$89,3,0)*VLOOKUP('Données projet'!$B$10,Paramètres!$A$1:$I$89,5,0)</f>
        <v>363.01200000000006</v>
      </c>
      <c r="AK113" s="13">
        <f t="shared" si="89"/>
        <v>84.236098596059009</v>
      </c>
      <c r="AL113" s="20">
        <f t="shared" si="58"/>
        <v>778.95710505480292</v>
      </c>
      <c r="AM113" s="59">
        <f t="shared" si="59"/>
        <v>1058.9184940096488</v>
      </c>
      <c r="AN113" s="59">
        <f ca="1">AVERAGE(OFFSET($AM$3,0,0,'Données projet'!$E$10+1,1))-AVERAGE(OFFSET($H$3,0,0,'Données projet'!$E$10+1,1))</f>
        <v>542.51810435067659</v>
      </c>
      <c r="AO113" s="59">
        <f t="shared" si="90"/>
        <v>325.7263575945085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69.231557008735933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69.231557008735933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358.00000000000006</v>
      </c>
      <c r="BE113" s="13">
        <f>BD113*VLOOKUP('Données projet'!$B$11,Paramètres!$A$1:$I$89,3,0)*VLOOKUP('Données projet'!$B$11,Paramètres!$A$1:$I$89,5,0)</f>
        <v>323.91840000000002</v>
      </c>
      <c r="BF113" s="13">
        <f t="shared" si="91"/>
        <v>76.168074587293091</v>
      </c>
      <c r="BG113" s="20">
        <f t="shared" si="61"/>
        <v>696.81727657286876</v>
      </c>
      <c r="BH113" s="59">
        <f t="shared" si="62"/>
        <v>976.77866552771457</v>
      </c>
      <c r="BI113" s="59">
        <f ca="1">AVERAGE(OFFSET($BH$3,0,0,'Données projet'!$E$11+1,1))-AVERAGE(OFFSET($H$3,0,0,'Données projet'!$E$11+1,1))</f>
        <v>492.39485179035256</v>
      </c>
      <c r="BJ113" s="59">
        <f t="shared" si="92"/>
        <v>297.32483725004124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61.775850869333603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61.775850869333603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-5.4092197387944907E-14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260.51631161522039</v>
      </c>
      <c r="CE113" s="59">
        <f t="shared" si="94"/>
        <v>171.3469666102674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48.037794802112813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48.037794802112813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3.3992364478763198E-14</v>
      </c>
      <c r="CV113" s="13">
        <f t="shared" si="95"/>
        <v>5.790027782444094E-13</v>
      </c>
      <c r="CW113" s="20">
        <f t="shared" si="67"/>
        <v>1.0676332069095257E-12</v>
      </c>
      <c r="CX113" s="59">
        <f t="shared" si="68"/>
        <v>279.96138895484694</v>
      </c>
      <c r="CY113" s="59">
        <f ca="1">AVERAGE(OFFSET($CX$3,0,0,'Données projet'!$E$13+1,1))-AVERAGE(OFFSET($H$3,0,0,'Données projet'!$E$13+1,1))</f>
        <v>301.2688576786212</v>
      </c>
      <c r="CZ113" s="59">
        <f t="shared" si="96"/>
        <v>417.62172165132927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45.068921989022989</v>
      </c>
      <c r="DG113" s="21">
        <f>EXP(-LN(2)/25)*DG112+(1-EXP(-LN(2)/25))/(LN(2)/25)*Calculateur!DB113*Calculateur!DD113*VLOOKUP('Données projet'!$B$13,Paramètres!$A$1:$I$89,3,0)*0.475*44/12</f>
        <v>10.067670615591616</v>
      </c>
      <c r="DH113" s="21">
        <f>EXP(-LN(2)/2)*DH112+(1-EXP(-LN(2)/2))/(LN(2)/2)*DB113*DE113*VLOOKUP('Données projet'!$B$13,Paramètres!$A$1:$I$89,3,0)*0.475*44/12</f>
        <v>3.8934639106123056E-8</v>
      </c>
      <c r="DI113" s="22">
        <f t="shared" si="69"/>
        <v>55.136592643549243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167.82976403567059</v>
      </c>
      <c r="T114" s="59">
        <f t="shared" si="88"/>
        <v>232.70925470547317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26.642356658236711</v>
      </c>
      <c r="AA114" s="21">
        <f>EXP(-LN(2)/25)*AA113+(1-EXP(-LN(2)/25))/(LN(2)/25)*Calculateur!V114*Calculateur!X114*VLOOKUP('Données projet'!$B$9,Paramètres!$A$1:$I$89,3,0)*0.475*44/12</f>
        <v>8.5841438853436873</v>
      </c>
      <c r="AB114" s="21">
        <f>EXP(-LN(2)/2)*AB113+(1-EXP(-LN(2)/2))/(LN(2)/2)*V114*Y114*VLOOKUP('Données projet'!$B$9,Paramètres!$A$1:$I$89,3,0)*0.475*44/12</f>
        <v>6.0770396979454075E-7</v>
      </c>
      <c r="AC114" s="22">
        <f t="shared" si="57"/>
        <v>35.226501151284367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311.50000000000006</v>
      </c>
      <c r="AJ114" s="13">
        <f>AI114*VLOOKUP('Données projet'!$B$10,Paramètres!$A$1:$I$89,3,0)*VLOOKUP('Données projet'!$B$10,Paramètres!$A$1:$I$89,5,0)</f>
        <v>315.8610000000001</v>
      </c>
      <c r="AK114" s="13">
        <f t="shared" si="89"/>
        <v>74.491502782151485</v>
      </c>
      <c r="AL114" s="20">
        <f t="shared" si="58"/>
        <v>679.86394234558054</v>
      </c>
      <c r="AM114" s="59">
        <f t="shared" si="59"/>
        <v>960.05730464020417</v>
      </c>
      <c r="AN114" s="59">
        <f ca="1">AVERAGE(OFFSET($AM$3,0,0,'Données projet'!$E$10+1,1))-AVERAGE(OFFSET($H$3,0,0,'Données projet'!$E$10+1,1))</f>
        <v>542.51810435067659</v>
      </c>
      <c r="AO114" s="59">
        <f t="shared" si="90"/>
        <v>325.7263575945085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67.873968402874823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67.873968402874823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311.50000000000006</v>
      </c>
      <c r="BE114" s="13">
        <f>BD114*VLOOKUP('Données projet'!$B$11,Paramètres!$A$1:$I$89,3,0)*VLOOKUP('Données projet'!$B$11,Paramètres!$A$1:$I$89,5,0)</f>
        <v>281.84520000000003</v>
      </c>
      <c r="BF114" s="13">
        <f t="shared" si="91"/>
        <v>67.356803491560484</v>
      </c>
      <c r="BG114" s="20">
        <f t="shared" si="61"/>
        <v>608.19348941446788</v>
      </c>
      <c r="BH114" s="59">
        <f t="shared" si="62"/>
        <v>888.38685170909139</v>
      </c>
      <c r="BI114" s="59">
        <f ca="1">AVERAGE(OFFSET($BH$3,0,0,'Données projet'!$E$11+1,1))-AVERAGE(OFFSET($H$3,0,0,'Données projet'!$E$11+1,1))</f>
        <v>492.39485179035256</v>
      </c>
      <c r="BJ114" s="59">
        <f t="shared" si="92"/>
        <v>297.32483725004124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60.564464113334452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60.564464113334452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-5.4092197387944907E-14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260.51631161522039</v>
      </c>
      <c r="CE114" s="59">
        <f t="shared" si="94"/>
        <v>171.3469666102674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47.095802946205062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47.095802946205062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3.3992364478763198E-14</v>
      </c>
      <c r="CV114" s="13">
        <f t="shared" si="95"/>
        <v>5.790027782444094E-13</v>
      </c>
      <c r="CW114" s="20">
        <f t="shared" si="67"/>
        <v>1.0676332069095257E-12</v>
      </c>
      <c r="CX114" s="59">
        <f t="shared" si="68"/>
        <v>280.19336229462465</v>
      </c>
      <c r="CY114" s="59">
        <f ca="1">AVERAGE(OFFSET($CX$3,0,0,'Données projet'!$E$13+1,1))-AVERAGE(OFFSET($H$3,0,0,'Données projet'!$E$13+1,1))</f>
        <v>301.2688576786212</v>
      </c>
      <c r="CZ114" s="59">
        <f t="shared" si="96"/>
        <v>417.62172165132927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44.185147918146313</v>
      </c>
      <c r="DG114" s="21">
        <f>EXP(-LN(2)/25)*DG113+(1-EXP(-LN(2)/25))/(LN(2)/25)*Calculateur!DB114*Calculateur!DD114*VLOOKUP('Données projet'!$B$13,Paramètres!$A$1:$I$89,3,0)*0.475*44/12</f>
        <v>9.7923696331724752</v>
      </c>
      <c r="DH114" s="21">
        <f>EXP(-LN(2)/2)*DH113+(1-EXP(-LN(2)/2))/(LN(2)/2)*DB114*DE114*VLOOKUP('Données projet'!$B$13,Paramètres!$A$1:$I$89,3,0)*0.475*44/12</f>
        <v>2.7530947334990552E-8</v>
      </c>
      <c r="DI114" s="22">
        <f t="shared" si="69"/>
        <v>53.977517578849735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167.82976403567059</v>
      </c>
      <c r="T115" s="59">
        <f t="shared" si="88"/>
        <v>232.70925470547317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26.119916294401673</v>
      </c>
      <c r="AA115" s="21">
        <f>EXP(-LN(2)/25)*AA114+(1-EXP(-LN(2)/25))/(LN(2)/25)*Calculateur!V115*Calculateur!X115*VLOOKUP('Données projet'!$B$9,Paramètres!$A$1:$I$89,3,0)*0.475*44/12</f>
        <v>8.3494100193784568</v>
      </c>
      <c r="AB115" s="21">
        <f>EXP(-LN(2)/2)*AB114+(1-EXP(-LN(2)/2))/(LN(2)/2)*V115*Y115*VLOOKUP('Données projet'!$B$9,Paramètres!$A$1:$I$89,3,0)*0.475*44/12</f>
        <v>4.2971159799570462E-7</v>
      </c>
      <c r="AC115" s="22">
        <f t="shared" si="57"/>
        <v>34.469326743491727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316.00000000000006</v>
      </c>
      <c r="AJ115" s="13">
        <f>AI115*VLOOKUP('Données projet'!$B$10,Paramètres!$A$1:$I$89,3,0)*VLOOKUP('Données projet'!$B$10,Paramètres!$A$1:$I$89,5,0)</f>
        <v>320.42400000000009</v>
      </c>
      <c r="AK115" s="13">
        <f t="shared" si="89"/>
        <v>75.441568308852311</v>
      </c>
      <c r="AL115" s="20">
        <f t="shared" si="58"/>
        <v>689.46586480458461</v>
      </c>
      <c r="AM115" s="59">
        <f t="shared" si="59"/>
        <v>969.88717622015542</v>
      </c>
      <c r="AN115" s="59">
        <f ca="1">AVERAGE(OFFSET($AM$3,0,0,'Données projet'!$E$10+1,1))-AVERAGE(OFFSET($H$3,0,0,'Données projet'!$E$10+1,1))</f>
        <v>542.51810435067659</v>
      </c>
      <c r="AO115" s="59">
        <f t="shared" si="90"/>
        <v>325.7263575945085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66.543001281527353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66.543001281527353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316.00000000000006</v>
      </c>
      <c r="BE115" s="13">
        <f>BD115*VLOOKUP('Données projet'!$B$11,Paramètres!$A$1:$I$89,3,0)*VLOOKUP('Données projet'!$B$11,Paramètres!$A$1:$I$89,5,0)</f>
        <v>285.91680000000008</v>
      </c>
      <c r="BF115" s="13">
        <f t="shared" si="91"/>
        <v>68.215872977287546</v>
      </c>
      <c r="BG115" s="20">
        <f t="shared" si="61"/>
        <v>616.78107210210919</v>
      </c>
      <c r="BH115" s="59">
        <f t="shared" si="62"/>
        <v>897.20238351768012</v>
      </c>
      <c r="BI115" s="59">
        <f ca="1">AVERAGE(OFFSET($BH$3,0,0,'Données projet'!$E$11+1,1))-AVERAGE(OFFSET($H$3,0,0,'Données projet'!$E$11+1,1))</f>
        <v>492.39485179035256</v>
      </c>
      <c r="BJ115" s="59">
        <f t="shared" si="92"/>
        <v>297.32483725004124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59.376831912747484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59.376831912747484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-5.4092197387944907E-14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260.51631161522039</v>
      </c>
      <c r="CE115" s="59">
        <f t="shared" si="94"/>
        <v>171.3469666102674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46.172282976033358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46.172282976033358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3.3992364478763198E-14</v>
      </c>
      <c r="CV115" s="13">
        <f t="shared" si="95"/>
        <v>5.790027782444094E-13</v>
      </c>
      <c r="CW115" s="20">
        <f t="shared" si="67"/>
        <v>1.0676332069095257E-12</v>
      </c>
      <c r="CX115" s="59">
        <f t="shared" si="68"/>
        <v>280.42131141557195</v>
      </c>
      <c r="CY115" s="59">
        <f ca="1">AVERAGE(OFFSET($CX$3,0,0,'Données projet'!$E$13+1,1))-AVERAGE(OFFSET($H$3,0,0,'Données projet'!$E$13+1,1))</f>
        <v>301.2688576786212</v>
      </c>
      <c r="CZ115" s="59">
        <f t="shared" si="96"/>
        <v>417.62172165132927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43.318704117750578</v>
      </c>
      <c r="DG115" s="21">
        <f>EXP(-LN(2)/25)*DG114+(1-EXP(-LN(2)/25))/(LN(2)/25)*Calculateur!DB115*Calculateur!DD115*VLOOKUP('Données projet'!$B$13,Paramètres!$A$1:$I$89,3,0)*0.475*44/12</f>
        <v>9.5245967705950356</v>
      </c>
      <c r="DH115" s="21">
        <f>EXP(-LN(2)/2)*DH114+(1-EXP(-LN(2)/2))/(LN(2)/2)*DB115*DE115*VLOOKUP('Données projet'!$B$13,Paramètres!$A$1:$I$89,3,0)*0.475*44/12</f>
        <v>1.9467319553061528E-8</v>
      </c>
      <c r="DI115" s="22">
        <f t="shared" si="69"/>
        <v>52.843300907812932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167.82976403567059</v>
      </c>
      <c r="T116" s="59">
        <f t="shared" si="88"/>
        <v>232.70925470547317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25.607720667444283</v>
      </c>
      <c r="AA116" s="21">
        <f>EXP(-LN(2)/25)*AA115+(1-EXP(-LN(2)/25))/(LN(2)/25)*Calculateur!V116*Calculateur!X116*VLOOKUP('Données projet'!$B$9,Paramètres!$A$1:$I$89,3,0)*0.475*44/12</f>
        <v>8.1210949633221627</v>
      </c>
      <c r="AB116" s="21">
        <f>EXP(-LN(2)/2)*AB115+(1-EXP(-LN(2)/2))/(LN(2)/2)*V116*Y116*VLOOKUP('Données projet'!$B$9,Paramètres!$A$1:$I$89,3,0)*0.475*44/12</f>
        <v>3.0385198489727037E-7</v>
      </c>
      <c r="AC116" s="22">
        <f t="shared" si="57"/>
        <v>33.728815934618432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320.50000000000006</v>
      </c>
      <c r="AJ116" s="13">
        <f>AI116*VLOOKUP('Données projet'!$B$10,Paramètres!$A$1:$I$89,3,0)*VLOOKUP('Données projet'!$B$10,Paramètres!$A$1:$I$89,5,0)</f>
        <v>324.98700000000008</v>
      </c>
      <c r="AK116" s="13">
        <f t="shared" si="89"/>
        <v>76.390060259999458</v>
      </c>
      <c r="AL116" s="20">
        <f t="shared" si="58"/>
        <v>699.06504661949918</v>
      </c>
      <c r="AM116" s="59">
        <f t="shared" si="59"/>
        <v>979.71035274838687</v>
      </c>
      <c r="AN116" s="59">
        <f ca="1">AVERAGE(OFFSET($AM$3,0,0,'Données projet'!$E$10+1,1))-AVERAGE(OFFSET($H$3,0,0,'Données projet'!$E$10+1,1))</f>
        <v>542.51810435067659</v>
      </c>
      <c r="AO116" s="59">
        <f t="shared" si="90"/>
        <v>325.7263575945085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65.238133613619723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65.238133613619723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320.50000000000006</v>
      </c>
      <c r="BE116" s="13">
        <f>BD116*VLOOKUP('Données projet'!$B$11,Paramètres!$A$1:$I$89,3,0)*VLOOKUP('Données projet'!$B$11,Paramètres!$A$1:$I$89,5,0)</f>
        <v>289.98840000000001</v>
      </c>
      <c r="BF116" s="13">
        <f t="shared" si="91"/>
        <v>69.073519602481582</v>
      </c>
      <c r="BG116" s="20">
        <f t="shared" si="61"/>
        <v>625.36617664098867</v>
      </c>
      <c r="BH116" s="59">
        <f t="shared" si="62"/>
        <v>906.01148276987624</v>
      </c>
      <c r="BI116" s="59">
        <f ca="1">AVERAGE(OFFSET($BH$3,0,0,'Données projet'!$E$11+1,1))-AVERAGE(OFFSET($H$3,0,0,'Données projet'!$E$11+1,1))</f>
        <v>492.39485179035256</v>
      </c>
      <c r="BJ116" s="59">
        <f t="shared" si="92"/>
        <v>297.32483725004124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58.212488455229909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58.212488455229909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-5.4092197387944907E-14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260.51631161522039</v>
      </c>
      <c r="CE116" s="59">
        <f t="shared" si="94"/>
        <v>171.3469666102674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45.266872669185162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45.266872669185162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3.3992364478763198E-14</v>
      </c>
      <c r="CV116" s="13">
        <f t="shared" si="95"/>
        <v>5.790027782444094E-13</v>
      </c>
      <c r="CW116" s="20">
        <f t="shared" si="67"/>
        <v>1.0676332069095257E-12</v>
      </c>
      <c r="CX116" s="59">
        <f t="shared" si="68"/>
        <v>280.64530612888871</v>
      </c>
      <c r="CY116" s="59">
        <f ca="1">AVERAGE(OFFSET($CX$3,0,0,'Données projet'!$E$13+1,1))-AVERAGE(OFFSET($H$3,0,0,'Données projet'!$E$13+1,1))</f>
        <v>301.2688576786212</v>
      </c>
      <c r="CZ116" s="59">
        <f t="shared" si="96"/>
        <v>417.62172165132927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42.469250751802065</v>
      </c>
      <c r="DG116" s="21">
        <f>EXP(-LN(2)/25)*DG115+(1-EXP(-LN(2)/25))/(LN(2)/25)*Calculateur!DB116*Calculateur!DD116*VLOOKUP('Données projet'!$B$13,Paramètres!$A$1:$I$89,3,0)*0.475*44/12</f>
        <v>9.2641461710263382</v>
      </c>
      <c r="DH116" s="21">
        <f>EXP(-LN(2)/2)*DH115+(1-EXP(-LN(2)/2))/(LN(2)/2)*DB116*DE116*VLOOKUP('Données projet'!$B$13,Paramètres!$A$1:$I$89,3,0)*0.475*44/12</f>
        <v>1.3765473667495276E-8</v>
      </c>
      <c r="DI116" s="22">
        <f t="shared" si="69"/>
        <v>51.733396936593877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167.82976403567059</v>
      </c>
      <c r="T117" s="59">
        <f t="shared" si="88"/>
        <v>232.70925470547317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25.105568884323045</v>
      </c>
      <c r="AA117" s="21">
        <f>EXP(-LN(2)/25)*AA116+(1-EXP(-LN(2)/25))/(LN(2)/25)*Calculateur!V117*Calculateur!X117*VLOOKUP('Données projet'!$B$9,Paramètres!$A$1:$I$89,3,0)*0.475*44/12</f>
        <v>7.8990231944802947</v>
      </c>
      <c r="AB117" s="21">
        <f>EXP(-LN(2)/2)*AB116+(1-EXP(-LN(2)/2))/(LN(2)/2)*V117*Y117*VLOOKUP('Données projet'!$B$9,Paramètres!$A$1:$I$89,3,0)*0.475*44/12</f>
        <v>2.1485579899785231E-7</v>
      </c>
      <c r="AC117" s="22">
        <f t="shared" si="57"/>
        <v>33.004592293659144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325.00000000000006</v>
      </c>
      <c r="AJ117" s="13">
        <f>AI117*VLOOKUP('Données projet'!$B$10,Paramètres!$A$1:$I$89,3,0)*VLOOKUP('Données projet'!$B$10,Paramètres!$A$1:$I$89,5,0)</f>
        <v>329.55000000000013</v>
      </c>
      <c r="AK117" s="13">
        <f t="shared" si="89"/>
        <v>77.337003282690645</v>
      </c>
      <c r="AL117" s="20">
        <f t="shared" si="58"/>
        <v>708.661530717353</v>
      </c>
      <c r="AM117" s="59">
        <f t="shared" si="59"/>
        <v>989.52694575205851</v>
      </c>
      <c r="AN117" s="59">
        <f ca="1">AVERAGE(OFFSET($AM$3,0,0,'Données projet'!$E$10+1,1))-AVERAGE(OFFSET($H$3,0,0,'Données projet'!$E$10+1,1))</f>
        <v>542.51810435067659</v>
      </c>
      <c r="AO117" s="59">
        <f t="shared" si="90"/>
        <v>325.7263575945085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63.958853604789077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63.958853604789077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325.00000000000006</v>
      </c>
      <c r="BE117" s="13">
        <f>BD117*VLOOKUP('Données projet'!$B$11,Paramètres!$A$1:$I$89,3,0)*VLOOKUP('Données projet'!$B$11,Paramètres!$A$1:$I$89,5,0)</f>
        <v>294.06000000000006</v>
      </c>
      <c r="BF117" s="13">
        <f t="shared" si="91"/>
        <v>69.929765653573369</v>
      </c>
      <c r="BG117" s="20">
        <f t="shared" si="61"/>
        <v>633.94884184664033</v>
      </c>
      <c r="BH117" s="59">
        <f t="shared" si="62"/>
        <v>914.81425688134573</v>
      </c>
      <c r="BI117" s="59">
        <f ca="1">AVERAGE(OFFSET($BH$3,0,0,'Données projet'!$E$11+1,1))-AVERAGE(OFFSET($H$3,0,0,'Données projet'!$E$11+1,1))</f>
        <v>492.39485179035256</v>
      </c>
      <c r="BJ117" s="59">
        <f t="shared" si="92"/>
        <v>297.32483725004124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57.070977062734869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57.070977062734869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-5.4092197387944907E-14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260.51631161522039</v>
      </c>
      <c r="CE117" s="59">
        <f t="shared" si="94"/>
        <v>171.3469666102674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44.379216906208498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44.379216906208498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3.3992364478763198E-14</v>
      </c>
      <c r="CV117" s="13">
        <f t="shared" si="95"/>
        <v>5.790027782444094E-13</v>
      </c>
      <c r="CW117" s="20">
        <f t="shared" si="67"/>
        <v>1.0676332069095257E-12</v>
      </c>
      <c r="CX117" s="59">
        <f t="shared" si="68"/>
        <v>280.86541503470653</v>
      </c>
      <c r="CY117" s="59">
        <f ca="1">AVERAGE(OFFSET($CX$3,0,0,'Données projet'!$E$13+1,1))-AVERAGE(OFFSET($H$3,0,0,'Données projet'!$E$13+1,1))</f>
        <v>301.2688576786212</v>
      </c>
      <c r="CZ117" s="59">
        <f t="shared" si="96"/>
        <v>417.62172165132927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41.63645464824441</v>
      </c>
      <c r="DG117" s="21">
        <f>EXP(-LN(2)/25)*DG116+(1-EXP(-LN(2)/25))/(LN(2)/25)*Calculateur!DB117*Calculateur!DD117*VLOOKUP('Données projet'!$B$13,Paramètres!$A$1:$I$89,3,0)*0.475*44/12</f>
        <v>9.0108176067993497</v>
      </c>
      <c r="DH117" s="21">
        <f>EXP(-LN(2)/2)*DH116+(1-EXP(-LN(2)/2))/(LN(2)/2)*DB117*DE117*VLOOKUP('Données projet'!$B$13,Paramètres!$A$1:$I$89,3,0)*0.475*44/12</f>
        <v>9.7336597765307639E-9</v>
      </c>
      <c r="DI117" s="22">
        <f t="shared" si="69"/>
        <v>50.647272264777421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167.82976403567059</v>
      </c>
      <c r="T118" s="59">
        <f t="shared" si="88"/>
        <v>232.70925470547317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24.613263991386468</v>
      </c>
      <c r="AA118" s="21">
        <f>EXP(-LN(2)/25)*AA117+(1-EXP(-LN(2)/25))/(LN(2)/25)*Calculateur!V118*Calculateur!X118*VLOOKUP('Données projet'!$B$9,Paramètres!$A$1:$I$89,3,0)*0.475*44/12</f>
        <v>7.6830239898356547</v>
      </c>
      <c r="AB118" s="21">
        <f>EXP(-LN(2)/2)*AB117+(1-EXP(-LN(2)/2))/(LN(2)/2)*V118*Y118*VLOOKUP('Données projet'!$B$9,Paramètres!$A$1:$I$89,3,0)*0.475*44/12</f>
        <v>1.5192599244863519E-7</v>
      </c>
      <c r="AC118" s="22">
        <f t="shared" si="57"/>
        <v>32.296288133148117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329.50000000000006</v>
      </c>
      <c r="AJ118" s="13">
        <f>AI118*VLOOKUP('Données projet'!$B$10,Paramètres!$A$1:$I$89,3,0)*VLOOKUP('Données projet'!$B$10,Paramètres!$A$1:$I$89,5,0)</f>
        <v>334.11300000000006</v>
      </c>
      <c r="AK118" s="13">
        <f t="shared" si="89"/>
        <v>78.28242130227801</v>
      </c>
      <c r="AL118" s="20">
        <f t="shared" si="58"/>
        <v>718.25535876813422</v>
      </c>
      <c r="AM118" s="59">
        <f t="shared" si="59"/>
        <v>999.33706431123142</v>
      </c>
      <c r="AN118" s="59">
        <f ca="1">AVERAGE(OFFSET($AM$3,0,0,'Données projet'!$E$10+1,1))-AVERAGE(OFFSET($H$3,0,0,'Données projet'!$E$10+1,1))</f>
        <v>542.51810435067659</v>
      </c>
      <c r="AO118" s="59">
        <f t="shared" si="90"/>
        <v>325.7263575945085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62.704659496647842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62.704659496647842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329.50000000000006</v>
      </c>
      <c r="BE118" s="13">
        <f>BD118*VLOOKUP('Données projet'!$B$11,Paramètres!$A$1:$I$89,3,0)*VLOOKUP('Données projet'!$B$11,Paramètres!$A$1:$I$89,5,0)</f>
        <v>298.13160000000005</v>
      </c>
      <c r="BF118" s="13">
        <f t="shared" si="91"/>
        <v>70.784632764376099</v>
      </c>
      <c r="BG118" s="20">
        <f t="shared" si="61"/>
        <v>642.52910539795516</v>
      </c>
      <c r="BH118" s="59">
        <f t="shared" si="62"/>
        <v>923.61081094105248</v>
      </c>
      <c r="BI118" s="59">
        <f ca="1">AVERAGE(OFFSET($BH$3,0,0,'Données projet'!$E$11+1,1))-AVERAGE(OFFSET($H$3,0,0,'Données projet'!$E$11+1,1))</f>
        <v>492.39485179035256</v>
      </c>
      <c r="BJ118" s="59">
        <f t="shared" si="92"/>
        <v>297.32483725004124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55.951850012393457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55.951850012393457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-5.4092197387944907E-14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260.51631161522039</v>
      </c>
      <c r="CE118" s="59">
        <f t="shared" si="94"/>
        <v>171.3469666102674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43.508967531327258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43.508967531327258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3.3992364478763198E-14</v>
      </c>
      <c r="CV118" s="13">
        <f t="shared" si="95"/>
        <v>5.790027782444094E-13</v>
      </c>
      <c r="CW118" s="20">
        <f t="shared" si="67"/>
        <v>1.0676332069095257E-12</v>
      </c>
      <c r="CX118" s="59">
        <f t="shared" si="68"/>
        <v>281.08170554309834</v>
      </c>
      <c r="CY118" s="59">
        <f ca="1">AVERAGE(OFFSET($CX$3,0,0,'Données projet'!$E$13+1,1))-AVERAGE(OFFSET($H$3,0,0,'Données projet'!$E$13+1,1))</f>
        <v>301.2688576786212</v>
      </c>
      <c r="CZ118" s="59">
        <f t="shared" si="96"/>
        <v>417.62172165132927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40.819989168322053</v>
      </c>
      <c r="DG118" s="21">
        <f>EXP(-LN(2)/25)*DG117+(1-EXP(-LN(2)/25))/(LN(2)/25)*Calculateur!DB118*Calculateur!DD118*VLOOKUP('Données projet'!$B$13,Paramètres!$A$1:$I$89,3,0)*0.475*44/12</f>
        <v>8.7644163254831184</v>
      </c>
      <c r="DH118" s="21">
        <f>EXP(-LN(2)/2)*DH117+(1-EXP(-LN(2)/2))/(LN(2)/2)*DB118*DE118*VLOOKUP('Données projet'!$B$13,Paramètres!$A$1:$I$89,3,0)*0.475*44/12</f>
        <v>6.882736833747638E-9</v>
      </c>
      <c r="DI118" s="22">
        <f t="shared" si="69"/>
        <v>49.584405500687907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167.82976403567059</v>
      </c>
      <c r="T119" s="59">
        <f t="shared" si="88"/>
        <v>232.70925470547317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24.130612897124042</v>
      </c>
      <c r="AA119" s="21">
        <f>EXP(-LN(2)/25)*AA118+(1-EXP(-LN(2)/25))/(LN(2)/25)*Calculateur!V119*Calculateur!X119*VLOOKUP('Données projet'!$B$9,Paramètres!$A$1:$I$89,3,0)*0.475*44/12</f>
        <v>7.4729312948009268</v>
      </c>
      <c r="AB119" s="21">
        <f>EXP(-LN(2)/2)*AB118+(1-EXP(-LN(2)/2))/(LN(2)/2)*V119*Y119*VLOOKUP('Données projet'!$B$9,Paramètres!$A$1:$I$89,3,0)*0.475*44/12</f>
        <v>1.0742789949892615E-7</v>
      </c>
      <c r="AC119" s="22">
        <f t="shared" si="57"/>
        <v>31.603544299352869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334.00000000000006</v>
      </c>
      <c r="AJ119" s="13">
        <f>AI119*VLOOKUP('Données projet'!$B$10,Paramètres!$A$1:$I$89,3,0)*VLOOKUP('Données projet'!$B$10,Paramètres!$A$1:$I$89,5,0)</f>
        <v>338.6760000000001</v>
      </c>
      <c r="AK119" s="13">
        <f t="shared" si="89"/>
        <v>79.226337553065719</v>
      </c>
      <c r="AL119" s="20">
        <f t="shared" si="58"/>
        <v>727.84657123825627</v>
      </c>
      <c r="AM119" s="59">
        <f t="shared" si="59"/>
        <v>1009.1408151329778</v>
      </c>
      <c r="AN119" s="59">
        <f ca="1">AVERAGE(OFFSET($AM$3,0,0,'Données projet'!$E$10+1,1))-AVERAGE(OFFSET($H$3,0,0,'Données projet'!$E$10+1,1))</f>
        <v>542.51810435067659</v>
      </c>
      <c r="AO119" s="59">
        <f t="shared" si="90"/>
        <v>325.7263575945085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61.475059369984386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61.475059369984386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334.00000000000006</v>
      </c>
      <c r="BE119" s="13">
        <f>BD119*VLOOKUP('Données projet'!$B$11,Paramètres!$A$1:$I$89,3,0)*VLOOKUP('Données projet'!$B$11,Paramètres!$A$1:$I$89,5,0)</f>
        <v>302.20320000000004</v>
      </c>
      <c r="BF119" s="13">
        <f t="shared" si="91"/>
        <v>71.638141943842299</v>
      </c>
      <c r="BG119" s="20">
        <f t="shared" si="61"/>
        <v>651.10700388552539</v>
      </c>
      <c r="BH119" s="59">
        <f t="shared" si="62"/>
        <v>932.40124778024688</v>
      </c>
      <c r="BI119" s="59">
        <f ca="1">AVERAGE(OFFSET($BH$3,0,0,'Données projet'!$E$11+1,1))-AVERAGE(OFFSET($H$3,0,0,'Données projet'!$E$11+1,1))</f>
        <v>492.39485179035256</v>
      </c>
      <c r="BJ119" s="59">
        <f t="shared" si="92"/>
        <v>297.32483725004124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54.854668360909145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54.854668360909145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-5.4092197387944907E-14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260.51631161522039</v>
      </c>
      <c r="CE119" s="59">
        <f t="shared" si="94"/>
        <v>171.3469666102674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42.65578321588773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42.65578321588773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3.3992364478763198E-14</v>
      </c>
      <c r="CV119" s="13">
        <f t="shared" si="95"/>
        <v>5.790027782444094E-13</v>
      </c>
      <c r="CW119" s="20">
        <f t="shared" si="67"/>
        <v>1.0676332069095257E-12</v>
      </c>
      <c r="CX119" s="59">
        <f t="shared" si="68"/>
        <v>281.29424389472257</v>
      </c>
      <c r="CY119" s="59">
        <f ca="1">AVERAGE(OFFSET($CX$3,0,0,'Données projet'!$E$13+1,1))-AVERAGE(OFFSET($H$3,0,0,'Données projet'!$E$13+1,1))</f>
        <v>301.2688576786212</v>
      </c>
      <c r="CZ119" s="59">
        <f t="shared" si="96"/>
        <v>417.62172165132927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40.019534078466201</v>
      </c>
      <c r="DG119" s="21">
        <f>EXP(-LN(2)/25)*DG118+(1-EXP(-LN(2)/25))/(LN(2)/25)*Calculateur!DB119*Calculateur!DD119*VLOOKUP('Données projet'!$B$13,Paramètres!$A$1:$I$89,3,0)*0.475*44/12</f>
        <v>8.5247529001621594</v>
      </c>
      <c r="DH119" s="21">
        <f>EXP(-LN(2)/2)*DH118+(1-EXP(-LN(2)/2))/(LN(2)/2)*DB119*DE119*VLOOKUP('Données projet'!$B$13,Paramètres!$A$1:$I$89,3,0)*0.475*44/12</f>
        <v>4.8668298882653819E-9</v>
      </c>
      <c r="DI119" s="22">
        <f t="shared" si="69"/>
        <v>48.544286983495191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167.82976403567059</v>
      </c>
      <c r="T120" s="59">
        <f t="shared" si="88"/>
        <v>232.70925470547317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23.657426296432003</v>
      </c>
      <c r="AA120" s="21">
        <f>EXP(-LN(2)/25)*AA119+(1-EXP(-LN(2)/25))/(LN(2)/25)*Calculateur!V120*Calculateur!X120*VLOOKUP('Données projet'!$B$9,Paramètres!$A$1:$I$89,3,0)*0.475*44/12</f>
        <v>7.2685835955602185</v>
      </c>
      <c r="AB120" s="21">
        <f>EXP(-LN(2)/2)*AB119+(1-EXP(-LN(2)/2))/(LN(2)/2)*V120*Y120*VLOOKUP('Données projet'!$B$9,Paramètres!$A$1:$I$89,3,0)*0.475*44/12</f>
        <v>7.5962996224317593E-8</v>
      </c>
      <c r="AC120" s="22">
        <f t="shared" si="57"/>
        <v>30.926009967955221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338.50000000000006</v>
      </c>
      <c r="AJ120" s="13">
        <f>AI120*VLOOKUP('Données projet'!$B$10,Paramètres!$A$1:$I$89,3,0)*VLOOKUP('Données projet'!$B$10,Paramètres!$A$1:$I$89,5,0)</f>
        <v>343.23900000000009</v>
      </c>
      <c r="AK120" s="13">
        <f t="shared" si="89"/>
        <v>80.168774607305807</v>
      </c>
      <c r="AL120" s="20">
        <f t="shared" si="58"/>
        <v>737.43520744105774</v>
      </c>
      <c r="AM120" s="59">
        <f t="shared" si="59"/>
        <v>1018.9383026221674</v>
      </c>
      <c r="AN120" s="59">
        <f ca="1">AVERAGE(OFFSET($AM$3,0,0,'Données projet'!$E$10+1,1))-AVERAGE(OFFSET($H$3,0,0,'Données projet'!$E$10+1,1))</f>
        <v>542.51810435067659</v>
      </c>
      <c r="AO120" s="59">
        <f t="shared" si="90"/>
        <v>325.7263575945085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60.269570951822779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60.269570951822779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338.50000000000006</v>
      </c>
      <c r="BE120" s="13">
        <f>BD120*VLOOKUP('Données projet'!$B$11,Paramètres!$A$1:$I$89,3,0)*VLOOKUP('Données projet'!$B$11,Paramètres!$A$1:$I$89,5,0)</f>
        <v>306.27480000000003</v>
      </c>
      <c r="BF120" s="13">
        <f t="shared" si="91"/>
        <v>72.490313602283052</v>
      </c>
      <c r="BG120" s="20">
        <f t="shared" si="61"/>
        <v>659.68257285730954</v>
      </c>
      <c r="BH120" s="59">
        <f t="shared" si="62"/>
        <v>941.18566803841918</v>
      </c>
      <c r="BI120" s="59">
        <f ca="1">AVERAGE(OFFSET($BH$3,0,0,'Données projet'!$E$11+1,1))-AVERAGE(OFFSET($H$3,0,0,'Données projet'!$E$11+1,1))</f>
        <v>492.39485179035256</v>
      </c>
      <c r="BJ120" s="59">
        <f t="shared" si="92"/>
        <v>297.32483725004124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53.779001772395709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53.779001772395709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-5.4092197387944907E-14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260.51631161522039</v>
      </c>
      <c r="CE120" s="59">
        <f t="shared" si="94"/>
        <v>171.3469666102674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41.819329324482922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41.819329324482922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3.3992364478763198E-14</v>
      </c>
      <c r="CV120" s="13">
        <f t="shared" si="95"/>
        <v>5.790027782444094E-13</v>
      </c>
      <c r="CW120" s="20">
        <f t="shared" si="67"/>
        <v>1.0676332069095257E-12</v>
      </c>
      <c r="CX120" s="59">
        <f t="shared" si="68"/>
        <v>281.50309518111072</v>
      </c>
      <c r="CY120" s="59">
        <f ca="1">AVERAGE(OFFSET($CX$3,0,0,'Données projet'!$E$13+1,1))-AVERAGE(OFFSET($H$3,0,0,'Données projet'!$E$13+1,1))</f>
        <v>301.2688576786212</v>
      </c>
      <c r="CZ120" s="59">
        <f t="shared" si="96"/>
        <v>417.62172165132927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39.234775424693026</v>
      </c>
      <c r="DG120" s="21">
        <f>EXP(-LN(2)/25)*DG119+(1-EXP(-LN(2)/25))/(LN(2)/25)*Calculateur!DB120*Calculateur!DD120*VLOOKUP('Données projet'!$B$13,Paramètres!$A$1:$I$89,3,0)*0.475*44/12</f>
        <v>8.2916430838099533</v>
      </c>
      <c r="DH120" s="21">
        <f>EXP(-LN(2)/2)*DH119+(1-EXP(-LN(2)/2))/(LN(2)/2)*DB120*DE120*VLOOKUP('Données projet'!$B$13,Paramètres!$A$1:$I$89,3,0)*0.475*44/12</f>
        <v>3.441368416873819E-9</v>
      </c>
      <c r="DI120" s="22">
        <f t="shared" si="69"/>
        <v>47.52641851194435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167.82976403567059</v>
      </c>
      <c r="T121" s="59">
        <f t="shared" si="88"/>
        <v>232.70925470547317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23.193518596364207</v>
      </c>
      <c r="AA121" s="21">
        <f>EXP(-LN(2)/25)*AA120+(1-EXP(-LN(2)/25))/(LN(2)/25)*Calculateur!V121*Calculateur!X121*VLOOKUP('Données projet'!$B$9,Paramètres!$A$1:$I$89,3,0)*0.475*44/12</f>
        <v>7.069823794901426</v>
      </c>
      <c r="AB121" s="21">
        <f>EXP(-LN(2)/2)*AB120+(1-EXP(-LN(2)/2))/(LN(2)/2)*V121*Y121*VLOOKUP('Données projet'!$B$9,Paramètres!$A$1:$I$89,3,0)*0.475*44/12</f>
        <v>5.3713949749463077E-8</v>
      </c>
      <c r="AC121" s="22">
        <f t="shared" si="57"/>
        <v>30.263342444979582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343.00000000000006</v>
      </c>
      <c r="AJ121" s="13">
        <f>AI121*VLOOKUP('Données projet'!$B$10,Paramètres!$A$1:$I$89,3,0)*VLOOKUP('Données projet'!$B$10,Paramètres!$A$1:$I$89,5,0)</f>
        <v>347.80200000000008</v>
      </c>
      <c r="AK121" s="13">
        <f t="shared" si="89"/>
        <v>81.109754402608573</v>
      </c>
      <c r="AL121" s="20">
        <f t="shared" si="58"/>
        <v>747.02130558454337</v>
      </c>
      <c r="AM121" s="59">
        <f t="shared" si="59"/>
        <v>1028.7296289491437</v>
      </c>
      <c r="AN121" s="59">
        <f ca="1">AVERAGE(OFFSET($AM$3,0,0,'Données projet'!$E$10+1,1))-AVERAGE(OFFSET($H$3,0,0,'Données projet'!$E$10+1,1))</f>
        <v>542.51810435067659</v>
      </c>
      <c r="AO121" s="59">
        <f t="shared" si="90"/>
        <v>325.7263575945085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59.087721426265986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59.087721426265986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343.00000000000006</v>
      </c>
      <c r="BE121" s="13">
        <f>BD121*VLOOKUP('Données projet'!$B$11,Paramètres!$A$1:$I$89,3,0)*VLOOKUP('Données projet'!$B$11,Paramètres!$A$1:$I$89,5,0)</f>
        <v>310.34640000000007</v>
      </c>
      <c r="BF121" s="13">
        <f t="shared" si="91"/>
        <v>73.341167576153055</v>
      </c>
      <c r="BG121" s="20">
        <f t="shared" si="61"/>
        <v>668.25584686180002</v>
      </c>
      <c r="BH121" s="59">
        <f t="shared" si="62"/>
        <v>949.96417022640048</v>
      </c>
      <c r="BI121" s="59">
        <f ca="1">AVERAGE(OFFSET($BH$3,0,0,'Données projet'!$E$11+1,1))-AVERAGE(OFFSET($H$3,0,0,'Données projet'!$E$11+1,1))</f>
        <v>492.39485179035256</v>
      </c>
      <c r="BJ121" s="59">
        <f t="shared" si="92"/>
        <v>297.32483725004124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52.724428349591186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52.724428349591186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-5.4092197387944907E-14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260.51631161522039</v>
      </c>
      <c r="CE121" s="59">
        <f t="shared" si="94"/>
        <v>171.3469666102674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40.999277783702063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40.999277783702063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3.3992364478763198E-14</v>
      </c>
      <c r="CV121" s="13">
        <f t="shared" si="95"/>
        <v>5.790027782444094E-13</v>
      </c>
      <c r="CW121" s="20">
        <f t="shared" si="67"/>
        <v>1.0676332069095257E-12</v>
      </c>
      <c r="CX121" s="59">
        <f t="shared" si="68"/>
        <v>281.70832336460148</v>
      </c>
      <c r="CY121" s="59">
        <f ca="1">AVERAGE(OFFSET($CX$3,0,0,'Données projet'!$E$13+1,1))-AVERAGE(OFFSET($H$3,0,0,'Données projet'!$E$13+1,1))</f>
        <v>301.2688576786212</v>
      </c>
      <c r="CZ121" s="59">
        <f t="shared" si="96"/>
        <v>417.62172165132927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38.465405409464829</v>
      </c>
      <c r="DG121" s="21">
        <f>EXP(-LN(2)/25)*DG120+(1-EXP(-LN(2)/25))/(LN(2)/25)*Calculateur!DB121*Calculateur!DD121*VLOOKUP('Données projet'!$B$13,Paramètres!$A$1:$I$89,3,0)*0.475*44/12</f>
        <v>8.0649076676446114</v>
      </c>
      <c r="DH121" s="21">
        <f>EXP(-LN(2)/2)*DH120+(1-EXP(-LN(2)/2))/(LN(2)/2)*DB121*DE121*VLOOKUP('Données projet'!$B$13,Paramètres!$A$1:$I$89,3,0)*0.475*44/12</f>
        <v>2.433414944132691E-9</v>
      </c>
      <c r="DI121" s="22">
        <f t="shared" si="69"/>
        <v>46.530313079542857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167.82976403567059</v>
      </c>
      <c r="T122" s="59">
        <f t="shared" si="88"/>
        <v>232.70925470547317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22.738707843338982</v>
      </c>
      <c r="AA122" s="21">
        <f>EXP(-LN(2)/25)*AA121+(1-EXP(-LN(2)/25))/(LN(2)/25)*Calculateur!V122*Calculateur!X122*VLOOKUP('Données projet'!$B$9,Paramètres!$A$1:$I$89,3,0)*0.475*44/12</f>
        <v>6.8764990914439714</v>
      </c>
      <c r="AB122" s="21">
        <f>EXP(-LN(2)/2)*AB121+(1-EXP(-LN(2)/2))/(LN(2)/2)*V122*Y122*VLOOKUP('Données projet'!$B$9,Paramètres!$A$1:$I$89,3,0)*0.475*44/12</f>
        <v>3.7981498112158797E-8</v>
      </c>
      <c r="AC122" s="22">
        <f t="shared" si="57"/>
        <v>29.615206972764451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347.50000000000006</v>
      </c>
      <c r="AJ122" s="13">
        <f>AI122*VLOOKUP('Données projet'!$B$10,Paramètres!$A$1:$I$89,3,0)*VLOOKUP('Données projet'!$B$10,Paramètres!$A$1:$I$89,5,0)</f>
        <v>352.36500000000012</v>
      </c>
      <c r="AK122" s="13">
        <f t="shared" si="89"/>
        <v>82.049298267873581</v>
      </c>
      <c r="AL122" s="20">
        <f t="shared" si="58"/>
        <v>756.60490281654677</v>
      </c>
      <c r="AM122" s="59">
        <f t="shared" si="59"/>
        <v>1038.514894114476</v>
      </c>
      <c r="AN122" s="59">
        <f ca="1">AVERAGE(OFFSET($AM$3,0,0,'Données projet'!$E$10+1,1))-AVERAGE(OFFSET($H$3,0,0,'Données projet'!$E$10+1,1))</f>
        <v>542.51810435067659</v>
      </c>
      <c r="AO122" s="59">
        <f t="shared" si="90"/>
        <v>325.7263575945085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57.929047249048331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57.929047249048331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347.50000000000006</v>
      </c>
      <c r="BE122" s="13">
        <f>BD122*VLOOKUP('Données projet'!$B$11,Paramètres!$A$1:$I$89,3,0)*VLOOKUP('Données projet'!$B$11,Paramètres!$A$1:$I$89,5,0)</f>
        <v>314.41800000000001</v>
      </c>
      <c r="BF122" s="13">
        <f t="shared" si="91"/>
        <v>74.190723151497338</v>
      </c>
      <c r="BG122" s="20">
        <f t="shared" si="61"/>
        <v>676.82685948885785</v>
      </c>
      <c r="BH122" s="59">
        <f t="shared" si="62"/>
        <v>958.73685078678704</v>
      </c>
      <c r="BI122" s="59">
        <f ca="1">AVERAGE(OFFSET($BH$3,0,0,'Données projet'!$E$11+1,1))-AVERAGE(OFFSET($H$3,0,0,'Données projet'!$E$11+1,1))</f>
        <v>492.39485179035256</v>
      </c>
      <c r="BJ122" s="59">
        <f t="shared" si="92"/>
        <v>297.32483725004124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51.690534468381585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51.690534468381585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-5.4092197387944907E-14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260.51631161522039</v>
      </c>
      <c r="CE122" s="59">
        <f t="shared" si="94"/>
        <v>171.3469666102674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40.195306953453866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40.195306953453866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3.3992364478763198E-14</v>
      </c>
      <c r="CV122" s="13">
        <f t="shared" si="95"/>
        <v>5.790027782444094E-13</v>
      </c>
      <c r="CW122" s="20">
        <f t="shared" si="67"/>
        <v>1.0676332069095257E-12</v>
      </c>
      <c r="CX122" s="59">
        <f t="shared" si="68"/>
        <v>281.90999129793022</v>
      </c>
      <c r="CY122" s="59">
        <f ca="1">AVERAGE(OFFSET($CX$3,0,0,'Données projet'!$E$13+1,1))-AVERAGE(OFFSET($H$3,0,0,'Données projet'!$E$13+1,1))</f>
        <v>301.2688576786212</v>
      </c>
      <c r="CZ122" s="59">
        <f t="shared" si="96"/>
        <v>417.62172165132927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37.711122270965888</v>
      </c>
      <c r="DG122" s="21">
        <f>EXP(-LN(2)/25)*DG121+(1-EXP(-LN(2)/25))/(LN(2)/25)*Calculateur!DB122*Calculateur!DD122*VLOOKUP('Données projet'!$B$13,Paramètres!$A$1:$I$89,3,0)*0.475*44/12</f>
        <v>7.8443723433578079</v>
      </c>
      <c r="DH122" s="21">
        <f>EXP(-LN(2)/2)*DH121+(1-EXP(-LN(2)/2))/(LN(2)/2)*DB122*DE122*VLOOKUP('Données projet'!$B$13,Paramètres!$A$1:$I$89,3,0)*0.475*44/12</f>
        <v>1.7206842084369095E-9</v>
      </c>
      <c r="DI122" s="22">
        <f t="shared" si="69"/>
        <v>45.555494616044378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167.82976403567059</v>
      </c>
      <c r="T123" s="59">
        <f t="shared" si="88"/>
        <v>232.70925470547317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22.292815651773417</v>
      </c>
      <c r="AA123" s="21">
        <f>EXP(-LN(2)/25)*AA122+(1-EXP(-LN(2)/25))/(LN(2)/25)*Calculateur!V123*Calculateur!X123*VLOOKUP('Données projet'!$B$9,Paramètres!$A$1:$I$89,3,0)*0.475*44/12</f>
        <v>6.6884608621690651</v>
      </c>
      <c r="AB123" s="21">
        <f>EXP(-LN(2)/2)*AB122+(1-EXP(-LN(2)/2))/(LN(2)/2)*V123*Y123*VLOOKUP('Données projet'!$B$9,Paramètres!$A$1:$I$89,3,0)*0.475*44/12</f>
        <v>2.6856974874731539E-8</v>
      </c>
      <c r="AC123" s="22">
        <f t="shared" si="57"/>
        <v>28.981276540799456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352.00000000000006</v>
      </c>
      <c r="AJ123" s="13">
        <f>AI123*VLOOKUP('Données projet'!$B$10,Paramètres!$A$1:$I$89,3,0)*VLOOKUP('Données projet'!$B$10,Paramètres!$A$1:$I$89,5,0)</f>
        <v>356.92800000000005</v>
      </c>
      <c r="AK123" s="13">
        <f t="shared" si="89"/>
        <v>82.987426947838998</v>
      </c>
      <c r="AL123" s="20">
        <f t="shared" si="58"/>
        <v>766.18603526748632</v>
      </c>
      <c r="AM123" s="59">
        <f t="shared" si="59"/>
        <v>1048.2941960109629</v>
      </c>
      <c r="AN123" s="59">
        <f ca="1">AVERAGE(OFFSET($AM$3,0,0,'Données projet'!$E$10+1,1))-AVERAGE(OFFSET($H$3,0,0,'Données projet'!$E$10+1,1))</f>
        <v>542.51810435067659</v>
      </c>
      <c r="AO123" s="59">
        <f t="shared" si="90"/>
        <v>325.7263575945085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209.49297330496202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209.49297330496202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352.00000000000006</v>
      </c>
      <c r="BE123" s="13">
        <f>BD123*VLOOKUP('Données projet'!$B$11,Paramètres!$A$1:$I$89,3,0)*VLOOKUP('Données projet'!$B$11,Paramètres!$A$1:$I$89,5,0)</f>
        <v>318.48960000000005</v>
      </c>
      <c r="BF123" s="13">
        <f t="shared" si="91"/>
        <v>75.038999086150298</v>
      </c>
      <c r="BG123" s="20">
        <f t="shared" si="61"/>
        <v>685.39564340837842</v>
      </c>
      <c r="BH123" s="59">
        <f t="shared" si="62"/>
        <v>967.50380415185509</v>
      </c>
      <c r="BI123" s="59">
        <f ca="1">AVERAGE(OFFSET($BH$3,0,0,'Données projet'!$E$11+1,1))-AVERAGE(OFFSET($H$3,0,0,'Données projet'!$E$11+1,1))</f>
        <v>492.39485179035256</v>
      </c>
      <c r="BJ123" s="59">
        <f t="shared" si="92"/>
        <v>297.32483725004124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352</v>
      </c>
      <c r="BM123" s="16">
        <f>IF(ISNA(VLOOKUP(A123,'Données projet'!$A$87:$I$107,5,0)),0%,VLOOKUP(A123,'Données projet'!$A$87:$I$107,5,0)*VLOOKUP('Données projet'!$B$11,Paramètres!$A$1:$I$89,7,0))</f>
        <v>0.38700000000000001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186.9321915644276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186.9321915644276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-5.4092197387944907E-14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260.51631161522039</v>
      </c>
      <c r="CE123" s="59">
        <f t="shared" si="94"/>
        <v>171.3469666102674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39.407101500813049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39.407101500813049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3.3992364478763198E-14</v>
      </c>
      <c r="CV123" s="13">
        <f t="shared" si="95"/>
        <v>5.790027782444094E-13</v>
      </c>
      <c r="CW123" s="20">
        <f t="shared" si="67"/>
        <v>1.0676332069095257E-12</v>
      </c>
      <c r="CX123" s="59">
        <f t="shared" si="68"/>
        <v>282.1081607434777</v>
      </c>
      <c r="CY123" s="59">
        <f ca="1">AVERAGE(OFFSET($CX$3,0,0,'Données projet'!$E$13+1,1))-AVERAGE(OFFSET($H$3,0,0,'Données projet'!$E$13+1,1))</f>
        <v>301.2688576786212</v>
      </c>
      <c r="CZ123" s="59">
        <f t="shared" si="96"/>
        <v>417.62172165132927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36.971630164745619</v>
      </c>
      <c r="DG123" s="21">
        <f>EXP(-LN(2)/25)*DG122+(1-EXP(-LN(2)/25))/(LN(2)/25)*Calculateur!DB123*Calculateur!DD123*VLOOKUP('Données projet'!$B$13,Paramètres!$A$1:$I$89,3,0)*0.475*44/12</f>
        <v>7.6298675691110756</v>
      </c>
      <c r="DH123" s="21">
        <f>EXP(-LN(2)/2)*DH122+(1-EXP(-LN(2)/2))/(LN(2)/2)*DB123*DE123*VLOOKUP('Données projet'!$B$13,Paramètres!$A$1:$I$89,3,0)*0.475*44/12</f>
        <v>1.2167074720663455E-9</v>
      </c>
      <c r="DI123" s="22">
        <f t="shared" si="69"/>
        <v>44.601497735073401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167.82976403567059</v>
      </c>
      <c r="T124" s="59">
        <f t="shared" si="88"/>
        <v>232.70925470547317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21.85566713411707</v>
      </c>
      <c r="AA124" s="21">
        <f>EXP(-LN(2)/25)*AA123+(1-EXP(-LN(2)/25))/(LN(2)/25)*Calculateur!V124*Calculateur!X124*VLOOKUP('Données projet'!$B$9,Paramètres!$A$1:$I$89,3,0)*0.475*44/12</f>
        <v>6.505564548162182</v>
      </c>
      <c r="AB124" s="21">
        <f>EXP(-LN(2)/2)*AB123+(1-EXP(-LN(2)/2))/(LN(2)/2)*V124*Y124*VLOOKUP('Données projet'!$B$9,Paramètres!$A$1:$I$89,3,0)*0.475*44/12</f>
        <v>1.8990749056079398E-8</v>
      </c>
      <c r="AC124" s="22">
        <f t="shared" si="57"/>
        <v>28.361231701270004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5.7639226724859328E-14</v>
      </c>
      <c r="AK124" s="13">
        <f t="shared" si="89"/>
        <v>9.2325701996134334E-13</v>
      </c>
      <c r="AL124" s="20">
        <f t="shared" si="58"/>
        <v>1.708394296311803E-12</v>
      </c>
      <c r="AM124" s="59">
        <f t="shared" si="59"/>
        <v>282.3028923921861</v>
      </c>
      <c r="AN124" s="59">
        <f ca="1">AVERAGE(OFFSET($AM$3,0,0,'Données projet'!$E$10+1,1))-AVERAGE(OFFSET($H$3,0,0,'Données projet'!$E$10+1,1))</f>
        <v>542.51810435067659</v>
      </c>
      <c r="AO124" s="59">
        <f t="shared" si="90"/>
        <v>325.7263575945085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205.38494387654839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205.38494387654839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5.1431925385259088E-14</v>
      </c>
      <c r="BF124" s="13">
        <f t="shared" si="91"/>
        <v>8.3482866290946129E-13</v>
      </c>
      <c r="BG124" s="20">
        <f t="shared" si="61"/>
        <v>1.5435705246133045E-12</v>
      </c>
      <c r="BH124" s="59">
        <f t="shared" si="62"/>
        <v>282.30289239218592</v>
      </c>
      <c r="BI124" s="59">
        <f ca="1">AVERAGE(OFFSET($BH$3,0,0,'Données projet'!$E$11+1,1))-AVERAGE(OFFSET($H$3,0,0,'Données projet'!$E$11+1,1))</f>
        <v>492.39485179035256</v>
      </c>
      <c r="BJ124" s="59">
        <f t="shared" si="92"/>
        <v>297.32483725004124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183.26656530522774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183.26656530522774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-5.4092197387944907E-14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260.51631161522039</v>
      </c>
      <c r="CE124" s="59">
        <f t="shared" si="94"/>
        <v>171.3469666102674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38.634352276340664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38.634352276340664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3.3992364478763198E-14</v>
      </c>
      <c r="CV124" s="13">
        <f t="shared" si="95"/>
        <v>5.790027782444094E-13</v>
      </c>
      <c r="CW124" s="20">
        <f t="shared" si="67"/>
        <v>1.0676332069095257E-12</v>
      </c>
      <c r="CX124" s="59">
        <f t="shared" si="68"/>
        <v>282.30289239218547</v>
      </c>
      <c r="CY124" s="59">
        <f ca="1">AVERAGE(OFFSET($CX$3,0,0,'Données projet'!$E$13+1,1))-AVERAGE(OFFSET($H$3,0,0,'Données projet'!$E$13+1,1))</f>
        <v>301.2688576786212</v>
      </c>
      <c r="CZ124" s="59">
        <f t="shared" si="96"/>
        <v>417.62172165132927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36.246639047682685</v>
      </c>
      <c r="DG124" s="21">
        <f>EXP(-LN(2)/25)*DG123+(1-EXP(-LN(2)/25))/(LN(2)/25)*Calculateur!DB124*Calculateur!DD124*VLOOKUP('Données projet'!$B$13,Paramètres!$A$1:$I$89,3,0)*0.475*44/12</f>
        <v>7.4212284391964358</v>
      </c>
      <c r="DH124" s="21">
        <f>EXP(-LN(2)/2)*DH123+(1-EXP(-LN(2)/2))/(LN(2)/2)*DB124*DE124*VLOOKUP('Données projet'!$B$13,Paramètres!$A$1:$I$89,3,0)*0.475*44/12</f>
        <v>8.6034210421845475E-10</v>
      </c>
      <c r="DI124" s="22">
        <f t="shared" si="69"/>
        <v>43.667867487739457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167.82976403567059</v>
      </c>
      <c r="T125" s="59">
        <f t="shared" si="88"/>
        <v>232.70925470547317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21.427090832257694</v>
      </c>
      <c r="AA125" s="21">
        <f>EXP(-LN(2)/25)*AA124+(1-EXP(-LN(2)/25))/(LN(2)/25)*Calculateur!V125*Calculateur!X125*VLOOKUP('Données projet'!$B$9,Paramètres!$A$1:$I$89,3,0)*0.475*44/12</f>
        <v>6.3276695434799164</v>
      </c>
      <c r="AB125" s="21">
        <f>EXP(-LN(2)/2)*AB124+(1-EXP(-LN(2)/2))/(LN(2)/2)*V125*Y125*VLOOKUP('Données projet'!$B$9,Paramètres!$A$1:$I$89,3,0)*0.475*44/12</f>
        <v>1.3428487437365769E-8</v>
      </c>
      <c r="AC125" s="22">
        <f t="shared" si="57"/>
        <v>27.754760389166098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5.7639226724859328E-14</v>
      </c>
      <c r="AK125" s="13">
        <f t="shared" si="89"/>
        <v>9.2325701996134334E-13</v>
      </c>
      <c r="AL125" s="20">
        <f t="shared" si="58"/>
        <v>1.708394296311803E-12</v>
      </c>
      <c r="AM125" s="59">
        <f t="shared" si="59"/>
        <v>282.4942458821435</v>
      </c>
      <c r="AN125" s="59">
        <f ca="1">AVERAGE(OFFSET($AM$3,0,0,'Données projet'!$E$10+1,1))-AVERAGE(OFFSET($H$3,0,0,'Données projet'!$E$10+1,1))</f>
        <v>542.51810435067659</v>
      </c>
      <c r="AO125" s="59">
        <f t="shared" si="90"/>
        <v>325.7263575945085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201.35747039957542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201.35747039957542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5.1431925385259088E-14</v>
      </c>
      <c r="BF125" s="13">
        <f t="shared" si="91"/>
        <v>8.3482866290946129E-13</v>
      </c>
      <c r="BG125" s="20">
        <f t="shared" si="61"/>
        <v>1.5435705246133045E-12</v>
      </c>
      <c r="BH125" s="59">
        <f t="shared" si="62"/>
        <v>282.49424588214333</v>
      </c>
      <c r="BI125" s="59">
        <f ca="1">AVERAGE(OFFSET($BH$3,0,0,'Données projet'!$E$11+1,1))-AVERAGE(OFFSET($H$3,0,0,'Données projet'!$E$11+1,1))</f>
        <v>492.39485179035256</v>
      </c>
      <c r="BJ125" s="59">
        <f t="shared" si="92"/>
        <v>297.32483725004124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179.67281974115954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179.67281974115954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-5.4092197387944907E-14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260.51631161522039</v>
      </c>
      <c r="CE125" s="59">
        <f t="shared" si="94"/>
        <v>171.3469666102674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37.876756192829696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37.876756192829696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3.3992364478763198E-14</v>
      </c>
      <c r="CV125" s="13">
        <f t="shared" si="95"/>
        <v>5.790027782444094E-13</v>
      </c>
      <c r="CW125" s="20">
        <f t="shared" si="67"/>
        <v>1.0676332069095257E-12</v>
      </c>
      <c r="CX125" s="59">
        <f t="shared" si="68"/>
        <v>282.49424588214288</v>
      </c>
      <c r="CY125" s="59">
        <f ca="1">AVERAGE(OFFSET($CX$3,0,0,'Données projet'!$E$13+1,1))-AVERAGE(OFFSET($H$3,0,0,'Données projet'!$E$13+1,1))</f>
        <v>301.2688576786212</v>
      </c>
      <c r="CZ125" s="59">
        <f t="shared" si="96"/>
        <v>417.62172165132927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35.535864564224433</v>
      </c>
      <c r="DG125" s="21">
        <f>EXP(-LN(2)/25)*DG124+(1-EXP(-LN(2)/25))/(LN(2)/25)*Calculateur!DB125*Calculateur!DD125*VLOOKUP('Données projet'!$B$13,Paramètres!$A$1:$I$89,3,0)*0.475*44/12</f>
        <v>7.2182945572611672</v>
      </c>
      <c r="DH125" s="21">
        <f>EXP(-LN(2)/2)*DH124+(1-EXP(-LN(2)/2))/(LN(2)/2)*DB125*DE125*VLOOKUP('Données projet'!$B$13,Paramètres!$A$1:$I$89,3,0)*0.475*44/12</f>
        <v>6.0835373603317274E-10</v>
      </c>
      <c r="DI125" s="22">
        <f t="shared" si="69"/>
        <v>42.754159122093952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167.82976403567059</v>
      </c>
      <c r="T126" s="59">
        <f t="shared" si="88"/>
        <v>232.70925470547317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21.006918650272048</v>
      </c>
      <c r="AA126" s="21">
        <f>EXP(-LN(2)/25)*AA125+(1-EXP(-LN(2)/25))/(LN(2)/25)*Calculateur!V126*Calculateur!X126*VLOOKUP('Données projet'!$B$9,Paramètres!$A$1:$I$89,3,0)*0.475*44/12</f>
        <v>6.154639087055779</v>
      </c>
      <c r="AB126" s="21">
        <f>EXP(-LN(2)/2)*AB125+(1-EXP(-LN(2)/2))/(LN(2)/2)*V126*Y126*VLOOKUP('Données projet'!$B$9,Paramètres!$A$1:$I$89,3,0)*0.475*44/12</f>
        <v>9.4953745280396992E-9</v>
      </c>
      <c r="AC126" s="22">
        <f t="shared" si="57"/>
        <v>27.161557746823199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5.7639226724859328E-14</v>
      </c>
      <c r="AK126" s="13">
        <f t="shared" si="89"/>
        <v>9.2325701996134334E-13</v>
      </c>
      <c r="AL126" s="20">
        <f t="shared" si="58"/>
        <v>1.708394296311803E-12</v>
      </c>
      <c r="AM126" s="59">
        <f t="shared" si="59"/>
        <v>282.68227981685237</v>
      </c>
      <c r="AN126" s="59">
        <f ca="1">AVERAGE(OFFSET($AM$3,0,0,'Données projet'!$E$10+1,1))-AVERAGE(OFFSET($H$3,0,0,'Données projet'!$E$10+1,1))</f>
        <v>542.51810435067659</v>
      </c>
      <c r="AO126" s="59">
        <f t="shared" si="90"/>
        <v>325.7263575945085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197.40897322096961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197.40897322096961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5.1431925385259088E-14</v>
      </c>
      <c r="BF126" s="13">
        <f t="shared" si="91"/>
        <v>8.3482866290946129E-13</v>
      </c>
      <c r="BG126" s="20">
        <f t="shared" si="61"/>
        <v>1.5435705246133045E-12</v>
      </c>
      <c r="BH126" s="59">
        <f t="shared" si="62"/>
        <v>282.6822798168522</v>
      </c>
      <c r="BI126" s="59">
        <f ca="1">AVERAGE(OFFSET($BH$3,0,0,'Données projet'!$E$11+1,1))-AVERAGE(OFFSET($H$3,0,0,'Données projet'!$E$11+1,1))</f>
        <v>492.39485179035256</v>
      </c>
      <c r="BJ126" s="59">
        <f t="shared" si="92"/>
        <v>297.32483725004124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176.14954533563437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176.14954533563437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-5.4092197387944907E-14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260.51631161522039</v>
      </c>
      <c r="CE126" s="59">
        <f t="shared" si="94"/>
        <v>171.3469666102674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37.134016106428398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37.134016106428398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3.3992364478763198E-14</v>
      </c>
      <c r="CV126" s="13">
        <f t="shared" si="95"/>
        <v>5.790027782444094E-13</v>
      </c>
      <c r="CW126" s="20">
        <f t="shared" si="67"/>
        <v>1.0676332069095257E-12</v>
      </c>
      <c r="CX126" s="59">
        <f t="shared" si="68"/>
        <v>282.68227981685175</v>
      </c>
      <c r="CY126" s="59">
        <f ca="1">AVERAGE(OFFSET($CX$3,0,0,'Données projet'!$E$13+1,1))-AVERAGE(OFFSET($H$3,0,0,'Données projet'!$E$13+1,1))</f>
        <v>301.2688576786212</v>
      </c>
      <c r="CZ126" s="59">
        <f t="shared" si="96"/>
        <v>417.62172165132927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34.839027934857171</v>
      </c>
      <c r="DG126" s="21">
        <f>EXP(-LN(2)/25)*DG125+(1-EXP(-LN(2)/25))/(LN(2)/25)*Calculateur!DB126*Calculateur!DD126*VLOOKUP('Données projet'!$B$13,Paramètres!$A$1:$I$89,3,0)*0.475*44/12</f>
        <v>7.0209099129992474</v>
      </c>
      <c r="DH126" s="21">
        <f>EXP(-LN(2)/2)*DH125+(1-EXP(-LN(2)/2))/(LN(2)/2)*DB126*DE126*VLOOKUP('Données projet'!$B$13,Paramètres!$A$1:$I$89,3,0)*0.475*44/12</f>
        <v>4.3017105210922738E-10</v>
      </c>
      <c r="DI126" s="22">
        <f t="shared" si="69"/>
        <v>41.859937848286584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167.82976403567059</v>
      </c>
      <c r="T127" s="59">
        <f t="shared" si="88"/>
        <v>232.70925470547317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20.594985788495418</v>
      </c>
      <c r="AA127" s="21">
        <f>EXP(-LN(2)/25)*AA126+(1-EXP(-LN(2)/25))/(LN(2)/25)*Calculateur!V127*Calculateur!X127*VLOOKUP('Données projet'!$B$9,Paramètres!$A$1:$I$89,3,0)*0.475*44/12</f>
        <v>5.9863401575618358</v>
      </c>
      <c r="AB127" s="21">
        <f>EXP(-LN(2)/2)*AB126+(1-EXP(-LN(2)/2))/(LN(2)/2)*V127*Y127*VLOOKUP('Données projet'!$B$9,Paramètres!$A$1:$I$89,3,0)*0.475*44/12</f>
        <v>6.7142437186828846E-9</v>
      </c>
      <c r="AC127" s="22">
        <f t="shared" si="57"/>
        <v>26.5813259527715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5.7639226724859328E-14</v>
      </c>
      <c r="AK127" s="13">
        <f t="shared" si="89"/>
        <v>9.2325701996134334E-13</v>
      </c>
      <c r="AL127" s="20">
        <f t="shared" si="58"/>
        <v>1.708394296311803E-12</v>
      </c>
      <c r="AM127" s="59">
        <f t="shared" si="59"/>
        <v>282.86705178317504</v>
      </c>
      <c r="AN127" s="59">
        <f ca="1">AVERAGE(OFFSET($AM$3,0,0,'Données projet'!$E$10+1,1))-AVERAGE(OFFSET($H$3,0,0,'Données projet'!$E$10+1,1))</f>
        <v>542.51810435067659</v>
      </c>
      <c r="AO127" s="59">
        <f t="shared" si="90"/>
        <v>325.7263575945085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193.5379036636908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193.5379036636908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5.1431925385259088E-14</v>
      </c>
      <c r="BF127" s="13">
        <f t="shared" si="91"/>
        <v>8.3482866290946129E-13</v>
      </c>
      <c r="BG127" s="20">
        <f t="shared" si="61"/>
        <v>1.5435705246133045E-12</v>
      </c>
      <c r="BH127" s="59">
        <f t="shared" si="62"/>
        <v>282.86705178317487</v>
      </c>
      <c r="BI127" s="59">
        <f ca="1">AVERAGE(OFFSET($BH$3,0,0,'Données projet'!$E$11+1,1))-AVERAGE(OFFSET($H$3,0,0,'Données projet'!$E$11+1,1))</f>
        <v>492.39485179035256</v>
      </c>
      <c r="BJ127" s="59">
        <f t="shared" si="92"/>
        <v>297.32483725004124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172.69536019221636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172.69536019221636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-5.4092197387944907E-14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260.51631161522039</v>
      </c>
      <c r="CE127" s="59">
        <f t="shared" si="94"/>
        <v>171.3469666102674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36.405840700094707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36.405840700094707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3.3992364478763198E-14</v>
      </c>
      <c r="CV127" s="13">
        <f t="shared" si="95"/>
        <v>5.790027782444094E-13</v>
      </c>
      <c r="CW127" s="20">
        <f t="shared" si="67"/>
        <v>1.0676332069095257E-12</v>
      </c>
      <c r="CX127" s="59">
        <f t="shared" si="68"/>
        <v>282.86705178317442</v>
      </c>
      <c r="CY127" s="59">
        <f ca="1">AVERAGE(OFFSET($CX$3,0,0,'Données projet'!$E$13+1,1))-AVERAGE(OFFSET($H$3,0,0,'Données projet'!$E$13+1,1))</f>
        <v>301.2688576786212</v>
      </c>
      <c r="CZ127" s="59">
        <f t="shared" si="96"/>
        <v>417.62172165132927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34.15585584676343</v>
      </c>
      <c r="DG127" s="21">
        <f>EXP(-LN(2)/25)*DG126+(1-EXP(-LN(2)/25))/(LN(2)/25)*Calculateur!DB127*Calculateur!DD127*VLOOKUP('Données projet'!$B$13,Paramètres!$A$1:$I$89,3,0)*0.475*44/12</f>
        <v>6.8289227622146775</v>
      </c>
      <c r="DH127" s="21">
        <f>EXP(-LN(2)/2)*DH126+(1-EXP(-LN(2)/2))/(LN(2)/2)*DB127*DE127*VLOOKUP('Données projet'!$B$13,Paramètres!$A$1:$I$89,3,0)*0.475*44/12</f>
        <v>3.0417686801658637E-10</v>
      </c>
      <c r="DI127" s="22">
        <f t="shared" si="69"/>
        <v>40.98477860928228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167.82976403567059</v>
      </c>
      <c r="T128" s="59">
        <f t="shared" si="88"/>
        <v>232.70925470547317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20.19113067888399</v>
      </c>
      <c r="AA128" s="21">
        <f>EXP(-LN(2)/25)*AA127+(1-EXP(-LN(2)/25))/(LN(2)/25)*Calculateur!V128*Calculateur!X128*VLOOKUP('Données projet'!$B$9,Paramètres!$A$1:$I$89,3,0)*0.475*44/12</f>
        <v>5.8226433711453609</v>
      </c>
      <c r="AB128" s="21">
        <f>EXP(-LN(2)/2)*AB127+(1-EXP(-LN(2)/2))/(LN(2)/2)*V128*Y128*VLOOKUP('Données projet'!$B$9,Paramètres!$A$1:$I$89,3,0)*0.475*44/12</f>
        <v>4.7476872640198496E-9</v>
      </c>
      <c r="AC128" s="22">
        <f t="shared" si="57"/>
        <v>26.013774054777038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5.7639226724859328E-14</v>
      </c>
      <c r="AK128" s="13">
        <f t="shared" si="89"/>
        <v>9.2325701996134334E-13</v>
      </c>
      <c r="AL128" s="20">
        <f t="shared" si="58"/>
        <v>1.708394296311803E-12</v>
      </c>
      <c r="AM128" s="59">
        <f t="shared" si="59"/>
        <v>283.04861836897021</v>
      </c>
      <c r="AN128" s="59">
        <f ca="1">AVERAGE(OFFSET($AM$3,0,0,'Données projet'!$E$10+1,1))-AVERAGE(OFFSET($H$3,0,0,'Données projet'!$E$10+1,1))</f>
        <v>542.51810435067659</v>
      </c>
      <c r="AO128" s="59">
        <f t="shared" si="90"/>
        <v>325.7263575945085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189.74274341931093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189.74274341931093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5.1431925385259088E-14</v>
      </c>
      <c r="BF128" s="13">
        <f t="shared" si="91"/>
        <v>8.3482866290946129E-13</v>
      </c>
      <c r="BG128" s="20">
        <f t="shared" si="61"/>
        <v>1.5435705246133045E-12</v>
      </c>
      <c r="BH128" s="59">
        <f t="shared" si="62"/>
        <v>283.04861836897004</v>
      </c>
      <c r="BI128" s="59">
        <f ca="1">AVERAGE(OFFSET($BH$3,0,0,'Données projet'!$E$11+1,1))-AVERAGE(OFFSET($H$3,0,0,'Données projet'!$E$11+1,1))</f>
        <v>492.39485179035256</v>
      </c>
      <c r="BJ128" s="59">
        <f t="shared" si="92"/>
        <v>297.32483725004124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169.30890951261586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169.30890951261586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-5.4092197387944907E-14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260.51631161522039</v>
      </c>
      <c r="CE128" s="59">
        <f t="shared" si="94"/>
        <v>171.3469666102674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35.691944369336078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35.691944369336078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3.3992364478763198E-14</v>
      </c>
      <c r="CV128" s="13">
        <f t="shared" si="95"/>
        <v>5.790027782444094E-13</v>
      </c>
      <c r="CW128" s="20">
        <f t="shared" si="67"/>
        <v>1.0676332069095257E-12</v>
      </c>
      <c r="CX128" s="59">
        <f t="shared" si="68"/>
        <v>283.04861836896958</v>
      </c>
      <c r="CY128" s="59">
        <f ca="1">AVERAGE(OFFSET($CX$3,0,0,'Données projet'!$E$13+1,1))-AVERAGE(OFFSET($H$3,0,0,'Données projet'!$E$13+1,1))</f>
        <v>301.2688576786212</v>
      </c>
      <c r="CZ128" s="59">
        <f t="shared" si="96"/>
        <v>417.62172165132927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33.486080346623375</v>
      </c>
      <c r="DG128" s="21">
        <f>EXP(-LN(2)/25)*DG127+(1-EXP(-LN(2)/25))/(LN(2)/25)*Calculateur!DB128*Calculateur!DD128*VLOOKUP('Données projet'!$B$13,Paramètres!$A$1:$I$89,3,0)*0.475*44/12</f>
        <v>6.6421855101644764</v>
      </c>
      <c r="DH128" s="21">
        <f>EXP(-LN(2)/2)*DH127+(1-EXP(-LN(2)/2))/(LN(2)/2)*DB128*DE128*VLOOKUP('Données projet'!$B$13,Paramètres!$A$1:$I$89,3,0)*0.475*44/12</f>
        <v>2.1508552605461369E-10</v>
      </c>
      <c r="DI128" s="22">
        <f t="shared" si="69"/>
        <v>40.128265857002937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167.82976403567059</v>
      </c>
      <c r="T129" s="59">
        <f t="shared" si="88"/>
        <v>232.70925470547317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19.795194921644747</v>
      </c>
      <c r="AA129" s="21">
        <f>EXP(-LN(2)/25)*AA128+(1-EXP(-LN(2)/25))/(LN(2)/25)*Calculateur!V129*Calculateur!X129*VLOOKUP('Données projet'!$B$9,Paramètres!$A$1:$I$89,3,0)*0.475*44/12</f>
        <v>5.6634228819618837</v>
      </c>
      <c r="AB129" s="21">
        <f>EXP(-LN(2)/2)*AB128+(1-EXP(-LN(2)/2))/(LN(2)/2)*V129*Y129*VLOOKUP('Données projet'!$B$9,Paramètres!$A$1:$I$89,3,0)*0.475*44/12</f>
        <v>3.3571218593414423E-9</v>
      </c>
      <c r="AC129" s="22">
        <f t="shared" si="57"/>
        <v>25.458617806963751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5.7639226724859328E-14</v>
      </c>
      <c r="AK129" s="13">
        <f t="shared" si="89"/>
        <v>9.2325701996134334E-13</v>
      </c>
      <c r="AL129" s="20">
        <f t="shared" si="58"/>
        <v>1.708394296311803E-12</v>
      </c>
      <c r="AM129" s="59">
        <f t="shared" si="59"/>
        <v>283.22703518042391</v>
      </c>
      <c r="AN129" s="59">
        <f ca="1">AVERAGE(OFFSET($AM$3,0,0,'Données projet'!$E$10+1,1))-AVERAGE(OFFSET($H$3,0,0,'Données projet'!$E$10+1,1))</f>
        <v>542.51810435067659</v>
      </c>
      <c r="AO129" s="59">
        <f t="shared" si="90"/>
        <v>325.7263575945085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186.02200395250418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186.02200395250418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5.1431925385259088E-14</v>
      </c>
      <c r="BF129" s="13">
        <f t="shared" si="91"/>
        <v>8.3482866290946129E-13</v>
      </c>
      <c r="BG129" s="20">
        <f t="shared" si="61"/>
        <v>1.5435705246133045E-12</v>
      </c>
      <c r="BH129" s="59">
        <f t="shared" si="62"/>
        <v>283.22703518042374</v>
      </c>
      <c r="BI129" s="59">
        <f ca="1">AVERAGE(OFFSET($BH$3,0,0,'Données projet'!$E$11+1,1))-AVERAGE(OFFSET($H$3,0,0,'Données projet'!$E$11+1,1))</f>
        <v>492.39485179035256</v>
      </c>
      <c r="BJ129" s="59">
        <f t="shared" si="92"/>
        <v>297.32483725004124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165.98886506531136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165.98886506531136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-5.4092197387944907E-14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260.51631161522039</v>
      </c>
      <c r="CE129" s="59">
        <f t="shared" si="94"/>
        <v>171.3469666102674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34.992047110189858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34.992047110189858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3.3992364478763198E-14</v>
      </c>
      <c r="CV129" s="13">
        <f t="shared" si="95"/>
        <v>5.790027782444094E-13</v>
      </c>
      <c r="CW129" s="20">
        <f t="shared" si="67"/>
        <v>1.0676332069095257E-12</v>
      </c>
      <c r="CX129" s="59">
        <f t="shared" si="68"/>
        <v>283.22703518042329</v>
      </c>
      <c r="CY129" s="59">
        <f ca="1">AVERAGE(OFFSET($CX$3,0,0,'Données projet'!$E$13+1,1))-AVERAGE(OFFSET($H$3,0,0,'Données projet'!$E$13+1,1))</f>
        <v>301.2688576786212</v>
      </c>
      <c r="CZ129" s="59">
        <f t="shared" si="96"/>
        <v>417.62172165132927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32.829438735518352</v>
      </c>
      <c r="DG129" s="21">
        <f>EXP(-LN(2)/25)*DG128+(1-EXP(-LN(2)/25))/(LN(2)/25)*Calculateur!DB129*Calculateur!DD129*VLOOKUP('Données projet'!$B$13,Paramètres!$A$1:$I$89,3,0)*0.475*44/12</f>
        <v>6.4605545980916741</v>
      </c>
      <c r="DH129" s="21">
        <f>EXP(-LN(2)/2)*DH128+(1-EXP(-LN(2)/2))/(LN(2)/2)*DB129*DE129*VLOOKUP('Données projet'!$B$13,Paramètres!$A$1:$I$89,3,0)*0.475*44/12</f>
        <v>1.5208843400829319E-10</v>
      </c>
      <c r="DI129" s="22">
        <f t="shared" si="69"/>
        <v>39.289993333762119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167.82976403567059</v>
      </c>
      <c r="T130" s="59">
        <f t="shared" si="88"/>
        <v>232.70925470547317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19.407023223107998</v>
      </c>
      <c r="AA130" s="21">
        <f>EXP(-LN(2)/25)*AA129+(1-EXP(-LN(2)/25))/(LN(2)/25)*Calculateur!V130*Calculateur!X130*VLOOKUP('Données projet'!$B$9,Paramètres!$A$1:$I$89,3,0)*0.475*44/12</f>
        <v>5.5085562854281704</v>
      </c>
      <c r="AB130" s="21">
        <f>EXP(-LN(2)/2)*AB129+(1-EXP(-LN(2)/2))/(LN(2)/2)*V130*Y130*VLOOKUP('Données projet'!$B$9,Paramètres!$A$1:$I$89,3,0)*0.475*44/12</f>
        <v>2.3738436320099248E-9</v>
      </c>
      <c r="AC130" s="22">
        <f t="shared" si="57"/>
        <v>24.915579510910014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5.7639226724859328E-14</v>
      </c>
      <c r="AK130" s="13">
        <f t="shared" si="89"/>
        <v>9.2325701996134334E-13</v>
      </c>
      <c r="AL130" s="20">
        <f t="shared" si="58"/>
        <v>1.708394296311803E-12</v>
      </c>
      <c r="AM130" s="59">
        <f t="shared" si="59"/>
        <v>283.40235685907913</v>
      </c>
      <c r="AN130" s="59">
        <f ca="1">AVERAGE(OFFSET($AM$3,0,0,'Données projet'!$E$10+1,1))-AVERAGE(OFFSET($H$3,0,0,'Données projet'!$E$10+1,1))</f>
        <v>542.51810435067659</v>
      </c>
      <c r="AO130" s="59">
        <f t="shared" si="90"/>
        <v>325.7263575945085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182.37422591721452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182.37422591721452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5.1431925385259088E-14</v>
      </c>
      <c r="BF130" s="13">
        <f t="shared" si="91"/>
        <v>8.3482866290946129E-13</v>
      </c>
      <c r="BG130" s="20">
        <f t="shared" si="61"/>
        <v>1.5435705246133045E-12</v>
      </c>
      <c r="BH130" s="59">
        <f t="shared" si="62"/>
        <v>283.40235685907896</v>
      </c>
      <c r="BI130" s="59">
        <f ca="1">AVERAGE(OFFSET($BH$3,0,0,'Données projet'!$E$11+1,1))-AVERAGE(OFFSET($H$3,0,0,'Données projet'!$E$11+1,1))</f>
        <v>492.39485179035256</v>
      </c>
      <c r="BJ130" s="59">
        <f t="shared" si="92"/>
        <v>297.32483725004124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162.73392466459134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162.73392466459134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-5.4092197387944907E-14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260.51631161522039</v>
      </c>
      <c r="CE130" s="59">
        <f t="shared" si="94"/>
        <v>171.3469666102674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34.305874409400325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34.305874409400325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3.3992364478763198E-14</v>
      </c>
      <c r="CV130" s="13">
        <f t="shared" si="95"/>
        <v>5.790027782444094E-13</v>
      </c>
      <c r="CW130" s="20">
        <f t="shared" si="67"/>
        <v>1.0676332069095257E-12</v>
      </c>
      <c r="CX130" s="59">
        <f t="shared" si="68"/>
        <v>283.40235685907851</v>
      </c>
      <c r="CY130" s="59">
        <f ca="1">AVERAGE(OFFSET($CX$3,0,0,'Données projet'!$E$13+1,1))-AVERAGE(OFFSET($H$3,0,0,'Données projet'!$E$13+1,1))</f>
        <v>301.2688576786212</v>
      </c>
      <c r="CZ130" s="59">
        <f t="shared" si="96"/>
        <v>417.62172165132927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32.185673465895263</v>
      </c>
      <c r="DG130" s="21">
        <f>EXP(-LN(2)/25)*DG129+(1-EXP(-LN(2)/25))/(LN(2)/25)*Calculateur!DB130*Calculateur!DD130*VLOOKUP('Données projet'!$B$13,Paramètres!$A$1:$I$89,3,0)*0.475*44/12</f>
        <v>6.283890392861057</v>
      </c>
      <c r="DH130" s="21">
        <f>EXP(-LN(2)/2)*DH129+(1-EXP(-LN(2)/2))/(LN(2)/2)*DB130*DE130*VLOOKUP('Données projet'!$B$13,Paramètres!$A$1:$I$89,3,0)*0.475*44/12</f>
        <v>1.0754276302730684E-10</v>
      </c>
      <c r="DI130" s="22">
        <f t="shared" si="69"/>
        <v>38.469563858863857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167.82976403567059</v>
      </c>
      <c r="T131" s="59">
        <f t="shared" si="88"/>
        <v>232.70925470547317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19.0264633348182</v>
      </c>
      <c r="AA131" s="21">
        <f>EXP(-LN(2)/25)*AA130+(1-EXP(-LN(2)/25))/(LN(2)/25)*Calculateur!V131*Calculateur!X131*VLOOKUP('Données projet'!$B$9,Paramètres!$A$1:$I$89,3,0)*0.475*44/12</f>
        <v>5.3579245241207518</v>
      </c>
      <c r="AB131" s="21">
        <f>EXP(-LN(2)/2)*AB130+(1-EXP(-LN(2)/2))/(LN(2)/2)*V131*Y131*VLOOKUP('Données projet'!$B$9,Paramètres!$A$1:$I$89,3,0)*0.475*44/12</f>
        <v>1.6785609296707212E-9</v>
      </c>
      <c r="AC131" s="22">
        <f t="shared" si="57"/>
        <v>24.384387860617512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5.7639226724859328E-14</v>
      </c>
      <c r="AK131" s="13">
        <f t="shared" si="89"/>
        <v>9.2325701996134334E-13</v>
      </c>
      <c r="AL131" s="20">
        <f t="shared" si="58"/>
        <v>1.708394296311803E-12</v>
      </c>
      <c r="AM131" s="59">
        <f t="shared" si="59"/>
        <v>283.57463709857024</v>
      </c>
      <c r="AN131" s="59">
        <f ca="1">AVERAGE(OFFSET($AM$3,0,0,'Données projet'!$E$10+1,1))-AVERAGE(OFFSET($H$3,0,0,'Données projet'!$E$10+1,1))</f>
        <v>542.51810435067659</v>
      </c>
      <c r="AO131" s="59">
        <f t="shared" si="90"/>
        <v>325.7263575945085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178.79797858427199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178.79797858427199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5.1431925385259088E-14</v>
      </c>
      <c r="BF131" s="13">
        <f t="shared" si="91"/>
        <v>8.3482866290946129E-13</v>
      </c>
      <c r="BG131" s="20">
        <f t="shared" si="61"/>
        <v>1.5435705246133045E-12</v>
      </c>
      <c r="BH131" s="59">
        <f t="shared" si="62"/>
        <v>283.57463709857007</v>
      </c>
      <c r="BI131" s="59">
        <f ca="1">AVERAGE(OFFSET($BH$3,0,0,'Données projet'!$E$11+1,1))-AVERAGE(OFFSET($H$3,0,0,'Données projet'!$E$11+1,1))</f>
        <v>492.39485179035256</v>
      </c>
      <c r="BJ131" s="59">
        <f t="shared" si="92"/>
        <v>297.32483725004124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159.54281165981186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159.54281165981186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-5.4092197387944907E-14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260.51631161522039</v>
      </c>
      <c r="CE131" s="59">
        <f t="shared" si="94"/>
        <v>171.3469666102674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33.633157136749247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33.633157136749247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3.3992364478763198E-14</v>
      </c>
      <c r="CV131" s="13">
        <f t="shared" si="95"/>
        <v>5.790027782444094E-13</v>
      </c>
      <c r="CW131" s="20">
        <f t="shared" si="67"/>
        <v>1.0676332069095257E-12</v>
      </c>
      <c r="CX131" s="59">
        <f t="shared" si="68"/>
        <v>283.57463709856961</v>
      </c>
      <c r="CY131" s="59">
        <f ca="1">AVERAGE(OFFSET($CX$3,0,0,'Données projet'!$E$13+1,1))-AVERAGE(OFFSET($H$3,0,0,'Données projet'!$E$13+1,1))</f>
        <v>301.2688576786212</v>
      </c>
      <c r="CZ131" s="59">
        <f t="shared" si="96"/>
        <v>417.62172165132927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31.55453204055144</v>
      </c>
      <c r="DG131" s="21">
        <f>EXP(-LN(2)/25)*DG130+(1-EXP(-LN(2)/25))/(LN(2)/25)*Calculateur!DB131*Calculateur!DD131*VLOOKUP('Données projet'!$B$13,Paramètres!$A$1:$I$89,3,0)*0.475*44/12</f>
        <v>6.1120570796128373</v>
      </c>
      <c r="DH131" s="21">
        <f>EXP(-LN(2)/2)*DH130+(1-EXP(-LN(2)/2))/(LN(2)/2)*DB131*DE131*VLOOKUP('Données projet'!$B$13,Paramètres!$A$1:$I$89,3,0)*0.475*44/12</f>
        <v>7.6044217004146593E-11</v>
      </c>
      <c r="DI131" s="22">
        <f t="shared" si="69"/>
        <v>37.666589120240317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167.82976403567059</v>
      </c>
      <c r="T132" s="59">
        <f t="shared" si="88"/>
        <v>232.70925470547317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18.653365993819151</v>
      </c>
      <c r="AA132" s="21">
        <f>EXP(-LN(2)/25)*AA131+(1-EXP(-LN(2)/25))/(LN(2)/25)*Calculateur!V132*Calculateur!X132*VLOOKUP('Données projet'!$B$9,Paramètres!$A$1:$I$89,3,0)*0.475*44/12</f>
        <v>5.2114117962476652</v>
      </c>
      <c r="AB132" s="21">
        <f>EXP(-LN(2)/2)*AB131+(1-EXP(-LN(2)/2))/(LN(2)/2)*V132*Y132*VLOOKUP('Données projet'!$B$9,Paramètres!$A$1:$I$89,3,0)*0.475*44/12</f>
        <v>1.1869218160049624E-9</v>
      </c>
      <c r="AC132" s="22">
        <f t="shared" ref="AC132:AC153" si="111">SUM(Z132:AB132)</f>
        <v>23.86477779125374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5.7639226724859328E-14</v>
      </c>
      <c r="AK132" s="13">
        <f t="shared" si="89"/>
        <v>9.2325701996134334E-13</v>
      </c>
      <c r="AL132" s="20">
        <f t="shared" ref="AL132:AL153" si="112">(AJ132+AK132)*0.475*44/12</f>
        <v>1.708394296311803E-12</v>
      </c>
      <c r="AM132" s="59">
        <f t="shared" ref="AM132:AM195" si="113">AL132+(AD132+AE132)*44/12</f>
        <v>283.74392866106706</v>
      </c>
      <c r="AN132" s="59">
        <f ca="1">AVERAGE(OFFSET($AM$3,0,0,'Données projet'!$E$10+1,1))-AVERAGE(OFFSET($H$3,0,0,'Données projet'!$E$10+1,1))</f>
        <v>542.51810435067659</v>
      </c>
      <c r="AO132" s="59">
        <f t="shared" si="90"/>
        <v>325.7263575945085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175.29185928023296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175.29185928023296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5.1431925385259088E-14</v>
      </c>
      <c r="BF132" s="13">
        <f t="shared" si="91"/>
        <v>8.3482866290946129E-13</v>
      </c>
      <c r="BG132" s="20">
        <f t="shared" ref="BG132:BG153" si="115">(BE132+BF132)*0.475*44/12</f>
        <v>1.5435705246133045E-12</v>
      </c>
      <c r="BH132" s="59">
        <f t="shared" ref="BH132:BH195" si="116">BG132+(AY132+AZ132)*44/12</f>
        <v>283.74392866106689</v>
      </c>
      <c r="BI132" s="59">
        <f ca="1">AVERAGE(OFFSET($BH$3,0,0,'Données projet'!$E$11+1,1))-AVERAGE(OFFSET($H$3,0,0,'Données projet'!$E$11+1,1))</f>
        <v>492.39485179035256</v>
      </c>
      <c r="BJ132" s="59">
        <f t="shared" si="92"/>
        <v>297.32483725004124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156.41427443466935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156.41427443466935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-5.4092197387944907E-14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260.51631161522039</v>
      </c>
      <c r="CE132" s="59">
        <f t="shared" si="94"/>
        <v>171.3469666102674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32.973631439497836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32.973631439497836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3.3992364478763198E-14</v>
      </c>
      <c r="CV132" s="13">
        <f t="shared" si="95"/>
        <v>5.790027782444094E-13</v>
      </c>
      <c r="CW132" s="20">
        <f t="shared" ref="CW132:CW153" si="121">(CU132+CV132)*0.475*44/12</f>
        <v>1.0676332069095257E-12</v>
      </c>
      <c r="CX132" s="59">
        <f t="shared" ref="CX132:CX195" si="122">CW132+(CO132+CP132)*44/12</f>
        <v>283.74392866106643</v>
      </c>
      <c r="CY132" s="59">
        <f ca="1">AVERAGE(OFFSET($CX$3,0,0,'Données projet'!$E$13+1,1))-AVERAGE(OFFSET($H$3,0,0,'Données projet'!$E$13+1,1))</f>
        <v>301.2688576786212</v>
      </c>
      <c r="CZ132" s="59">
        <f t="shared" si="96"/>
        <v>417.62172165132927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30.93576691360035</v>
      </c>
      <c r="DG132" s="21">
        <f>EXP(-LN(2)/25)*DG131+(1-EXP(-LN(2)/25))/(LN(2)/25)*Calculateur!DB132*Calculateur!DD132*VLOOKUP('Données projet'!$B$13,Paramètres!$A$1:$I$89,3,0)*0.475*44/12</f>
        <v>5.9449225573517115</v>
      </c>
      <c r="DH132" s="21">
        <f>EXP(-LN(2)/2)*DH131+(1-EXP(-LN(2)/2))/(LN(2)/2)*DB132*DE132*VLOOKUP('Données projet'!$B$13,Paramètres!$A$1:$I$89,3,0)*0.475*44/12</f>
        <v>5.3771381513653422E-11</v>
      </c>
      <c r="DI132" s="22">
        <f t="shared" ref="DI132:DI153" si="123">SUM(DF132:DH132)</f>
        <v>36.880689471005837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167.82976403567059</v>
      </c>
      <c r="T133" s="59">
        <f t="shared" ref="T133:T196" si="142">$T$3</f>
        <v>232.70925470547317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18.287584864110187</v>
      </c>
      <c r="AA133" s="21">
        <f>EXP(-LN(2)/25)*AA132+(1-EXP(-LN(2)/25))/(LN(2)/25)*Calculateur!V133*Calculateur!X133*VLOOKUP('Données projet'!$B$9,Paramètres!$A$1:$I$89,3,0)*0.475*44/12</f>
        <v>5.0689054666230371</v>
      </c>
      <c r="AB133" s="21">
        <f>EXP(-LN(2)/2)*AB132+(1-EXP(-LN(2)/2))/(LN(2)/2)*V133*Y133*VLOOKUP('Données projet'!$B$9,Paramètres!$A$1:$I$89,3,0)*0.475*44/12</f>
        <v>8.3928046483536058E-10</v>
      </c>
      <c r="AC133" s="22">
        <f t="shared" si="111"/>
        <v>23.356490331572502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5.7639226724859328E-14</v>
      </c>
      <c r="AK133" s="13">
        <f t="shared" ref="AK133:AK153" si="143">EXP(-1.0587+0.8836*LN(AJ133)+0.284)</f>
        <v>9.2325701996134334E-13</v>
      </c>
      <c r="AL133" s="20">
        <f t="shared" si="112"/>
        <v>1.708394296311803E-12</v>
      </c>
      <c r="AM133" s="59">
        <f t="shared" si="113"/>
        <v>283.91028339343382</v>
      </c>
      <c r="AN133" s="59">
        <f ca="1">AVERAGE(OFFSET($AM$3,0,0,'Données projet'!$E$10+1,1))-AVERAGE(OFFSET($H$3,0,0,'Données projet'!$E$10+1,1))</f>
        <v>542.51810435067659</v>
      </c>
      <c r="AO133" s="59">
        <f t="shared" ref="AO133:AO196" si="144">$AO$3</f>
        <v>325.7263575945085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171.85449283722451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171.85449283722451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5.1431925385259088E-14</v>
      </c>
      <c r="BF133" s="13">
        <f t="shared" ref="BF133:BF153" si="145">EXP(-1.0587+0.8836*LN(BE133)+0.284)</f>
        <v>8.3482866290946129E-13</v>
      </c>
      <c r="BG133" s="20">
        <f t="shared" si="115"/>
        <v>1.5435705246133045E-12</v>
      </c>
      <c r="BH133" s="59">
        <f t="shared" si="116"/>
        <v>283.91028339343364</v>
      </c>
      <c r="BI133" s="59">
        <f ca="1">AVERAGE(OFFSET($BH$3,0,0,'Données projet'!$E$11+1,1))-AVERAGE(OFFSET($H$3,0,0,'Données projet'!$E$11+1,1))</f>
        <v>492.39485179035256</v>
      </c>
      <c r="BJ133" s="59">
        <f t="shared" ref="BJ133:BJ196" si="146">$BJ$3</f>
        <v>297.32483725004124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153.3470859162926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153.3470859162926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-5.4092197387944907E-14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260.51631161522039</v>
      </c>
      <c r="CE133" s="59">
        <f t="shared" ref="CE133:CE196" si="148">$CE$3</f>
        <v>171.3469666102674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32.327038638898571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32.327038638898571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3.3992364478763198E-14</v>
      </c>
      <c r="CV133" s="13">
        <f t="shared" ref="CV133:CV153" si="149">EXP(-1.0587+0.8836*LN(CU133)+0.284)</f>
        <v>5.790027782444094E-13</v>
      </c>
      <c r="CW133" s="20">
        <f t="shared" si="121"/>
        <v>1.0676332069095257E-12</v>
      </c>
      <c r="CX133" s="59">
        <f t="shared" si="122"/>
        <v>283.91028339343319</v>
      </c>
      <c r="CY133" s="59">
        <f ca="1">AVERAGE(OFFSET($CX$3,0,0,'Données projet'!$E$13+1,1))-AVERAGE(OFFSET($H$3,0,0,'Données projet'!$E$13+1,1))</f>
        <v>301.2688576786212</v>
      </c>
      <c r="CZ133" s="59">
        <f t="shared" ref="CZ133:CZ196" si="150">$CZ$3</f>
        <v>417.62172165132927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30.32913539337931</v>
      </c>
      <c r="DG133" s="21">
        <f>EXP(-LN(2)/25)*DG132+(1-EXP(-LN(2)/25))/(LN(2)/25)*Calculateur!DB133*Calculateur!DD133*VLOOKUP('Données projet'!$B$13,Paramètres!$A$1:$I$89,3,0)*0.475*44/12</f>
        <v>5.782358337391039</v>
      </c>
      <c r="DH133" s="21">
        <f>EXP(-LN(2)/2)*DH132+(1-EXP(-LN(2)/2))/(LN(2)/2)*DB133*DE133*VLOOKUP('Données projet'!$B$13,Paramètres!$A$1:$I$89,3,0)*0.475*44/12</f>
        <v>3.8022108502073296E-11</v>
      </c>
      <c r="DI133" s="22">
        <f t="shared" si="123"/>
        <v>36.11149373080837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167.82976403567059</v>
      </c>
      <c r="T134" s="59">
        <f t="shared" si="142"/>
        <v>232.70925470547317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17.928976479250355</v>
      </c>
      <c r="AA134" s="21">
        <f>EXP(-LN(2)/25)*AA133+(1-EXP(-LN(2)/25))/(LN(2)/25)*Calculateur!V134*Calculateur!X134*VLOOKUP('Données projet'!$B$9,Paramètres!$A$1:$I$89,3,0)*0.475*44/12</f>
        <v>4.9302959800760764</v>
      </c>
      <c r="AB134" s="21">
        <f>EXP(-LN(2)/2)*AB133+(1-EXP(-LN(2)/2))/(LN(2)/2)*V134*Y134*VLOOKUP('Données projet'!$B$9,Paramètres!$A$1:$I$89,3,0)*0.475*44/12</f>
        <v>5.934609080024812E-10</v>
      </c>
      <c r="AC134" s="22">
        <f t="shared" si="111"/>
        <v>22.859272459919893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5.7639226724859328E-14</v>
      </c>
      <c r="AK134" s="13">
        <f t="shared" si="143"/>
        <v>9.2325701996134334E-13</v>
      </c>
      <c r="AL134" s="20">
        <f t="shared" si="112"/>
        <v>1.708394296311803E-12</v>
      </c>
      <c r="AM134" s="59">
        <f t="shared" si="113"/>
        <v>284.07375224310744</v>
      </c>
      <c r="AN134" s="59">
        <f ca="1">AVERAGE(OFFSET($AM$3,0,0,'Données projet'!$E$10+1,1))-AVERAGE(OFFSET($H$3,0,0,'Données projet'!$E$10+1,1))</f>
        <v>542.51810435067659</v>
      </c>
      <c r="AO134" s="59">
        <f t="shared" si="144"/>
        <v>325.7263575945085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168.48453105357697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168.48453105357697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5.1431925385259088E-14</v>
      </c>
      <c r="BF134" s="13">
        <f t="shared" si="145"/>
        <v>8.3482866290946129E-13</v>
      </c>
      <c r="BG134" s="20">
        <f t="shared" si="115"/>
        <v>1.5435705246133045E-12</v>
      </c>
      <c r="BH134" s="59">
        <f t="shared" si="116"/>
        <v>284.07375224310726</v>
      </c>
      <c r="BI134" s="59">
        <f ca="1">AVERAGE(OFFSET($BH$3,0,0,'Données projet'!$E$11+1,1))-AVERAGE(OFFSET($H$3,0,0,'Données projet'!$E$11+1,1))</f>
        <v>492.39485179035256</v>
      </c>
      <c r="BJ134" s="59">
        <f t="shared" si="146"/>
        <v>297.32483725004124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150.34004309396096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150.34004309396096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-5.4092197387944907E-14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260.51631161522039</v>
      </c>
      <c r="CE134" s="59">
        <f t="shared" si="148"/>
        <v>171.3469666102674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31.693125128736394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31.693125128736394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3.3992364478763198E-14</v>
      </c>
      <c r="CV134" s="13">
        <f t="shared" si="149"/>
        <v>5.790027782444094E-13</v>
      </c>
      <c r="CW134" s="20">
        <f t="shared" si="121"/>
        <v>1.0676332069095257E-12</v>
      </c>
      <c r="CX134" s="59">
        <f t="shared" si="122"/>
        <v>284.07375224310681</v>
      </c>
      <c r="CY134" s="59">
        <f ca="1">AVERAGE(OFFSET($CX$3,0,0,'Données projet'!$E$13+1,1))-AVERAGE(OFFSET($H$3,0,0,'Données projet'!$E$13+1,1))</f>
        <v>301.2688576786212</v>
      </c>
      <c r="CZ134" s="59">
        <f t="shared" si="150"/>
        <v>417.62172165132927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29.734399547261113</v>
      </c>
      <c r="DG134" s="21">
        <f>EXP(-LN(2)/25)*DG133+(1-EXP(-LN(2)/25))/(LN(2)/25)*Calculateur!DB134*Calculateur!DD134*VLOOKUP('Données projet'!$B$13,Paramètres!$A$1:$I$89,3,0)*0.475*44/12</f>
        <v>5.624239444574072</v>
      </c>
      <c r="DH134" s="21">
        <f>EXP(-LN(2)/2)*DH133+(1-EXP(-LN(2)/2))/(LN(2)/2)*DB134*DE134*VLOOKUP('Données projet'!$B$13,Paramètres!$A$1:$I$89,3,0)*0.475*44/12</f>
        <v>2.6885690756826711E-11</v>
      </c>
      <c r="DI134" s="22">
        <f t="shared" si="123"/>
        <v>35.358638991862072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167.82976403567059</v>
      </c>
      <c r="T135" s="59">
        <f t="shared" si="142"/>
        <v>232.70925470547317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17.577400186088109</v>
      </c>
      <c r="AA135" s="21">
        <f>EXP(-LN(2)/25)*AA134+(1-EXP(-LN(2)/25))/(LN(2)/25)*Calculateur!V135*Calculateur!X135*VLOOKUP('Données projet'!$B$9,Paramètres!$A$1:$I$89,3,0)*0.475*44/12</f>
        <v>4.7954767772278988</v>
      </c>
      <c r="AB135" s="21">
        <f>EXP(-LN(2)/2)*AB134+(1-EXP(-LN(2)/2))/(LN(2)/2)*V135*Y135*VLOOKUP('Données projet'!$B$9,Paramètres!$A$1:$I$89,3,0)*0.475*44/12</f>
        <v>4.1964023241768029E-10</v>
      </c>
      <c r="AC135" s="22">
        <f t="shared" si="111"/>
        <v>22.372876963735649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5.7639226724859328E-14</v>
      </c>
      <c r="AK135" s="13">
        <f t="shared" si="143"/>
        <v>9.2325701996134334E-13</v>
      </c>
      <c r="AL135" s="20">
        <f t="shared" si="112"/>
        <v>1.708394296311803E-12</v>
      </c>
      <c r="AM135" s="59">
        <f t="shared" si="113"/>
        <v>284.23438527370087</v>
      </c>
      <c r="AN135" s="59">
        <f ca="1">AVERAGE(OFFSET($AM$3,0,0,'Données projet'!$E$10+1,1))-AVERAGE(OFFSET($H$3,0,0,'Données projet'!$E$10+1,1))</f>
        <v>542.51810435067659</v>
      </c>
      <c r="AO135" s="59">
        <f t="shared" si="144"/>
        <v>325.7263575945085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165.18065216503302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165.18065216503302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5.1431925385259088E-14</v>
      </c>
      <c r="BF135" s="13">
        <f t="shared" si="145"/>
        <v>8.3482866290946129E-13</v>
      </c>
      <c r="BG135" s="20">
        <f t="shared" si="115"/>
        <v>1.5435705246133045E-12</v>
      </c>
      <c r="BH135" s="59">
        <f t="shared" si="116"/>
        <v>284.2343852737007</v>
      </c>
      <c r="BI135" s="59">
        <f ca="1">AVERAGE(OFFSET($BH$3,0,0,'Données projet'!$E$11+1,1))-AVERAGE(OFFSET($H$3,0,0,'Données projet'!$E$11+1,1))</f>
        <v>492.39485179035256</v>
      </c>
      <c r="BJ135" s="59">
        <f t="shared" si="146"/>
        <v>297.32483725004124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147.39196654726021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147.39196654726021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-5.4092197387944907E-14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260.51631161522039</v>
      </c>
      <c r="CE135" s="59">
        <f t="shared" si="148"/>
        <v>171.3469666102674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31.071642275859436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31.071642275859436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3.3992364478763198E-14</v>
      </c>
      <c r="CV135" s="13">
        <f t="shared" si="149"/>
        <v>5.790027782444094E-13</v>
      </c>
      <c r="CW135" s="20">
        <f t="shared" si="121"/>
        <v>1.0676332069095257E-12</v>
      </c>
      <c r="CX135" s="59">
        <f t="shared" si="122"/>
        <v>284.23438527370024</v>
      </c>
      <c r="CY135" s="59">
        <f ca="1">AVERAGE(OFFSET($CX$3,0,0,'Données projet'!$E$13+1,1))-AVERAGE(OFFSET($H$3,0,0,'Données projet'!$E$13+1,1))</f>
        <v>301.2688576786212</v>
      </c>
      <c r="CZ135" s="59">
        <f t="shared" si="150"/>
        <v>417.62172165132927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29.151326108332245</v>
      </c>
      <c r="DG135" s="21">
        <f>EXP(-LN(2)/25)*DG134+(1-EXP(-LN(2)/25))/(LN(2)/25)*Calculateur!DB135*Calculateur!DD135*VLOOKUP('Données projet'!$B$13,Paramètres!$A$1:$I$89,3,0)*0.475*44/12</f>
        <v>5.4704443211962959</v>
      </c>
      <c r="DH135" s="21">
        <f>EXP(-LN(2)/2)*DH134+(1-EXP(-LN(2)/2))/(LN(2)/2)*DB135*DE135*VLOOKUP('Données projet'!$B$13,Paramètres!$A$1:$I$89,3,0)*0.475*44/12</f>
        <v>1.9011054251036648E-11</v>
      </c>
      <c r="DI135" s="22">
        <f t="shared" si="123"/>
        <v>34.621770429547553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167.82976403567059</v>
      </c>
      <c r="T136" s="59">
        <f t="shared" si="142"/>
        <v>232.70925470547317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17.23271808959441</v>
      </c>
      <c r="AA136" s="21">
        <f>EXP(-LN(2)/25)*AA135+(1-EXP(-LN(2)/25))/(LN(2)/25)*Calculateur!V136*Calculateur!X136*VLOOKUP('Données projet'!$B$9,Paramètres!$A$1:$I$89,3,0)*0.475*44/12</f>
        <v>4.6643442125714385</v>
      </c>
      <c r="AB136" s="21">
        <f>EXP(-LN(2)/2)*AB135+(1-EXP(-LN(2)/2))/(LN(2)/2)*V136*Y136*VLOOKUP('Données projet'!$B$9,Paramètres!$A$1:$I$89,3,0)*0.475*44/12</f>
        <v>2.967304540012406E-10</v>
      </c>
      <c r="AC136" s="22">
        <f t="shared" si="111"/>
        <v>21.897062302462579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5.7639226724859328E-14</v>
      </c>
      <c r="AK136" s="13">
        <f t="shared" si="143"/>
        <v>9.2325701996134334E-13</v>
      </c>
      <c r="AL136" s="20">
        <f t="shared" si="112"/>
        <v>1.708394296311803E-12</v>
      </c>
      <c r="AM136" s="59">
        <f t="shared" si="113"/>
        <v>284.3922316803351</v>
      </c>
      <c r="AN136" s="59">
        <f ca="1">AVERAGE(OFFSET($AM$3,0,0,'Données projet'!$E$10+1,1))-AVERAGE(OFFSET($H$3,0,0,'Données projet'!$E$10+1,1))</f>
        <v>542.51810435067659</v>
      </c>
      <c r="AO136" s="59">
        <f t="shared" si="144"/>
        <v>325.7263575945085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161.94156032632628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161.94156032632628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5.1431925385259088E-14</v>
      </c>
      <c r="BF136" s="13">
        <f t="shared" si="145"/>
        <v>8.3482866290946129E-13</v>
      </c>
      <c r="BG136" s="20">
        <f t="shared" si="115"/>
        <v>1.5435705246133045E-12</v>
      </c>
      <c r="BH136" s="59">
        <f t="shared" si="116"/>
        <v>284.39223168033493</v>
      </c>
      <c r="BI136" s="59">
        <f ca="1">AVERAGE(OFFSET($BH$3,0,0,'Données projet'!$E$11+1,1))-AVERAGE(OFFSET($H$3,0,0,'Données projet'!$E$11+1,1))</f>
        <v>492.39485179035256</v>
      </c>
      <c r="BJ136" s="59">
        <f t="shared" si="146"/>
        <v>297.32483725004124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144.50169998349114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144.50169998349114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-5.4092197387944907E-14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260.51631161522039</v>
      </c>
      <c r="CE136" s="59">
        <f t="shared" si="148"/>
        <v>171.3469666102674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30.462346322660281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30.462346322660281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3.3992364478763198E-14</v>
      </c>
      <c r="CV136" s="13">
        <f t="shared" si="149"/>
        <v>5.790027782444094E-13</v>
      </c>
      <c r="CW136" s="20">
        <f t="shared" si="121"/>
        <v>1.0676332069095257E-12</v>
      </c>
      <c r="CX136" s="59">
        <f t="shared" si="122"/>
        <v>284.39223168033448</v>
      </c>
      <c r="CY136" s="59">
        <f ca="1">AVERAGE(OFFSET($CX$3,0,0,'Données projet'!$E$13+1,1))-AVERAGE(OFFSET($H$3,0,0,'Données projet'!$E$13+1,1))</f>
        <v>301.2688576786212</v>
      </c>
      <c r="CZ136" s="59">
        <f t="shared" si="150"/>
        <v>417.62172165132927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28.579686383901091</v>
      </c>
      <c r="DG136" s="21">
        <f>EXP(-LN(2)/25)*DG135+(1-EXP(-LN(2)/25))/(LN(2)/25)*Calculateur!DB136*Calculateur!DD136*VLOOKUP('Données projet'!$B$13,Paramètres!$A$1:$I$89,3,0)*0.475*44/12</f>
        <v>5.3208547335550191</v>
      </c>
      <c r="DH136" s="21">
        <f>EXP(-LN(2)/2)*DH135+(1-EXP(-LN(2)/2))/(LN(2)/2)*DB136*DE136*VLOOKUP('Données projet'!$B$13,Paramètres!$A$1:$I$89,3,0)*0.475*44/12</f>
        <v>1.3442845378413356E-11</v>
      </c>
      <c r="DI136" s="22">
        <f t="shared" si="123"/>
        <v>33.900541117469551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167.82976403567059</v>
      </c>
      <c r="T137" s="59">
        <f t="shared" si="142"/>
        <v>232.70925470547317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16.89479499877763</v>
      </c>
      <c r="AA137" s="21">
        <f>EXP(-LN(2)/25)*AA136+(1-EXP(-LN(2)/25))/(LN(2)/25)*Calculateur!V137*Calculateur!X137*VLOOKUP('Données projet'!$B$9,Paramètres!$A$1:$I$89,3,0)*0.475*44/12</f>
        <v>4.536797474791471</v>
      </c>
      <c r="AB137" s="21">
        <f>EXP(-LN(2)/2)*AB136+(1-EXP(-LN(2)/2))/(LN(2)/2)*V137*Y137*VLOOKUP('Données projet'!$B$9,Paramètres!$A$1:$I$89,3,0)*0.475*44/12</f>
        <v>2.0982011620884015E-10</v>
      </c>
      <c r="AC137" s="22">
        <f t="shared" si="111"/>
        <v>21.43159247377892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5.7639226724859328E-14</v>
      </c>
      <c r="AK137" s="13">
        <f t="shared" si="143"/>
        <v>9.2325701996134334E-13</v>
      </c>
      <c r="AL137" s="20">
        <f t="shared" si="112"/>
        <v>1.708394296311803E-12</v>
      </c>
      <c r="AM137" s="59">
        <f t="shared" si="113"/>
        <v>284.54733980470598</v>
      </c>
      <c r="AN137" s="59">
        <f ca="1">AVERAGE(OFFSET($AM$3,0,0,'Données projet'!$E$10+1,1))-AVERAGE(OFFSET($H$3,0,0,'Données projet'!$E$10+1,1))</f>
        <v>542.51810435067659</v>
      </c>
      <c r="AO137" s="59">
        <f t="shared" si="144"/>
        <v>325.7263575945085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158.76598510292564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158.76598510292564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5.1431925385259088E-14</v>
      </c>
      <c r="BF137" s="13">
        <f t="shared" si="145"/>
        <v>8.3482866290946129E-13</v>
      </c>
      <c r="BG137" s="20">
        <f t="shared" si="115"/>
        <v>1.5435705246133045E-12</v>
      </c>
      <c r="BH137" s="59">
        <f t="shared" si="116"/>
        <v>284.54733980470581</v>
      </c>
      <c r="BI137" s="59">
        <f ca="1">AVERAGE(OFFSET($BH$3,0,0,'Données projet'!$E$11+1,1))-AVERAGE(OFFSET($H$3,0,0,'Données projet'!$E$11+1,1))</f>
        <v>492.39485179035256</v>
      </c>
      <c r="BJ137" s="59">
        <f t="shared" si="146"/>
        <v>297.32483725004124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141.66810978414904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141.66810978414904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-5.4092197387944907E-14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260.51631161522039</v>
      </c>
      <c r="CE137" s="59">
        <f t="shared" si="148"/>
        <v>171.3469666102674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29.864998291469526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29.864998291469526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3.3992364478763198E-14</v>
      </c>
      <c r="CV137" s="13">
        <f t="shared" si="149"/>
        <v>5.790027782444094E-13</v>
      </c>
      <c r="CW137" s="20">
        <f t="shared" si="121"/>
        <v>1.0676332069095257E-12</v>
      </c>
      <c r="CX137" s="59">
        <f t="shared" si="122"/>
        <v>284.54733980470536</v>
      </c>
      <c r="CY137" s="59">
        <f ca="1">AVERAGE(OFFSET($CX$3,0,0,'Données projet'!$E$13+1,1))-AVERAGE(OFFSET($H$3,0,0,'Données projet'!$E$13+1,1))</f>
        <v>301.2688576786212</v>
      </c>
      <c r="CZ137" s="59">
        <f t="shared" si="150"/>
        <v>417.62172165132927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28.019256165800229</v>
      </c>
      <c r="DG137" s="21">
        <f>EXP(-LN(2)/25)*DG136+(1-EXP(-LN(2)/25))/(LN(2)/25)*Calculateur!DB137*Calculateur!DD137*VLOOKUP('Données projet'!$B$13,Paramètres!$A$1:$I$89,3,0)*0.475*44/12</f>
        <v>5.1753556810543673</v>
      </c>
      <c r="DH137" s="21">
        <f>EXP(-LN(2)/2)*DH136+(1-EXP(-LN(2)/2))/(LN(2)/2)*DB137*DE137*VLOOKUP('Données projet'!$B$13,Paramètres!$A$1:$I$89,3,0)*0.475*44/12</f>
        <v>9.5055271255183241E-12</v>
      </c>
      <c r="DI137" s="22">
        <f t="shared" si="123"/>
        <v>33.194611846864106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167.82976403567059</v>
      </c>
      <c r="T138" s="59">
        <f t="shared" si="142"/>
        <v>232.70925470547317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16.563498373659034</v>
      </c>
      <c r="AA138" s="21">
        <f>EXP(-LN(2)/25)*AA137+(1-EXP(-LN(2)/25))/(LN(2)/25)*Calculateur!V138*Calculateur!X138*VLOOKUP('Données projet'!$B$9,Paramètres!$A$1:$I$89,3,0)*0.475*44/12</f>
        <v>4.4127385092634883</v>
      </c>
      <c r="AB138" s="21">
        <f>EXP(-LN(2)/2)*AB137+(1-EXP(-LN(2)/2))/(LN(2)/2)*V138*Y138*VLOOKUP('Données projet'!$B$9,Paramètres!$A$1:$I$89,3,0)*0.475*44/12</f>
        <v>1.483652270006203E-10</v>
      </c>
      <c r="AC138" s="22">
        <f t="shared" si="111"/>
        <v>20.976236883070886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5.7639226724859328E-14</v>
      </c>
      <c r="AK138" s="13">
        <f t="shared" si="143"/>
        <v>9.2325701996134334E-13</v>
      </c>
      <c r="AL138" s="20">
        <f t="shared" si="112"/>
        <v>1.708394296311803E-12</v>
      </c>
      <c r="AM138" s="59">
        <f t="shared" si="113"/>
        <v>284.69975714988885</v>
      </c>
      <c r="AN138" s="59">
        <f ca="1">AVERAGE(OFFSET($AM$3,0,0,'Données projet'!$E$10+1,1))-AVERAGE(OFFSET($H$3,0,0,'Données projet'!$E$10+1,1))</f>
        <v>542.51810435067659</v>
      </c>
      <c r="AO138" s="59">
        <f t="shared" si="144"/>
        <v>325.7263575945085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155.65268097274625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155.65268097274625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5.1431925385259088E-14</v>
      </c>
      <c r="BF138" s="13">
        <f t="shared" si="145"/>
        <v>8.3482866290946129E-13</v>
      </c>
      <c r="BG138" s="20">
        <f t="shared" si="115"/>
        <v>1.5435705246133045E-12</v>
      </c>
      <c r="BH138" s="59">
        <f t="shared" si="116"/>
        <v>284.69975714988868</v>
      </c>
      <c r="BI138" s="59">
        <f ca="1">AVERAGE(OFFSET($BH$3,0,0,'Données projet'!$E$11+1,1))-AVERAGE(OFFSET($H$3,0,0,'Données projet'!$E$11+1,1))</f>
        <v>492.39485179035256</v>
      </c>
      <c r="BJ138" s="59">
        <f t="shared" si="146"/>
        <v>297.32483725004124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138.89008456029666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138.89008456029666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-5.4092197387944907E-14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260.51631161522039</v>
      </c>
      <c r="CE138" s="59">
        <f t="shared" si="148"/>
        <v>171.3469666102674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29.279363890824101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29.279363890824101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3.3992364478763198E-14</v>
      </c>
      <c r="CV138" s="13">
        <f t="shared" si="149"/>
        <v>5.790027782444094E-13</v>
      </c>
      <c r="CW138" s="20">
        <f t="shared" si="121"/>
        <v>1.0676332069095257E-12</v>
      </c>
      <c r="CX138" s="59">
        <f t="shared" si="122"/>
        <v>284.69975714988823</v>
      </c>
      <c r="CY138" s="59">
        <f ca="1">AVERAGE(OFFSET($CX$3,0,0,'Données projet'!$E$13+1,1))-AVERAGE(OFFSET($H$3,0,0,'Données projet'!$E$13+1,1))</f>
        <v>301.2688576786212</v>
      </c>
      <c r="CZ138" s="59">
        <f t="shared" si="150"/>
        <v>417.62172165132927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27.469815642447646</v>
      </c>
      <c r="DG138" s="21">
        <f>EXP(-LN(2)/25)*DG137+(1-EXP(-LN(2)/25))/(LN(2)/25)*Calculateur!DB138*Calculateur!DD138*VLOOKUP('Données projet'!$B$13,Paramètres!$A$1:$I$89,3,0)*0.475*44/12</f>
        <v>5.0338353077958091</v>
      </c>
      <c r="DH138" s="21">
        <f>EXP(-LN(2)/2)*DH137+(1-EXP(-LN(2)/2))/(LN(2)/2)*DB138*DE138*VLOOKUP('Données projet'!$B$13,Paramètres!$A$1:$I$89,3,0)*0.475*44/12</f>
        <v>6.7214226892066778E-12</v>
      </c>
      <c r="DI138" s="22">
        <f t="shared" si="123"/>
        <v>32.503650950250176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167.82976403567059</v>
      </c>
      <c r="T139" s="59">
        <f t="shared" si="142"/>
        <v>232.70925470547317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16.238698273288026</v>
      </c>
      <c r="AA139" s="21">
        <f>EXP(-LN(2)/25)*AA138+(1-EXP(-LN(2)/25))/(LN(2)/25)*Calculateur!V139*Calculateur!X139*VLOOKUP('Données projet'!$B$9,Paramètres!$A$1:$I$89,3,0)*0.475*44/12</f>
        <v>4.2920719426718454</v>
      </c>
      <c r="AB139" s="21">
        <f>EXP(-LN(2)/2)*AB138+(1-EXP(-LN(2)/2))/(LN(2)/2)*V139*Y139*VLOOKUP('Données projet'!$B$9,Paramètres!$A$1:$I$89,3,0)*0.475*44/12</f>
        <v>1.0491005810442007E-10</v>
      </c>
      <c r="AC139" s="22">
        <f t="shared" si="111"/>
        <v>20.530770216064784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5.7639226724859328E-14</v>
      </c>
      <c r="AK139" s="13">
        <f t="shared" si="143"/>
        <v>9.2325701996134334E-13</v>
      </c>
      <c r="AL139" s="20">
        <f t="shared" si="112"/>
        <v>1.708394296311803E-12</v>
      </c>
      <c r="AM139" s="59">
        <f t="shared" si="113"/>
        <v>284.84953039488693</v>
      </c>
      <c r="AN139" s="59">
        <f ca="1">AVERAGE(OFFSET($AM$3,0,0,'Données projet'!$E$10+1,1))-AVERAGE(OFFSET($H$3,0,0,'Données projet'!$E$10+1,1))</f>
        <v>542.51810435067659</v>
      </c>
      <c r="AO139" s="59">
        <f t="shared" si="144"/>
        <v>325.7263575945085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152.60042683763166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152.60042683763166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5.1431925385259088E-14</v>
      </c>
      <c r="BF139" s="13">
        <f t="shared" si="145"/>
        <v>8.3482866290946129E-13</v>
      </c>
      <c r="BG139" s="20">
        <f t="shared" si="115"/>
        <v>1.5435705246133045E-12</v>
      </c>
      <c r="BH139" s="59">
        <f t="shared" si="116"/>
        <v>284.84953039488676</v>
      </c>
      <c r="BI139" s="59">
        <f ca="1">AVERAGE(OFFSET($BH$3,0,0,'Données projet'!$E$11+1,1))-AVERAGE(OFFSET($H$3,0,0,'Données projet'!$E$11+1,1))</f>
        <v>492.39485179035256</v>
      </c>
      <c r="BJ139" s="59">
        <f t="shared" si="146"/>
        <v>297.32483725004124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136.16653471665595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136.16653471665595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-5.4092197387944907E-14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260.51631161522039</v>
      </c>
      <c r="CE139" s="59">
        <f t="shared" si="148"/>
        <v>171.3469666102674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28.705213423573618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28.705213423573618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3.3992364478763198E-14</v>
      </c>
      <c r="CV139" s="13">
        <f t="shared" si="149"/>
        <v>5.790027782444094E-13</v>
      </c>
      <c r="CW139" s="20">
        <f t="shared" si="121"/>
        <v>1.0676332069095257E-12</v>
      </c>
      <c r="CX139" s="59">
        <f t="shared" si="122"/>
        <v>284.8495303948863</v>
      </c>
      <c r="CY139" s="59">
        <f ca="1">AVERAGE(OFFSET($CX$3,0,0,'Données projet'!$E$13+1,1))-AVERAGE(OFFSET($H$3,0,0,'Données projet'!$E$13+1,1))</f>
        <v>301.2688576786212</v>
      </c>
      <c r="CZ139" s="59">
        <f t="shared" si="150"/>
        <v>417.62172165132927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26.931149312632378</v>
      </c>
      <c r="DG139" s="21">
        <f>EXP(-LN(2)/25)*DG138+(1-EXP(-LN(2)/25))/(LN(2)/25)*Calculateur!DB139*Calculateur!DD139*VLOOKUP('Données projet'!$B$13,Paramètres!$A$1:$I$89,3,0)*0.475*44/12</f>
        <v>4.8961848165862385</v>
      </c>
      <c r="DH139" s="21">
        <f>EXP(-LN(2)/2)*DH138+(1-EXP(-LN(2)/2))/(LN(2)/2)*DB139*DE139*VLOOKUP('Données projet'!$B$13,Paramètres!$A$1:$I$89,3,0)*0.475*44/12</f>
        <v>4.7527635627591621E-12</v>
      </c>
      <c r="DI139" s="22">
        <f t="shared" si="123"/>
        <v>31.82733412922337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167.82976403567059</v>
      </c>
      <c r="T140" s="59">
        <f t="shared" si="142"/>
        <v>232.70925470547317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15.920267304776795</v>
      </c>
      <c r="AA140" s="21">
        <f>EXP(-LN(2)/25)*AA139+(1-EXP(-LN(2)/25))/(LN(2)/25)*Calculateur!V140*Calculateur!X140*VLOOKUP('Données projet'!$B$9,Paramètres!$A$1:$I$89,3,0)*0.475*44/12</f>
        <v>4.1747050096892302</v>
      </c>
      <c r="AB140" s="21">
        <f>EXP(-LN(2)/2)*AB139+(1-EXP(-LN(2)/2))/(LN(2)/2)*V140*Y140*VLOOKUP('Données projet'!$B$9,Paramètres!$A$1:$I$89,3,0)*0.475*44/12</f>
        <v>7.418261350031015E-11</v>
      </c>
      <c r="AC140" s="22">
        <f t="shared" si="111"/>
        <v>20.094972314540211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5.7639226724859328E-14</v>
      </c>
      <c r="AK140" s="13">
        <f t="shared" si="143"/>
        <v>9.2325701996134334E-13</v>
      </c>
      <c r="AL140" s="20">
        <f t="shared" si="112"/>
        <v>1.708394296311803E-12</v>
      </c>
      <c r="AM140" s="59">
        <f t="shared" si="113"/>
        <v>284.99670540892708</v>
      </c>
      <c r="AN140" s="59">
        <f ca="1">AVERAGE(OFFSET($AM$3,0,0,'Données projet'!$E$10+1,1))-AVERAGE(OFFSET($H$3,0,0,'Données projet'!$E$10+1,1))</f>
        <v>542.51810435067659</v>
      </c>
      <c r="AO140" s="59">
        <f t="shared" si="144"/>
        <v>325.7263575945085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149.60802554441548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149.60802554441548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5.1431925385259088E-14</v>
      </c>
      <c r="BF140" s="13">
        <f t="shared" si="145"/>
        <v>8.3482866290946129E-13</v>
      </c>
      <c r="BG140" s="20">
        <f t="shared" si="115"/>
        <v>1.5435705246133045E-12</v>
      </c>
      <c r="BH140" s="59">
        <f t="shared" si="116"/>
        <v>284.99670540892691</v>
      </c>
      <c r="BI140" s="59">
        <f ca="1">AVERAGE(OFFSET($BH$3,0,0,'Données projet'!$E$11+1,1))-AVERAGE(OFFSET($H$3,0,0,'Données projet'!$E$11+1,1))</f>
        <v>492.39485179035256</v>
      </c>
      <c r="BJ140" s="59">
        <f t="shared" si="146"/>
        <v>297.32483725004124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133.49639202424765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133.49639202424765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-5.4092197387944907E-14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260.51631161522039</v>
      </c>
      <c r="CE140" s="59">
        <f t="shared" si="148"/>
        <v>171.3469666102674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28.142321696788713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28.142321696788713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3.3992364478763198E-14</v>
      </c>
      <c r="CV140" s="13">
        <f t="shared" si="149"/>
        <v>5.790027782444094E-13</v>
      </c>
      <c r="CW140" s="20">
        <f t="shared" si="121"/>
        <v>1.0676332069095257E-12</v>
      </c>
      <c r="CX140" s="59">
        <f t="shared" si="122"/>
        <v>284.99670540892646</v>
      </c>
      <c r="CY140" s="59">
        <f ca="1">AVERAGE(OFFSET($CX$3,0,0,'Données projet'!$E$13+1,1))-AVERAGE(OFFSET($H$3,0,0,'Données projet'!$E$13+1,1))</f>
        <v>301.2688576786212</v>
      </c>
      <c r="CZ140" s="59">
        <f t="shared" si="150"/>
        <v>417.62172165132927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26.403045900990769</v>
      </c>
      <c r="DG140" s="21">
        <f>EXP(-LN(2)/25)*DG139+(1-EXP(-LN(2)/25))/(LN(2)/25)*Calculateur!DB140*Calculateur!DD140*VLOOKUP('Données projet'!$B$13,Paramètres!$A$1:$I$89,3,0)*0.475*44/12</f>
        <v>4.7622983852975187</v>
      </c>
      <c r="DH140" s="21">
        <f>EXP(-LN(2)/2)*DH139+(1-EXP(-LN(2)/2))/(LN(2)/2)*DB140*DE140*VLOOKUP('Données projet'!$B$13,Paramètres!$A$1:$I$89,3,0)*0.475*44/12</f>
        <v>3.3607113446033389E-12</v>
      </c>
      <c r="DI140" s="22">
        <f t="shared" si="123"/>
        <v>31.165344286291649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167.82976403567059</v>
      </c>
      <c r="T141" s="59">
        <f t="shared" si="142"/>
        <v>232.70925470547317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15.608080573334355</v>
      </c>
      <c r="AA141" s="21">
        <f>EXP(-LN(2)/25)*AA140+(1-EXP(-LN(2)/25))/(LN(2)/25)*Calculateur!V141*Calculateur!X141*VLOOKUP('Données projet'!$B$9,Paramètres!$A$1:$I$89,3,0)*0.475*44/12</f>
        <v>4.0605474816610831</v>
      </c>
      <c r="AB141" s="21">
        <f>EXP(-LN(2)/2)*AB140+(1-EXP(-LN(2)/2))/(LN(2)/2)*V141*Y141*VLOOKUP('Données projet'!$B$9,Paramètres!$A$1:$I$89,3,0)*0.475*44/12</f>
        <v>5.2455029052210036E-11</v>
      </c>
      <c r="AC141" s="22">
        <f t="shared" si="111"/>
        <v>19.668628055047893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5.7639226724859328E-14</v>
      </c>
      <c r="AK141" s="13">
        <f t="shared" si="143"/>
        <v>9.2325701996134334E-13</v>
      </c>
      <c r="AL141" s="20">
        <f t="shared" si="112"/>
        <v>1.708394296311803E-12</v>
      </c>
      <c r="AM141" s="59">
        <f t="shared" si="113"/>
        <v>285.14132726550764</v>
      </c>
      <c r="AN141" s="59">
        <f ca="1">AVERAGE(OFFSET($AM$3,0,0,'Données projet'!$E$10+1,1))-AVERAGE(OFFSET($H$3,0,0,'Données projet'!$E$10+1,1))</f>
        <v>542.51810435067659</v>
      </c>
      <c r="AO141" s="59">
        <f t="shared" si="144"/>
        <v>325.7263575945085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146.67430341537471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146.67430341537471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5.1431925385259088E-14</v>
      </c>
      <c r="BF141" s="13">
        <f t="shared" si="145"/>
        <v>8.3482866290946129E-13</v>
      </c>
      <c r="BG141" s="20">
        <f t="shared" si="115"/>
        <v>1.5435705246133045E-12</v>
      </c>
      <c r="BH141" s="59">
        <f t="shared" si="116"/>
        <v>285.14132726550747</v>
      </c>
      <c r="BI141" s="59">
        <f ca="1">AVERAGE(OFFSET($BH$3,0,0,'Données projet'!$E$11+1,1))-AVERAGE(OFFSET($H$3,0,0,'Données projet'!$E$11+1,1))</f>
        <v>492.39485179035256</v>
      </c>
      <c r="BJ141" s="59">
        <f t="shared" si="146"/>
        <v>297.32483725004124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130.87860920141128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130.87860920141128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-5.4092197387944907E-14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260.51631161522039</v>
      </c>
      <c r="CE141" s="59">
        <f t="shared" si="148"/>
        <v>171.3469666102674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27.590467933436006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27.590467933436006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3.3992364478763198E-14</v>
      </c>
      <c r="CV141" s="13">
        <f t="shared" si="149"/>
        <v>5.790027782444094E-13</v>
      </c>
      <c r="CW141" s="20">
        <f t="shared" si="121"/>
        <v>1.0676332069095257E-12</v>
      </c>
      <c r="CX141" s="59">
        <f t="shared" si="122"/>
        <v>285.14132726550702</v>
      </c>
      <c r="CY141" s="59">
        <f ca="1">AVERAGE(OFFSET($CX$3,0,0,'Données projet'!$E$13+1,1))-AVERAGE(OFFSET($H$3,0,0,'Données projet'!$E$13+1,1))</f>
        <v>301.2688576786212</v>
      </c>
      <c r="CZ141" s="59">
        <f t="shared" si="150"/>
        <v>417.62172165132927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25.885298275140176</v>
      </c>
      <c r="DG141" s="21">
        <f>EXP(-LN(2)/25)*DG140+(1-EXP(-LN(2)/25))/(LN(2)/25)*Calculateur!DB141*Calculateur!DD141*VLOOKUP('Données projet'!$B$13,Paramètres!$A$1:$I$89,3,0)*0.475*44/12</f>
        <v>4.63207308551317</v>
      </c>
      <c r="DH141" s="21">
        <f>EXP(-LN(2)/2)*DH140+(1-EXP(-LN(2)/2))/(LN(2)/2)*DB141*DE141*VLOOKUP('Données projet'!$B$13,Paramètres!$A$1:$I$89,3,0)*0.475*44/12</f>
        <v>2.376381781379581E-12</v>
      </c>
      <c r="DI141" s="22">
        <f t="shared" si="123"/>
        <v>30.517371360655723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167.82976403567059</v>
      </c>
      <c r="T142" s="59">
        <f t="shared" si="142"/>
        <v>232.70925470547317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15.302015633280398</v>
      </c>
      <c r="AA142" s="21">
        <f>EXP(-LN(2)/25)*AA141+(1-EXP(-LN(2)/25))/(LN(2)/25)*Calculateur!V142*Calculateur!X142*VLOOKUP('Données projet'!$B$9,Paramètres!$A$1:$I$89,3,0)*0.475*44/12</f>
        <v>3.9495115972401491</v>
      </c>
      <c r="AB142" s="21">
        <f>EXP(-LN(2)/2)*AB141+(1-EXP(-LN(2)/2))/(LN(2)/2)*V142*Y142*VLOOKUP('Données projet'!$B$9,Paramètres!$A$1:$I$89,3,0)*0.475*44/12</f>
        <v>3.7091306750155075E-11</v>
      </c>
      <c r="AC142" s="22">
        <f t="shared" si="111"/>
        <v>19.251527230557638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5.7639226724859328E-14</v>
      </c>
      <c r="AK142" s="13">
        <f t="shared" si="143"/>
        <v>9.2325701996134334E-13</v>
      </c>
      <c r="AL142" s="20">
        <f t="shared" si="112"/>
        <v>1.708394296311803E-12</v>
      </c>
      <c r="AM142" s="59">
        <f t="shared" si="113"/>
        <v>285.2834402562026</v>
      </c>
      <c r="AN142" s="59">
        <f ca="1">AVERAGE(OFFSET($AM$3,0,0,'Données projet'!$E$10+1,1))-AVERAGE(OFFSET($H$3,0,0,'Données projet'!$E$10+1,1))</f>
        <v>542.51810435067659</v>
      </c>
      <c r="AO142" s="59">
        <f t="shared" si="144"/>
        <v>325.7263575945085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143.79810978789061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143.79810978789061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5.1431925385259088E-14</v>
      </c>
      <c r="BF142" s="13">
        <f t="shared" si="145"/>
        <v>8.3482866290946129E-13</v>
      </c>
      <c r="BG142" s="20">
        <f t="shared" si="115"/>
        <v>1.5435705246133045E-12</v>
      </c>
      <c r="BH142" s="59">
        <f t="shared" si="116"/>
        <v>285.28344025620243</v>
      </c>
      <c r="BI142" s="59">
        <f ca="1">AVERAGE(OFFSET($BH$3,0,0,'Données projet'!$E$11+1,1))-AVERAGE(OFFSET($H$3,0,0,'Données projet'!$E$11+1,1))</f>
        <v>492.39485179035256</v>
      </c>
      <c r="BJ142" s="59">
        <f t="shared" si="146"/>
        <v>297.32483725004124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128.31215950304085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128.31215950304085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-5.4092197387944907E-14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260.51631161522039</v>
      </c>
      <c r="CE142" s="59">
        <f t="shared" si="148"/>
        <v>171.3469666102674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27.049435685785088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27.049435685785088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3.3992364478763198E-14</v>
      </c>
      <c r="CV142" s="13">
        <f t="shared" si="149"/>
        <v>5.790027782444094E-13</v>
      </c>
      <c r="CW142" s="20">
        <f t="shared" si="121"/>
        <v>1.0676332069095257E-12</v>
      </c>
      <c r="CX142" s="59">
        <f t="shared" si="122"/>
        <v>285.28344025620197</v>
      </c>
      <c r="CY142" s="59">
        <f ca="1">AVERAGE(OFFSET($CX$3,0,0,'Données projet'!$E$13+1,1))-AVERAGE(OFFSET($H$3,0,0,'Données projet'!$E$13+1,1))</f>
        <v>301.2688576786212</v>
      </c>
      <c r="CZ142" s="59">
        <f t="shared" si="150"/>
        <v>417.62172165132927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25.377703364437643</v>
      </c>
      <c r="DG142" s="21">
        <f>EXP(-LN(2)/25)*DG141+(1-EXP(-LN(2)/25))/(LN(2)/25)*Calculateur!DB142*Calculateur!DD142*VLOOKUP('Données projet'!$B$13,Paramètres!$A$1:$I$89,3,0)*0.475*44/12</f>
        <v>4.5054088033996758</v>
      </c>
      <c r="DH142" s="21">
        <f>EXP(-LN(2)/2)*DH141+(1-EXP(-LN(2)/2))/(LN(2)/2)*DB142*DE142*VLOOKUP('Données projet'!$B$13,Paramètres!$A$1:$I$89,3,0)*0.475*44/12</f>
        <v>1.6803556723016694E-12</v>
      </c>
      <c r="DI142" s="22">
        <f t="shared" si="123"/>
        <v>29.883112167838998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167.82976403567059</v>
      </c>
      <c r="T143" s="59">
        <f t="shared" si="142"/>
        <v>232.70925470547317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15.001952440019718</v>
      </c>
      <c r="AA143" s="21">
        <f>EXP(-LN(2)/25)*AA142+(1-EXP(-LN(2)/25))/(LN(2)/25)*Calculateur!V143*Calculateur!X143*VLOOKUP('Données projet'!$B$9,Paramètres!$A$1:$I$89,3,0)*0.475*44/12</f>
        <v>3.8415119949178291</v>
      </c>
      <c r="AB143" s="21">
        <f>EXP(-LN(2)/2)*AB142+(1-EXP(-LN(2)/2))/(LN(2)/2)*V143*Y143*VLOOKUP('Données projet'!$B$9,Paramètres!$A$1:$I$89,3,0)*0.475*44/12</f>
        <v>2.6227514526105018E-11</v>
      </c>
      <c r="AC143" s="22">
        <f t="shared" si="111"/>
        <v>18.843464434963774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5.7639226724859328E-14</v>
      </c>
      <c r="AK143" s="13">
        <f t="shared" si="143"/>
        <v>9.2325701996134334E-13</v>
      </c>
      <c r="AL143" s="20">
        <f t="shared" si="112"/>
        <v>1.708394296311803E-12</v>
      </c>
      <c r="AM143" s="59">
        <f t="shared" si="113"/>
        <v>285.42308790422607</v>
      </c>
      <c r="AN143" s="59">
        <f ca="1">AVERAGE(OFFSET($AM$3,0,0,'Données projet'!$E$10+1,1))-AVERAGE(OFFSET($H$3,0,0,'Données projet'!$E$10+1,1))</f>
        <v>542.51810435067659</v>
      </c>
      <c r="AO143" s="59">
        <f t="shared" si="144"/>
        <v>325.7263575945085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140.97831656313659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140.97831656313659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5.1431925385259088E-14</v>
      </c>
      <c r="BF143" s="13">
        <f t="shared" si="145"/>
        <v>8.3482866290946129E-13</v>
      </c>
      <c r="BG143" s="20">
        <f t="shared" si="115"/>
        <v>1.5435705246133045E-12</v>
      </c>
      <c r="BH143" s="59">
        <f t="shared" si="116"/>
        <v>285.42308790422589</v>
      </c>
      <c r="BI143" s="59">
        <f ca="1">AVERAGE(OFFSET($BH$3,0,0,'Données projet'!$E$11+1,1))-AVERAGE(OFFSET($H$3,0,0,'Données projet'!$E$11+1,1))</f>
        <v>492.39485179035256</v>
      </c>
      <c r="BJ143" s="59">
        <f t="shared" si="146"/>
        <v>297.32483725004124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125.79603631787572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125.79603631787572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-5.4092197387944907E-14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260.51631161522039</v>
      </c>
      <c r="CE143" s="59">
        <f t="shared" si="148"/>
        <v>171.3469666102674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26.519012750513518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26.519012750513518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3.3992364478763198E-14</v>
      </c>
      <c r="CV143" s="13">
        <f t="shared" si="149"/>
        <v>5.790027782444094E-13</v>
      </c>
      <c r="CW143" s="20">
        <f t="shared" si="121"/>
        <v>1.0676332069095257E-12</v>
      </c>
      <c r="CX143" s="59">
        <f t="shared" si="122"/>
        <v>285.42308790422544</v>
      </c>
      <c r="CY143" s="59">
        <f ca="1">AVERAGE(OFFSET($CX$3,0,0,'Données projet'!$E$13+1,1))-AVERAGE(OFFSET($H$3,0,0,'Données projet'!$E$13+1,1))</f>
        <v>301.2688576786212</v>
      </c>
      <c r="CZ143" s="59">
        <f t="shared" si="150"/>
        <v>417.62172165132927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24.880062080331662</v>
      </c>
      <c r="DG143" s="21">
        <f>EXP(-LN(2)/25)*DG142+(1-EXP(-LN(2)/25))/(LN(2)/25)*Calculateur!DB143*Calculateur!DD143*VLOOKUP('Données projet'!$B$13,Paramètres!$A$1:$I$89,3,0)*0.475*44/12</f>
        <v>4.3822081627415601</v>
      </c>
      <c r="DH143" s="21">
        <f>EXP(-LN(2)/2)*DH142+(1-EXP(-LN(2)/2))/(LN(2)/2)*DB143*DE143*VLOOKUP('Données projet'!$B$13,Paramètres!$A$1:$I$89,3,0)*0.475*44/12</f>
        <v>1.1881908906897905E-12</v>
      </c>
      <c r="DI143" s="22">
        <f t="shared" si="123"/>
        <v>29.262270243074408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167.82976403567059</v>
      </c>
      <c r="T144" s="59">
        <f t="shared" si="142"/>
        <v>232.70925470547317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14.707773302958403</v>
      </c>
      <c r="AA144" s="21">
        <f>EXP(-LN(2)/25)*AA143+(1-EXP(-LN(2)/25))/(LN(2)/25)*Calculateur!V144*Calculateur!X144*VLOOKUP('Données projet'!$B$9,Paramètres!$A$1:$I$89,3,0)*0.475*44/12</f>
        <v>3.7364656474004652</v>
      </c>
      <c r="AB144" s="21">
        <f>EXP(-LN(2)/2)*AB143+(1-EXP(-LN(2)/2))/(LN(2)/2)*V144*Y144*VLOOKUP('Données projet'!$B$9,Paramètres!$A$1:$I$89,3,0)*0.475*44/12</f>
        <v>1.8545653375077537E-11</v>
      </c>
      <c r="AC144" s="22">
        <f t="shared" si="111"/>
        <v>18.444238950377414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5.7639226724859328E-14</v>
      </c>
      <c r="AK144" s="13">
        <f t="shared" si="143"/>
        <v>9.2325701996134334E-13</v>
      </c>
      <c r="AL144" s="20">
        <f t="shared" si="112"/>
        <v>1.708394296311803E-12</v>
      </c>
      <c r="AM144" s="59">
        <f t="shared" si="113"/>
        <v>285.56031297776173</v>
      </c>
      <c r="AN144" s="59">
        <f ca="1">AVERAGE(OFFSET($AM$3,0,0,'Données projet'!$E$10+1,1))-AVERAGE(OFFSET($H$3,0,0,'Données projet'!$E$10+1,1))</f>
        <v>542.51810435067659</v>
      </c>
      <c r="AO144" s="59">
        <f t="shared" si="144"/>
        <v>325.7263575945085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138.21381776361594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138.21381776361594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5.1431925385259088E-14</v>
      </c>
      <c r="BF144" s="13">
        <f t="shared" si="145"/>
        <v>8.3482866290946129E-13</v>
      </c>
      <c r="BG144" s="20">
        <f t="shared" si="115"/>
        <v>1.5435705246133045E-12</v>
      </c>
      <c r="BH144" s="59">
        <f t="shared" si="116"/>
        <v>285.56031297776155</v>
      </c>
      <c r="BI144" s="59">
        <f ca="1">AVERAGE(OFFSET($BH$3,0,0,'Données projet'!$E$11+1,1))-AVERAGE(OFFSET($H$3,0,0,'Données projet'!$E$11+1,1))</f>
        <v>492.39485179035256</v>
      </c>
      <c r="BJ144" s="59">
        <f t="shared" si="146"/>
        <v>297.32483725004124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123.32925277368807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123.32925277368807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-5.4092197387944907E-14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260.51631161522039</v>
      </c>
      <c r="CE144" s="59">
        <f t="shared" si="148"/>
        <v>171.3469666102674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25.998991085476575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25.998991085476575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3.3992364478763198E-14</v>
      </c>
      <c r="CV144" s="13">
        <f t="shared" si="149"/>
        <v>5.790027782444094E-13</v>
      </c>
      <c r="CW144" s="20">
        <f t="shared" si="121"/>
        <v>1.0676332069095257E-12</v>
      </c>
      <c r="CX144" s="59">
        <f t="shared" si="122"/>
        <v>285.5603129777611</v>
      </c>
      <c r="CY144" s="59">
        <f ca="1">AVERAGE(OFFSET($CX$3,0,0,'Données projet'!$E$13+1,1))-AVERAGE(OFFSET($H$3,0,0,'Données projet'!$E$13+1,1))</f>
        <v>301.2688576786212</v>
      </c>
      <c r="CZ144" s="59">
        <f t="shared" si="150"/>
        <v>417.62172165132927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24.392179238275787</v>
      </c>
      <c r="DG144" s="21">
        <f>EXP(-LN(2)/25)*DG143+(1-EXP(-LN(2)/25))/(LN(2)/25)*Calculateur!DB144*Calculateur!DD144*VLOOKUP('Données projet'!$B$13,Paramètres!$A$1:$I$89,3,0)*0.475*44/12</f>
        <v>4.2623764500810806</v>
      </c>
      <c r="DH144" s="21">
        <f>EXP(-LN(2)/2)*DH143+(1-EXP(-LN(2)/2))/(LN(2)/2)*DB144*DE144*VLOOKUP('Données projet'!$B$13,Paramètres!$A$1:$I$89,3,0)*0.475*44/12</f>
        <v>8.4017783615083472E-13</v>
      </c>
      <c r="DI144" s="22">
        <f t="shared" si="123"/>
        <v>28.654555688357707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167.82976403567059</v>
      </c>
      <c r="T145" s="59">
        <f t="shared" si="142"/>
        <v>232.70925470547317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14.419362839343306</v>
      </c>
      <c r="AA145" s="21">
        <f>EXP(-LN(2)/25)*AA144+(1-EXP(-LN(2)/25))/(LN(2)/25)*Calculateur!V145*Calculateur!X145*VLOOKUP('Données projet'!$B$9,Paramètres!$A$1:$I$89,3,0)*0.475*44/12</f>
        <v>3.634291797780111</v>
      </c>
      <c r="AB145" s="21">
        <f>EXP(-LN(2)/2)*AB144+(1-EXP(-LN(2)/2))/(LN(2)/2)*V145*Y145*VLOOKUP('Données projet'!$B$9,Paramètres!$A$1:$I$89,3,0)*0.475*44/12</f>
        <v>1.3113757263052509E-11</v>
      </c>
      <c r="AC145" s="22">
        <f t="shared" si="111"/>
        <v>18.053654637136528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5.7639226724859328E-14</v>
      </c>
      <c r="AK145" s="13">
        <f t="shared" si="143"/>
        <v>9.2325701996134334E-13</v>
      </c>
      <c r="AL145" s="20">
        <f t="shared" si="112"/>
        <v>1.708394296311803E-12</v>
      </c>
      <c r="AM145" s="59">
        <f t="shared" si="113"/>
        <v>285.69515750306078</v>
      </c>
      <c r="AN145" s="59">
        <f ca="1">AVERAGE(OFFSET($AM$3,0,0,'Données projet'!$E$10+1,1))-AVERAGE(OFFSET($H$3,0,0,'Données projet'!$E$10+1,1))</f>
        <v>542.51810435067659</v>
      </c>
      <c r="AO145" s="59">
        <f t="shared" si="144"/>
        <v>325.7263575945085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135.50352909937612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135.50352909937612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5.1431925385259088E-14</v>
      </c>
      <c r="BF145" s="13">
        <f t="shared" si="145"/>
        <v>8.3482866290946129E-13</v>
      </c>
      <c r="BG145" s="20">
        <f t="shared" si="115"/>
        <v>1.5435705246133045E-12</v>
      </c>
      <c r="BH145" s="59">
        <f t="shared" si="116"/>
        <v>285.69515750306061</v>
      </c>
      <c r="BI145" s="59">
        <f ca="1">AVERAGE(OFFSET($BH$3,0,0,'Données projet'!$E$11+1,1))-AVERAGE(OFFSET($H$3,0,0,'Données projet'!$E$11+1,1))</f>
        <v>492.39485179035256</v>
      </c>
      <c r="BJ145" s="59">
        <f t="shared" si="146"/>
        <v>297.32483725004124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120.91084135021254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120.91084135021254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-5.4092197387944907E-14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260.51631161522039</v>
      </c>
      <c r="CE145" s="59">
        <f t="shared" si="148"/>
        <v>171.3469666102674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25.489166728109112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25.489166728109112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3.3992364478763198E-14</v>
      </c>
      <c r="CV145" s="13">
        <f t="shared" si="149"/>
        <v>5.790027782444094E-13</v>
      </c>
      <c r="CW145" s="20">
        <f t="shared" si="121"/>
        <v>1.0676332069095257E-12</v>
      </c>
      <c r="CX145" s="59">
        <f t="shared" si="122"/>
        <v>285.69515750306016</v>
      </c>
      <c r="CY145" s="59">
        <f ca="1">AVERAGE(OFFSET($CX$3,0,0,'Données projet'!$E$13+1,1))-AVERAGE(OFFSET($H$3,0,0,'Données projet'!$E$13+1,1))</f>
        <v>301.2688576786212</v>
      </c>
      <c r="CZ145" s="59">
        <f t="shared" si="150"/>
        <v>417.62172165132927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23.913863481173479</v>
      </c>
      <c r="DG145" s="21">
        <f>EXP(-LN(2)/25)*DG144+(1-EXP(-LN(2)/25))/(LN(2)/25)*Calculateur!DB145*Calculateur!DD145*VLOOKUP('Données projet'!$B$13,Paramètres!$A$1:$I$89,3,0)*0.475*44/12</f>
        <v>4.1458215419049775</v>
      </c>
      <c r="DH145" s="21">
        <f>EXP(-LN(2)/2)*DH144+(1-EXP(-LN(2)/2))/(LN(2)/2)*DB145*DE145*VLOOKUP('Données projet'!$B$13,Paramètres!$A$1:$I$89,3,0)*0.475*44/12</f>
        <v>5.9409544534489526E-13</v>
      </c>
      <c r="DI145" s="22">
        <f t="shared" si="123"/>
        <v>28.059685023079052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167.82976403567059</v>
      </c>
      <c r="T146" s="59">
        <f t="shared" si="142"/>
        <v>232.70925470547317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14.136607929006686</v>
      </c>
      <c r="AA146" s="21">
        <f>EXP(-LN(2)/25)*AA145+(1-EXP(-LN(2)/25))/(LN(2)/25)*Calculateur!V146*Calculateur!X146*VLOOKUP('Données projet'!$B$9,Paramètres!$A$1:$I$89,3,0)*0.475*44/12</f>
        <v>3.5349118974507143</v>
      </c>
      <c r="AB146" s="21">
        <f>EXP(-LN(2)/2)*AB145+(1-EXP(-LN(2)/2))/(LN(2)/2)*V146*Y146*VLOOKUP('Données projet'!$B$9,Paramètres!$A$1:$I$89,3,0)*0.475*44/12</f>
        <v>9.2728266875387687E-12</v>
      </c>
      <c r="AC146" s="22">
        <f t="shared" si="111"/>
        <v>17.671519826466675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5.7639226724859328E-14</v>
      </c>
      <c r="AK146" s="13">
        <f t="shared" si="143"/>
        <v>9.2325701996134334E-13</v>
      </c>
      <c r="AL146" s="20">
        <f t="shared" si="112"/>
        <v>1.708394296311803E-12</v>
      </c>
      <c r="AM146" s="59">
        <f t="shared" si="113"/>
        <v>285.82766277731315</v>
      </c>
      <c r="AN146" s="59">
        <f ca="1">AVERAGE(OFFSET($AM$3,0,0,'Données projet'!$E$10+1,1))-AVERAGE(OFFSET($H$3,0,0,'Données projet'!$E$10+1,1))</f>
        <v>542.51810435067659</v>
      </c>
      <c r="AO146" s="59">
        <f t="shared" si="144"/>
        <v>325.7263575945085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132.84638754272919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132.84638754272919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5.1431925385259088E-14</v>
      </c>
      <c r="BF146" s="13">
        <f t="shared" si="145"/>
        <v>8.3482866290946129E-13</v>
      </c>
      <c r="BG146" s="20">
        <f t="shared" si="115"/>
        <v>1.5435705246133045E-12</v>
      </c>
      <c r="BH146" s="59">
        <f t="shared" si="116"/>
        <v>285.82766277731298</v>
      </c>
      <c r="BI146" s="59">
        <f ca="1">AVERAGE(OFFSET($BH$3,0,0,'Données projet'!$E$11+1,1))-AVERAGE(OFFSET($H$3,0,0,'Données projet'!$E$11+1,1))</f>
        <v>492.39485179035256</v>
      </c>
      <c r="BJ146" s="59">
        <f t="shared" si="146"/>
        <v>297.32483725004124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118.53985349966605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118.53985349966605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-5.4092197387944907E-14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260.51631161522039</v>
      </c>
      <c r="CE146" s="59">
        <f t="shared" si="148"/>
        <v>171.3469666102674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24.989339715427473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24.989339715427473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3.3992364478763198E-14</v>
      </c>
      <c r="CV146" s="13">
        <f t="shared" si="149"/>
        <v>5.790027782444094E-13</v>
      </c>
      <c r="CW146" s="20">
        <f t="shared" si="121"/>
        <v>1.0676332069095257E-12</v>
      </c>
      <c r="CX146" s="59">
        <f t="shared" si="122"/>
        <v>285.82766277731253</v>
      </c>
      <c r="CY146" s="59">
        <f ca="1">AVERAGE(OFFSET($CX$3,0,0,'Données projet'!$E$13+1,1))-AVERAGE(OFFSET($H$3,0,0,'Données projet'!$E$13+1,1))</f>
        <v>301.2688576786212</v>
      </c>
      <c r="CZ146" s="59">
        <f t="shared" si="150"/>
        <v>417.62172165132927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23.444927204324141</v>
      </c>
      <c r="DG146" s="21">
        <f>EXP(-LN(2)/25)*DG145+(1-EXP(-LN(2)/25))/(LN(2)/25)*Calculateur!DB146*Calculateur!DD146*VLOOKUP('Données projet'!$B$13,Paramètres!$A$1:$I$89,3,0)*0.475*44/12</f>
        <v>4.0324538338223066</v>
      </c>
      <c r="DH146" s="21">
        <f>EXP(-LN(2)/2)*DH145+(1-EXP(-LN(2)/2))/(LN(2)/2)*DB146*DE146*VLOOKUP('Données projet'!$B$13,Paramètres!$A$1:$I$89,3,0)*0.475*44/12</f>
        <v>4.2008891807541736E-13</v>
      </c>
      <c r="DI146" s="22">
        <f t="shared" si="123"/>
        <v>27.477381038146866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167.82976403567059</v>
      </c>
      <c r="T147" s="59">
        <f t="shared" si="142"/>
        <v>232.70925470547317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13.859397669998303</v>
      </c>
      <c r="AA147" s="21">
        <f>EXP(-LN(2)/25)*AA146+(1-EXP(-LN(2)/25))/(LN(2)/25)*Calculateur!V147*Calculateur!X147*VLOOKUP('Données projet'!$B$9,Paramètres!$A$1:$I$89,3,0)*0.475*44/12</f>
        <v>3.438249545721987</v>
      </c>
      <c r="AB147" s="21">
        <f>EXP(-LN(2)/2)*AB146+(1-EXP(-LN(2)/2))/(LN(2)/2)*V147*Y147*VLOOKUP('Données projet'!$B$9,Paramètres!$A$1:$I$89,3,0)*0.475*44/12</f>
        <v>6.5568786315262545E-12</v>
      </c>
      <c r="AC147" s="22">
        <f t="shared" si="111"/>
        <v>17.297647215726847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5.7639226724859328E-14</v>
      </c>
      <c r="AK147" s="13">
        <f t="shared" si="143"/>
        <v>9.2325701996134334E-13</v>
      </c>
      <c r="AL147" s="20">
        <f t="shared" si="112"/>
        <v>1.708394296311803E-12</v>
      </c>
      <c r="AM147" s="59">
        <f t="shared" si="113"/>
        <v>285.95786938129459</v>
      </c>
      <c r="AN147" s="59">
        <f ca="1">AVERAGE(OFFSET($AM$3,0,0,'Données projet'!$E$10+1,1))-AVERAGE(OFFSET($H$3,0,0,'Données projet'!$E$10+1,1))</f>
        <v>542.51810435067659</v>
      </c>
      <c r="AO147" s="59">
        <f t="shared" si="144"/>
        <v>325.7263575945085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130.2413509113118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130.2413509113118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5.1431925385259088E-14</v>
      </c>
      <c r="BF147" s="13">
        <f t="shared" si="145"/>
        <v>8.3482866290946129E-13</v>
      </c>
      <c r="BG147" s="20">
        <f t="shared" si="115"/>
        <v>1.5435705246133045E-12</v>
      </c>
      <c r="BH147" s="59">
        <f t="shared" si="116"/>
        <v>285.95786938129442</v>
      </c>
      <c r="BI147" s="59">
        <f ca="1">AVERAGE(OFFSET($BH$3,0,0,'Données projet'!$E$11+1,1))-AVERAGE(OFFSET($H$3,0,0,'Données projet'!$E$11+1,1))</f>
        <v>492.39485179035256</v>
      </c>
      <c r="BJ147" s="59">
        <f t="shared" si="146"/>
        <v>297.32483725004124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116.21535927470899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116.21535927470899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-5.4092197387944907E-14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260.51631161522039</v>
      </c>
      <c r="CE147" s="59">
        <f t="shared" si="148"/>
        <v>171.3469666102674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24.499314005600144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24.499314005600144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3.3992364478763198E-14</v>
      </c>
      <c r="CV147" s="13">
        <f t="shared" si="149"/>
        <v>5.790027782444094E-13</v>
      </c>
      <c r="CW147" s="20">
        <f t="shared" si="121"/>
        <v>1.0676332069095257E-12</v>
      </c>
      <c r="CX147" s="59">
        <f t="shared" si="122"/>
        <v>285.95786938129396</v>
      </c>
      <c r="CY147" s="59">
        <f ca="1">AVERAGE(OFFSET($CX$3,0,0,'Données projet'!$E$13+1,1))-AVERAGE(OFFSET($H$3,0,0,'Données projet'!$E$13+1,1))</f>
        <v>301.2688576786212</v>
      </c>
      <c r="CZ147" s="59">
        <f t="shared" si="150"/>
        <v>417.62172165132927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22.985186481840934</v>
      </c>
      <c r="DG147" s="21">
        <f>EXP(-LN(2)/25)*DG146+(1-EXP(-LN(2)/25))/(LN(2)/25)*Calculateur!DB147*Calculateur!DD147*VLOOKUP('Données projet'!$B$13,Paramètres!$A$1:$I$89,3,0)*0.475*44/12</f>
        <v>3.9221861716789048</v>
      </c>
      <c r="DH147" s="21">
        <f>EXP(-LN(2)/2)*DH146+(1-EXP(-LN(2)/2))/(LN(2)/2)*DB147*DE147*VLOOKUP('Données projet'!$B$13,Paramètres!$A$1:$I$89,3,0)*0.475*44/12</f>
        <v>2.9704772267244763E-13</v>
      </c>
      <c r="DI147" s="22">
        <f t="shared" si="123"/>
        <v>26.907372653520138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167.82976403567059</v>
      </c>
      <c r="T148" s="59">
        <f t="shared" si="142"/>
        <v>232.70925470547317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13.587623335087512</v>
      </c>
      <c r="AA148" s="21">
        <f>EXP(-LN(2)/25)*AA147+(1-EXP(-LN(2)/25))/(LN(2)/25)*Calculateur!V148*Calculateur!X148*VLOOKUP('Données projet'!$B$9,Paramètres!$A$1:$I$89,3,0)*0.475*44/12</f>
        <v>3.3442304310845339</v>
      </c>
      <c r="AB148" s="21">
        <f>EXP(-LN(2)/2)*AB147+(1-EXP(-LN(2)/2))/(LN(2)/2)*V148*Y148*VLOOKUP('Données projet'!$B$9,Paramètres!$A$1:$I$89,3,0)*0.475*44/12</f>
        <v>4.6364133437693844E-12</v>
      </c>
      <c r="AC148" s="22">
        <f t="shared" si="111"/>
        <v>16.931853766176683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5.7639226724859328E-14</v>
      </c>
      <c r="AK148" s="13">
        <f t="shared" si="143"/>
        <v>9.2325701996134334E-13</v>
      </c>
      <c r="AL148" s="20">
        <f t="shared" si="112"/>
        <v>1.708394296311803E-12</v>
      </c>
      <c r="AM148" s="59">
        <f t="shared" si="113"/>
        <v>286.08581719179529</v>
      </c>
      <c r="AN148" s="59">
        <f ca="1">AVERAGE(OFFSET($AM$3,0,0,'Données projet'!$E$10+1,1))-AVERAGE(OFFSET($H$3,0,0,'Données projet'!$E$10+1,1))</f>
        <v>542.51810435067659</v>
      </c>
      <c r="AO148" s="59">
        <f t="shared" si="144"/>
        <v>325.7263575945085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127.68739745932105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127.68739745932105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5.1431925385259088E-14</v>
      </c>
      <c r="BF148" s="13">
        <f t="shared" si="145"/>
        <v>8.3482866290946129E-13</v>
      </c>
      <c r="BG148" s="20">
        <f t="shared" si="115"/>
        <v>1.5435705246133045E-12</v>
      </c>
      <c r="BH148" s="59">
        <f t="shared" si="116"/>
        <v>286.08581719179512</v>
      </c>
      <c r="BI148" s="59">
        <f ca="1">AVERAGE(OFFSET($BH$3,0,0,'Données projet'!$E$11+1,1))-AVERAGE(OFFSET($H$3,0,0,'Données projet'!$E$11+1,1))</f>
        <v>492.39485179035256</v>
      </c>
      <c r="BJ148" s="59">
        <f t="shared" si="146"/>
        <v>297.32483725004124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113.93644696370185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113.93644696370185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-5.4092197387944907E-14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260.51631161522039</v>
      </c>
      <c r="CE148" s="59">
        <f t="shared" si="148"/>
        <v>171.3469666102674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24.018897401056361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24.018897401056361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3.3992364478763198E-14</v>
      </c>
      <c r="CV148" s="13">
        <f t="shared" si="149"/>
        <v>5.790027782444094E-13</v>
      </c>
      <c r="CW148" s="20">
        <f t="shared" si="121"/>
        <v>1.0676332069095257E-12</v>
      </c>
      <c r="CX148" s="59">
        <f t="shared" si="122"/>
        <v>286.08581719179466</v>
      </c>
      <c r="CY148" s="59">
        <f ca="1">AVERAGE(OFFSET($CX$3,0,0,'Données projet'!$E$13+1,1))-AVERAGE(OFFSET($H$3,0,0,'Données projet'!$E$13+1,1))</f>
        <v>301.2688576786212</v>
      </c>
      <c r="CZ148" s="59">
        <f t="shared" si="150"/>
        <v>417.62172165132927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22.53446099451147</v>
      </c>
      <c r="DG148" s="21">
        <f>EXP(-LN(2)/25)*DG147+(1-EXP(-LN(2)/25))/(LN(2)/25)*Calculateur!DB148*Calculateur!DD148*VLOOKUP('Données projet'!$B$13,Paramètres!$A$1:$I$89,3,0)*0.475*44/12</f>
        <v>3.8149337845555387</v>
      </c>
      <c r="DH148" s="21">
        <f>EXP(-LN(2)/2)*DH147+(1-EXP(-LN(2)/2))/(LN(2)/2)*DB148*DE148*VLOOKUP('Données projet'!$B$13,Paramètres!$A$1:$I$89,3,0)*0.475*44/12</f>
        <v>2.1004445903770868E-13</v>
      </c>
      <c r="DI148" s="22">
        <f t="shared" si="123"/>
        <v>26.349394779067218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167.82976403567059</v>
      </c>
      <c r="T149" s="59">
        <f t="shared" si="142"/>
        <v>232.70925470547317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13.321178329118345</v>
      </c>
      <c r="AA149" s="21">
        <f>EXP(-LN(2)/25)*AA148+(1-EXP(-LN(2)/25))/(LN(2)/25)*Calculateur!V149*Calculateur!X149*VLOOKUP('Données projet'!$B$9,Paramètres!$A$1:$I$89,3,0)*0.475*44/12</f>
        <v>3.2527822740810923</v>
      </c>
      <c r="AB149" s="21">
        <f>EXP(-LN(2)/2)*AB148+(1-EXP(-LN(2)/2))/(LN(2)/2)*V149*Y149*VLOOKUP('Données projet'!$B$9,Paramètres!$A$1:$I$89,3,0)*0.475*44/12</f>
        <v>3.2784393157631273E-12</v>
      </c>
      <c r="AC149" s="22">
        <f t="shared" si="111"/>
        <v>16.573960603202718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5.7639226724859328E-14</v>
      </c>
      <c r="AK149" s="13">
        <f t="shared" si="143"/>
        <v>9.2325701996134334E-13</v>
      </c>
      <c r="AL149" s="20">
        <f t="shared" si="112"/>
        <v>1.708394296311803E-12</v>
      </c>
      <c r="AM149" s="59">
        <f t="shared" si="113"/>
        <v>286.21154539383235</v>
      </c>
      <c r="AN149" s="59">
        <f ca="1">AVERAGE(OFFSET($AM$3,0,0,'Données projet'!$E$10+1,1))-AVERAGE(OFFSET($H$3,0,0,'Données projet'!$E$10+1,1))</f>
        <v>542.51810435067659</v>
      </c>
      <c r="AO149" s="59">
        <f t="shared" si="144"/>
        <v>325.7263575945085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125.18352547676604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125.18352547676604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5.1431925385259088E-14</v>
      </c>
      <c r="BF149" s="13">
        <f t="shared" si="145"/>
        <v>8.3482866290946129E-13</v>
      </c>
      <c r="BG149" s="20">
        <f t="shared" si="115"/>
        <v>1.5435705246133045E-12</v>
      </c>
      <c r="BH149" s="59">
        <f t="shared" si="116"/>
        <v>286.21154539383218</v>
      </c>
      <c r="BI149" s="59">
        <f ca="1">AVERAGE(OFFSET($BH$3,0,0,'Données projet'!$E$11+1,1))-AVERAGE(OFFSET($H$3,0,0,'Données projet'!$E$11+1,1))</f>
        <v>492.39485179035256</v>
      </c>
      <c r="BJ149" s="59">
        <f t="shared" si="146"/>
        <v>297.32483725004124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111.70222273311431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111.70222273311431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-5.4092197387944907E-14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260.51631161522039</v>
      </c>
      <c r="CE149" s="59">
        <f t="shared" si="148"/>
        <v>171.3469666102674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23.547901473102485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23.547901473102485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3.3992364478763198E-14</v>
      </c>
      <c r="CV149" s="13">
        <f t="shared" si="149"/>
        <v>5.790027782444094E-13</v>
      </c>
      <c r="CW149" s="20">
        <f t="shared" si="121"/>
        <v>1.0676332069095257E-12</v>
      </c>
      <c r="CX149" s="59">
        <f t="shared" si="122"/>
        <v>286.21154539383173</v>
      </c>
      <c r="CY149" s="59">
        <f ca="1">AVERAGE(OFFSET($CX$3,0,0,'Données projet'!$E$13+1,1))-AVERAGE(OFFSET($H$3,0,0,'Données projet'!$E$13+1,1))</f>
        <v>301.2688576786212</v>
      </c>
      <c r="CZ149" s="59">
        <f t="shared" si="150"/>
        <v>417.62172165132927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22.092573959073135</v>
      </c>
      <c r="DG149" s="21">
        <f>EXP(-LN(2)/25)*DG148+(1-EXP(-LN(2)/25))/(LN(2)/25)*Calculateur!DB149*Calculateur!DD149*VLOOKUP('Données projet'!$B$13,Paramètres!$A$1:$I$89,3,0)*0.475*44/12</f>
        <v>3.7106142195982188</v>
      </c>
      <c r="DH149" s="21">
        <f>EXP(-LN(2)/2)*DH148+(1-EXP(-LN(2)/2))/(LN(2)/2)*DB149*DE149*VLOOKUP('Données projet'!$B$13,Paramètres!$A$1:$I$89,3,0)*0.475*44/12</f>
        <v>1.4852386133622381E-13</v>
      </c>
      <c r="DI149" s="22">
        <f t="shared" si="123"/>
        <v>25.803188178671505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167.82976403567059</v>
      </c>
      <c r="T150" s="59">
        <f t="shared" si="142"/>
        <v>232.70925470547317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13.059958147200826</v>
      </c>
      <c r="AA150" s="21">
        <f>EXP(-LN(2)/25)*AA149+(1-EXP(-LN(2)/25))/(LN(2)/25)*Calculateur!V150*Calculateur!X150*VLOOKUP('Données projet'!$B$9,Paramètres!$A$1:$I$89,3,0)*0.475*44/12</f>
        <v>3.1638347717399595</v>
      </c>
      <c r="AB150" s="21">
        <f>EXP(-LN(2)/2)*AB149+(1-EXP(-LN(2)/2))/(LN(2)/2)*V150*Y150*VLOOKUP('Données projet'!$B$9,Paramètres!$A$1:$I$89,3,0)*0.475*44/12</f>
        <v>2.3182066718846922E-12</v>
      </c>
      <c r="AC150" s="22">
        <f t="shared" si="111"/>
        <v>16.223792918943104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5.7639226724859328E-14</v>
      </c>
      <c r="AK150" s="13">
        <f t="shared" si="143"/>
        <v>9.2325701996134334E-13</v>
      </c>
      <c r="AL150" s="20">
        <f t="shared" si="112"/>
        <v>1.708394296311803E-12</v>
      </c>
      <c r="AM150" s="59">
        <f t="shared" si="113"/>
        <v>286.33509249265012</v>
      </c>
      <c r="AN150" s="59">
        <f ca="1">AVERAGE(OFFSET($AM$3,0,0,'Données projet'!$E$10+1,1))-AVERAGE(OFFSET($H$3,0,0,'Données projet'!$E$10+1,1))</f>
        <v>542.51810435067659</v>
      </c>
      <c r="AO150" s="59">
        <f t="shared" si="144"/>
        <v>325.7263575945085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122.72875289657782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122.72875289657782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5.1431925385259088E-14</v>
      </c>
      <c r="BF150" s="13">
        <f t="shared" si="145"/>
        <v>8.3482866290946129E-13</v>
      </c>
      <c r="BG150" s="20">
        <f t="shared" si="115"/>
        <v>1.5435705246133045E-12</v>
      </c>
      <c r="BH150" s="59">
        <f t="shared" si="116"/>
        <v>286.33509249264995</v>
      </c>
      <c r="BI150" s="59">
        <f ca="1">AVERAGE(OFFSET($BH$3,0,0,'Données projet'!$E$11+1,1))-AVERAGE(OFFSET($H$3,0,0,'Données projet'!$E$11+1,1))</f>
        <v>492.39485179035256</v>
      </c>
      <c r="BJ150" s="59">
        <f t="shared" si="146"/>
        <v>297.32483725004124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109.51181027694636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109.51181027694636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-5.4092197387944907E-14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260.51631161522039</v>
      </c>
      <c r="CE150" s="59">
        <f t="shared" si="148"/>
        <v>171.3469666102674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23.086141488016636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23.086141488016636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3.3992364478763198E-14</v>
      </c>
      <c r="CV150" s="13">
        <f t="shared" si="149"/>
        <v>5.790027782444094E-13</v>
      </c>
      <c r="CW150" s="20">
        <f t="shared" si="121"/>
        <v>1.0676332069095257E-12</v>
      </c>
      <c r="CX150" s="59">
        <f t="shared" si="122"/>
        <v>286.33509249264949</v>
      </c>
      <c r="CY150" s="59">
        <f ca="1">AVERAGE(OFFSET($CX$3,0,0,'Données projet'!$E$13+1,1))-AVERAGE(OFFSET($H$3,0,0,'Données projet'!$E$13+1,1))</f>
        <v>301.2688576786212</v>
      </c>
      <c r="CZ150" s="59">
        <f t="shared" si="150"/>
        <v>417.62172165132927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21.659352058875267</v>
      </c>
      <c r="DG150" s="21">
        <f>EXP(-LN(2)/25)*DG149+(1-EXP(-LN(2)/25))/(LN(2)/25)*Calculateur!DB150*Calculateur!DD150*VLOOKUP('Données projet'!$B$13,Paramètres!$A$1:$I$89,3,0)*0.475*44/12</f>
        <v>3.6091472786305845</v>
      </c>
      <c r="DH150" s="21">
        <f>EXP(-LN(2)/2)*DH149+(1-EXP(-LN(2)/2))/(LN(2)/2)*DB150*DE150*VLOOKUP('Données projet'!$B$13,Paramètres!$A$1:$I$89,3,0)*0.475*44/12</f>
        <v>1.0502222951885434E-13</v>
      </c>
      <c r="DI150" s="22">
        <f t="shared" si="123"/>
        <v>25.268499337505958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167.82976403567059</v>
      </c>
      <c r="T151" s="59">
        <f t="shared" si="142"/>
        <v>232.70925470547317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12.803860333722131</v>
      </c>
      <c r="AA151" s="21">
        <f>EXP(-LN(2)/25)*AA150+(1-EXP(-LN(2)/25))/(LN(2)/25)*Calculateur!V151*Calculateur!X151*VLOOKUP('Données projet'!$B$9,Paramètres!$A$1:$I$89,3,0)*0.475*44/12</f>
        <v>3.0773195435278908</v>
      </c>
      <c r="AB151" s="21">
        <f>EXP(-LN(2)/2)*AB150+(1-EXP(-LN(2)/2))/(LN(2)/2)*V151*Y151*VLOOKUP('Données projet'!$B$9,Paramètres!$A$1:$I$89,3,0)*0.475*44/12</f>
        <v>1.6392196578815636E-12</v>
      </c>
      <c r="AC151" s="22">
        <f t="shared" si="111"/>
        <v>15.881179877251661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5.7639226724859328E-14</v>
      </c>
      <c r="AK151" s="13">
        <f t="shared" si="143"/>
        <v>9.2325701996134334E-13</v>
      </c>
      <c r="AL151" s="20">
        <f t="shared" si="112"/>
        <v>1.708394296311803E-12</v>
      </c>
      <c r="AM151" s="59">
        <f t="shared" si="113"/>
        <v>286.4564963255134</v>
      </c>
      <c r="AN151" s="59">
        <f ca="1">AVERAGE(OFFSET($AM$3,0,0,'Données projet'!$E$10+1,1))-AVERAGE(OFFSET($H$3,0,0,'Données projet'!$E$10+1,1))</f>
        <v>542.51810435067659</v>
      </c>
      <c r="AO151" s="59">
        <f t="shared" si="144"/>
        <v>325.7263575945085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120.32211690942367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120.32211690942367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5.1431925385259088E-14</v>
      </c>
      <c r="BF151" s="13">
        <f t="shared" si="145"/>
        <v>8.3482866290946129E-13</v>
      </c>
      <c r="BG151" s="20">
        <f t="shared" si="115"/>
        <v>1.5435705246133045E-12</v>
      </c>
      <c r="BH151" s="59">
        <f t="shared" si="116"/>
        <v>286.45649632551323</v>
      </c>
      <c r="BI151" s="59">
        <f ca="1">AVERAGE(OFFSET($BH$3,0,0,'Données projet'!$E$11+1,1))-AVERAGE(OFFSET($H$3,0,0,'Données projet'!$E$11+1,1))</f>
        <v>492.39485179035256</v>
      </c>
      <c r="BJ151" s="59">
        <f t="shared" si="146"/>
        <v>297.32483725004124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107.36435047302419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107.36435047302419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-5.4092197387944907E-14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260.51631161522039</v>
      </c>
      <c r="CE151" s="59">
        <f t="shared" si="148"/>
        <v>171.3469666102674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22.633436334592538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22.633436334592538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3.3992364478763198E-14</v>
      </c>
      <c r="CV151" s="13">
        <f t="shared" si="149"/>
        <v>5.790027782444094E-13</v>
      </c>
      <c r="CW151" s="20">
        <f t="shared" si="121"/>
        <v>1.0676332069095257E-12</v>
      </c>
      <c r="CX151" s="59">
        <f t="shared" si="122"/>
        <v>286.45649632551277</v>
      </c>
      <c r="CY151" s="59">
        <f ca="1">AVERAGE(OFFSET($CX$3,0,0,'Données projet'!$E$13+1,1))-AVERAGE(OFFSET($H$3,0,0,'Données projet'!$E$13+1,1))</f>
        <v>301.2688576786212</v>
      </c>
      <c r="CZ151" s="59">
        <f t="shared" si="150"/>
        <v>417.62172165132927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21.234625375901011</v>
      </c>
      <c r="DG151" s="21">
        <f>EXP(-LN(2)/25)*DG150+(1-EXP(-LN(2)/25))/(LN(2)/25)*Calculateur!DB151*Calculateur!DD151*VLOOKUP('Données projet'!$B$13,Paramètres!$A$1:$I$89,3,0)*0.475*44/12</f>
        <v>3.5104549564996246</v>
      </c>
      <c r="DH151" s="21">
        <f>EXP(-LN(2)/2)*DH150+(1-EXP(-LN(2)/2))/(LN(2)/2)*DB151*DE151*VLOOKUP('Données projet'!$B$13,Paramètres!$A$1:$I$89,3,0)*0.475*44/12</f>
        <v>7.4261930668111907E-14</v>
      </c>
      <c r="DI151" s="22">
        <f t="shared" si="123"/>
        <v>24.745080332400711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167.82976403567059</v>
      </c>
      <c r="T152" s="59">
        <f t="shared" si="142"/>
        <v>232.70925470547317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12.552784442161512</v>
      </c>
      <c r="AA152" s="21">
        <f>EXP(-LN(2)/25)*AA151+(1-EXP(-LN(2)/25))/(LN(2)/25)*Calculateur!V152*Calculateur!X152*VLOOKUP('Données projet'!$B$9,Paramètres!$A$1:$I$89,3,0)*0.475*44/12</f>
        <v>2.9931700787809192</v>
      </c>
      <c r="AB152" s="21">
        <f>EXP(-LN(2)/2)*AB151+(1-EXP(-LN(2)/2))/(LN(2)/2)*V152*Y152*VLOOKUP('Données projet'!$B$9,Paramètres!$A$1:$I$89,3,0)*0.475*44/12</f>
        <v>1.1591033359423461E-12</v>
      </c>
      <c r="AC152" s="22">
        <f t="shared" si="111"/>
        <v>15.545954520943591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5.7639226724859328E-14</v>
      </c>
      <c r="AK152" s="13">
        <f t="shared" si="143"/>
        <v>9.2325701996134334E-13</v>
      </c>
      <c r="AL152" s="20">
        <f t="shared" si="112"/>
        <v>1.708394296311803E-12</v>
      </c>
      <c r="AM152" s="59">
        <f t="shared" si="113"/>
        <v>286.57579407329479</v>
      </c>
      <c r="AN152" s="59">
        <f ca="1">AVERAGE(OFFSET($AM$3,0,0,'Données projet'!$E$10+1,1))-AVERAGE(OFFSET($H$3,0,0,'Données projet'!$E$10+1,1))</f>
        <v>542.51810435067659</v>
      </c>
      <c r="AO152" s="59">
        <f t="shared" si="144"/>
        <v>325.7263575945085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117.9626735860746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117.9626735860746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5.1431925385259088E-14</v>
      </c>
      <c r="BF152" s="13">
        <f t="shared" si="145"/>
        <v>8.3482866290946129E-13</v>
      </c>
      <c r="BG152" s="20">
        <f t="shared" si="115"/>
        <v>1.5435705246133045E-12</v>
      </c>
      <c r="BH152" s="59">
        <f t="shared" si="116"/>
        <v>286.57579407329462</v>
      </c>
      <c r="BI152" s="59">
        <f ca="1">AVERAGE(OFFSET($BH$3,0,0,'Données projet'!$E$11+1,1))-AVERAGE(OFFSET($H$3,0,0,'Données projet'!$E$11+1,1))</f>
        <v>492.39485179035256</v>
      </c>
      <c r="BJ152" s="59">
        <f t="shared" si="146"/>
        <v>297.32483725004124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105.25900104603579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105.25900104603579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-5.4092197387944907E-14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260.51631161522039</v>
      </c>
      <c r="CE152" s="59">
        <f t="shared" si="148"/>
        <v>171.3469666102674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22.18960845310421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22.18960845310421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3.3992364478763198E-14</v>
      </c>
      <c r="CV152" s="13">
        <f t="shared" si="149"/>
        <v>5.790027782444094E-13</v>
      </c>
      <c r="CW152" s="20">
        <f t="shared" si="121"/>
        <v>1.0676332069095257E-12</v>
      </c>
      <c r="CX152" s="59">
        <f t="shared" si="122"/>
        <v>286.57579407329416</v>
      </c>
      <c r="CY152" s="59">
        <f ca="1">AVERAGE(OFFSET($CX$3,0,0,'Données projet'!$E$13+1,1))-AVERAGE(OFFSET($H$3,0,0,'Données projet'!$E$13+1,1))</f>
        <v>301.2688576786212</v>
      </c>
      <c r="CZ152" s="59">
        <f t="shared" si="150"/>
        <v>417.62172165132927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20.818227324122184</v>
      </c>
      <c r="DG152" s="21">
        <f>EXP(-LN(2)/25)*DG151+(1-EXP(-LN(2)/25))/(LN(2)/25)*Calculateur!DB152*Calculateur!DD152*VLOOKUP('Données projet'!$B$13,Paramètres!$A$1:$I$89,3,0)*0.475*44/12</f>
        <v>3.4144613811073397</v>
      </c>
      <c r="DH152" s="21">
        <f>EXP(-LN(2)/2)*DH151+(1-EXP(-LN(2)/2))/(LN(2)/2)*DB152*DE152*VLOOKUP('Données projet'!$B$13,Paramètres!$A$1:$I$89,3,0)*0.475*44/12</f>
        <v>5.251111475942717E-14</v>
      </c>
      <c r="DI152" s="22">
        <f t="shared" si="123"/>
        <v>24.232688705229577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167.82976403567059</v>
      </c>
      <c r="T153" s="59">
        <f t="shared" si="142"/>
        <v>232.70925470547317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12.306631995693223</v>
      </c>
      <c r="AA153" s="21">
        <f>EXP(-LN(2)/25)*AA152+(1-EXP(-LN(2)/25))/(LN(2)/25)*Calculateur!V153*Calculateur!X153*VLOOKUP('Données projet'!$B$9,Paramètres!$A$1:$I$89,3,0)*0.475*44/12</f>
        <v>2.9113216855726813</v>
      </c>
      <c r="AB153" s="21">
        <f>EXP(-LN(2)/2)*AB152+(1-EXP(-LN(2)/2))/(LN(2)/2)*V153*Y153*VLOOKUP('Données projet'!$B$9,Paramètres!$A$1:$I$89,3,0)*0.475*44/12</f>
        <v>8.1960982894078182E-13</v>
      </c>
      <c r="AC153" s="22">
        <f t="shared" si="111"/>
        <v>15.217953681266723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5.7639226724859328E-14</v>
      </c>
      <c r="AK153" s="13">
        <f t="shared" si="143"/>
        <v>9.2325701996134334E-13</v>
      </c>
      <c r="AL153" s="20">
        <f t="shared" si="112"/>
        <v>1.708394296311803E-12</v>
      </c>
      <c r="AM153" s="59">
        <f t="shared" si="113"/>
        <v>286.69302227186205</v>
      </c>
      <c r="AN153" s="59">
        <f ca="1">AVERAGE(OFFSET($AM$3,0,0,'Données projet'!$E$10+1,1))-AVERAGE(OFFSET($H$3,0,0,'Données projet'!$E$10+1,1))</f>
        <v>542.51810435067659</v>
      </c>
      <c r="AO153" s="59">
        <f t="shared" si="144"/>
        <v>325.7263575945085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115.64949750717808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115.64949750717808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5.1431925385259088E-14</v>
      </c>
      <c r="BF153" s="13">
        <f t="shared" si="145"/>
        <v>8.3482866290946129E-13</v>
      </c>
      <c r="BG153" s="20">
        <f t="shared" si="115"/>
        <v>1.5435705246133045E-12</v>
      </c>
      <c r="BH153" s="59">
        <f t="shared" si="116"/>
        <v>286.69302227186188</v>
      </c>
      <c r="BI153" s="59">
        <f ca="1">AVERAGE(OFFSET($BH$3,0,0,'Données projet'!$E$11+1,1))-AVERAGE(OFFSET($H$3,0,0,'Données projet'!$E$11+1,1))</f>
        <v>492.39485179035256</v>
      </c>
      <c r="BJ153" s="59">
        <f t="shared" si="146"/>
        <v>297.32483725004124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103.19493623717428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103.19493623717428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-5.4092197387944907E-14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260.51631161522039</v>
      </c>
      <c r="CE153" s="59">
        <f t="shared" si="148"/>
        <v>171.3469666102674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21.75448376566359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21.75448376566359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3.3992364478763198E-14</v>
      </c>
      <c r="CV153" s="13">
        <f t="shared" si="149"/>
        <v>5.790027782444094E-13</v>
      </c>
      <c r="CW153" s="20">
        <f t="shared" si="121"/>
        <v>1.0676332069095257E-12</v>
      </c>
      <c r="CX153" s="59">
        <f t="shared" si="122"/>
        <v>286.69302227186142</v>
      </c>
      <c r="CY153" s="59">
        <f ca="1">AVERAGE(OFFSET($CX$3,0,0,'Données projet'!$E$13+1,1))-AVERAGE(OFFSET($H$3,0,0,'Données projet'!$E$13+1,1))</f>
        <v>301.2688576786212</v>
      </c>
      <c r="CZ153" s="59">
        <f t="shared" si="150"/>
        <v>417.62172165132927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20.409994584161005</v>
      </c>
      <c r="DG153" s="21">
        <f>EXP(-LN(2)/25)*DG152+(1-EXP(-LN(2)/25))/(LN(2)/25)*Calculateur!DB153*Calculateur!DD153*VLOOKUP('Données projet'!$B$13,Paramètres!$A$1:$I$89,3,0)*0.475*44/12</f>
        <v>3.3210927550822391</v>
      </c>
      <c r="DH153" s="21">
        <f>EXP(-LN(2)/2)*DH152+(1-EXP(-LN(2)/2))/(LN(2)/2)*DB153*DE153*VLOOKUP('Données projet'!$B$13,Paramètres!$A$1:$I$89,3,0)*0.475*44/12</f>
        <v>3.7130965334055954E-14</v>
      </c>
      <c r="DI153" s="22">
        <f t="shared" si="123"/>
        <v>23.731087339243281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167.82976403567059</v>
      </c>
      <c r="T154" s="59">
        <f t="shared" si="142"/>
        <v>232.70925470547317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12.06530644856201</v>
      </c>
      <c r="AA154" s="21">
        <f>EXP(-LN(2)/25)*AA153+(1-EXP(-LN(2)/25))/(LN(2)/25)*Calculateur!V154*Calculateur!X154*VLOOKUP('Données projet'!$B$9,Paramètres!$A$1:$I$89,3,0)*0.475*44/12</f>
        <v>2.8317114409809427</v>
      </c>
      <c r="AB154" s="21">
        <f>EXP(-LN(2)/2)*AB153+(1-EXP(-LN(2)/2))/(LN(2)/2)*V154*Y154*VLOOKUP('Données projet'!$B$9,Paramètres!$A$1:$I$89,3,0)*0.475*44/12</f>
        <v>5.7955166797117305E-13</v>
      </c>
      <c r="AC154" s="22">
        <f t="shared" ref="AC154:AC203" si="163">SUM(Z154:AB154)</f>
        <v>14.897017889543532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5.7639226724859328E-14</v>
      </c>
      <c r="AK154" s="13">
        <f t="shared" ref="AK154:AK203" si="164">EXP(-1.0587+0.8836*LN(AJ154)+0.284)</f>
        <v>9.2325701996134334E-13</v>
      </c>
      <c r="AL154" s="20">
        <f t="shared" ref="AL154:AL203" si="165">(AJ154+AK154)*0.475*44/12</f>
        <v>1.708394296311803E-12</v>
      </c>
      <c r="AM154" s="59">
        <f t="shared" si="113"/>
        <v>286.80821682326706</v>
      </c>
      <c r="AN154" s="59">
        <f ca="1">AVERAGE(OFFSET($AM$3,0,0,'Données projet'!$E$10+1,1))-AVERAGE(OFFSET($H$3,0,0,'Données projet'!$E$10+1,1))</f>
        <v>542.51810435067659</v>
      </c>
      <c r="AO154" s="59">
        <f t="shared" si="144"/>
        <v>325.7263575945085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113.38168140029063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113.38168140029063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5.1431925385259088E-14</v>
      </c>
      <c r="BF154" s="13">
        <f t="shared" ref="BF154:BF203" si="167">EXP(-1.0587+0.8836*LN(BE154)+0.284)</f>
        <v>8.3482866290946129E-13</v>
      </c>
      <c r="BG154" s="20">
        <f t="shared" ref="BG154:BG203" si="168">(BE154+BF154)*0.475*44/12</f>
        <v>1.5435705246133045E-12</v>
      </c>
      <c r="BH154" s="59">
        <f t="shared" si="116"/>
        <v>286.80821682326689</v>
      </c>
      <c r="BI154" s="59">
        <f ca="1">AVERAGE(OFFSET($BH$3,0,0,'Données projet'!$E$11+1,1))-AVERAGE(OFFSET($H$3,0,0,'Données projet'!$E$11+1,1))</f>
        <v>492.39485179035256</v>
      </c>
      <c r="BJ154" s="59">
        <f t="shared" si="146"/>
        <v>297.32483725004124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101.17134648025932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101.17134648025932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-5.4092197387944907E-14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260.51631161522039</v>
      </c>
      <c r="CE154" s="59">
        <f t="shared" si="148"/>
        <v>171.3469666102674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21.327891607943826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21.327891607943826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3.3992364478763198E-14</v>
      </c>
      <c r="CV154" s="13">
        <f t="shared" ref="CV154:CV203" si="173">EXP(-1.0587+0.8836*LN(CU154)+0.284)</f>
        <v>5.790027782444094E-13</v>
      </c>
      <c r="CW154" s="20">
        <f t="shared" ref="CW154:CW203" si="174">(CU154+CV154)*0.475*44/12</f>
        <v>1.0676332069095257E-12</v>
      </c>
      <c r="CX154" s="59">
        <f t="shared" si="122"/>
        <v>286.80821682326643</v>
      </c>
      <c r="CY154" s="59">
        <f ca="1">AVERAGE(OFFSET($CX$3,0,0,'Données projet'!$E$13+1,1))-AVERAGE(OFFSET($H$3,0,0,'Données projet'!$E$13+1,1))</f>
        <v>301.2688576786212</v>
      </c>
      <c r="CZ154" s="59">
        <f t="shared" si="150"/>
        <v>417.62172165132927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20.009767039233079</v>
      </c>
      <c r="DG154" s="21">
        <f>EXP(-LN(2)/25)*DG153+(1-EXP(-LN(2)/25))/(LN(2)/25)*Calculateur!DB154*Calculateur!DD154*VLOOKUP('Données projet'!$B$13,Paramètres!$A$1:$I$89,3,0)*0.475*44/12</f>
        <v>3.2302772990458379</v>
      </c>
      <c r="DH154" s="21">
        <f>EXP(-LN(2)/2)*DH153+(1-EXP(-LN(2)/2))/(LN(2)/2)*DB154*DE154*VLOOKUP('Données projet'!$B$13,Paramètres!$A$1:$I$89,3,0)*0.475*44/12</f>
        <v>2.6255557379713585E-14</v>
      </c>
      <c r="DI154" s="22">
        <f t="shared" ref="DI154:DI203" si="175">SUM(DF154:DH154)</f>
        <v>23.240044338278942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167.82976403567059</v>
      </c>
      <c r="T155" s="59">
        <f t="shared" si="142"/>
        <v>232.70925470547317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11.828713148215991</v>
      </c>
      <c r="AA155" s="21">
        <f>EXP(-LN(2)/25)*AA154+(1-EXP(-LN(2)/25))/(LN(2)/25)*Calculateur!V155*Calculateur!X155*VLOOKUP('Données projet'!$B$9,Paramètres!$A$1:$I$89,3,0)*0.475*44/12</f>
        <v>2.7542781427140861</v>
      </c>
      <c r="AB155" s="21">
        <f>EXP(-LN(2)/2)*AB154+(1-EXP(-LN(2)/2))/(LN(2)/2)*V155*Y155*VLOOKUP('Données projet'!$B$9,Paramètres!$A$1:$I$89,3,0)*0.475*44/12</f>
        <v>4.0980491447039091E-13</v>
      </c>
      <c r="AC155" s="22">
        <f t="shared" si="163"/>
        <v>14.582991290930488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5.7639226724859328E-14</v>
      </c>
      <c r="AK155" s="13">
        <f t="shared" si="164"/>
        <v>9.2325701996134334E-13</v>
      </c>
      <c r="AL155" s="20">
        <f t="shared" si="165"/>
        <v>1.708394296311803E-12</v>
      </c>
      <c r="AM155" s="59">
        <f t="shared" si="113"/>
        <v>286.9214130067416</v>
      </c>
      <c r="AN155" s="59">
        <f ca="1">AVERAGE(OFFSET($AM$3,0,0,'Données projet'!$E$10+1,1))-AVERAGE(OFFSET($H$3,0,0,'Données projet'!$E$10+1,1))</f>
        <v>542.51810435067659</v>
      </c>
      <c r="AO155" s="59">
        <f t="shared" si="144"/>
        <v>325.7263575945085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111.158335784028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111.158335784028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5.1431925385259088E-14</v>
      </c>
      <c r="BF155" s="13">
        <f t="shared" si="167"/>
        <v>8.3482866290946129E-13</v>
      </c>
      <c r="BG155" s="20">
        <f t="shared" si="168"/>
        <v>1.5435705246133045E-12</v>
      </c>
      <c r="BH155" s="59">
        <f t="shared" si="116"/>
        <v>286.92141300674143</v>
      </c>
      <c r="BI155" s="59">
        <f ca="1">AVERAGE(OFFSET($BH$3,0,0,'Données projet'!$E$11+1,1))-AVERAGE(OFFSET($H$3,0,0,'Données projet'!$E$11+1,1))</f>
        <v>492.39485179035256</v>
      </c>
      <c r="BJ155" s="59">
        <f t="shared" si="146"/>
        <v>297.32483725004124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99.187438084209589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99.187438084209589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-5.4092197387944907E-14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260.51631161522039</v>
      </c>
      <c r="CE155" s="59">
        <f t="shared" si="148"/>
        <v>171.3469666102674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20.909664662241422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20.909664662241422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3.3992364478763198E-14</v>
      </c>
      <c r="CV155" s="13">
        <f t="shared" si="173"/>
        <v>5.790027782444094E-13</v>
      </c>
      <c r="CW155" s="20">
        <f t="shared" si="174"/>
        <v>1.0676332069095257E-12</v>
      </c>
      <c r="CX155" s="59">
        <f t="shared" si="122"/>
        <v>286.92141300674098</v>
      </c>
      <c r="CY155" s="59">
        <f ca="1">AVERAGE(OFFSET($CX$3,0,0,'Données projet'!$E$13+1,1))-AVERAGE(OFFSET($H$3,0,0,'Données projet'!$E$13+1,1))</f>
        <v>301.2688576786212</v>
      </c>
      <c r="CZ155" s="59">
        <f t="shared" si="150"/>
        <v>417.62172165132927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19.617387712346492</v>
      </c>
      <c r="DG155" s="21">
        <f>EXP(-LN(2)/25)*DG154+(1-EXP(-LN(2)/25))/(LN(2)/25)*Calculateur!DB155*Calculateur!DD155*VLOOKUP('Données projet'!$B$13,Paramètres!$A$1:$I$89,3,0)*0.475*44/12</f>
        <v>3.1419451964305294</v>
      </c>
      <c r="DH155" s="21">
        <f>EXP(-LN(2)/2)*DH154+(1-EXP(-LN(2)/2))/(LN(2)/2)*DB155*DE155*VLOOKUP('Données projet'!$B$13,Paramètres!$A$1:$I$89,3,0)*0.475*44/12</f>
        <v>1.8565482667027977E-14</v>
      </c>
      <c r="DI155" s="22">
        <f t="shared" si="175"/>
        <v>22.75933290877704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167.82976403567059</v>
      </c>
      <c r="T156" s="59">
        <f t="shared" si="142"/>
        <v>232.70925470547317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11.596759298182093</v>
      </c>
      <c r="AA156" s="21">
        <f>EXP(-LN(2)/25)*AA155+(1-EXP(-LN(2)/25))/(LN(2)/25)*Calculateur!V156*Calculateur!X156*VLOOKUP('Données projet'!$B$9,Paramètres!$A$1:$I$89,3,0)*0.475*44/12</f>
        <v>2.6789622620603768</v>
      </c>
      <c r="AB156" s="21">
        <f>EXP(-LN(2)/2)*AB155+(1-EXP(-LN(2)/2))/(LN(2)/2)*V156*Y156*VLOOKUP('Données projet'!$B$9,Paramètres!$A$1:$I$89,3,0)*0.475*44/12</f>
        <v>2.8977583398558652E-13</v>
      </c>
      <c r="AC156" s="22">
        <f t="shared" si="163"/>
        <v>14.27572156024276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5.7639226724859328E-14</v>
      </c>
      <c r="AK156" s="13">
        <f t="shared" si="164"/>
        <v>9.2325701996134334E-13</v>
      </c>
      <c r="AL156" s="20">
        <f t="shared" si="165"/>
        <v>1.708394296311803E-12</v>
      </c>
      <c r="AM156" s="59">
        <f t="shared" si="113"/>
        <v>287.0326454895017</v>
      </c>
      <c r="AN156" s="59">
        <f ca="1">AVERAGE(OFFSET($AM$3,0,0,'Données projet'!$E$10+1,1))-AVERAGE(OFFSET($H$3,0,0,'Données projet'!$E$10+1,1))</f>
        <v>542.51810435067659</v>
      </c>
      <c r="AO156" s="59">
        <f t="shared" si="144"/>
        <v>325.7263575945085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108.97858861919336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108.97858861919336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5.1431925385259088E-14</v>
      </c>
      <c r="BF156" s="13">
        <f t="shared" si="167"/>
        <v>8.3482866290946129E-13</v>
      </c>
      <c r="BG156" s="20">
        <f t="shared" si="168"/>
        <v>1.5435705246133045E-12</v>
      </c>
      <c r="BH156" s="59">
        <f t="shared" si="116"/>
        <v>287.03264548950153</v>
      </c>
      <c r="BI156" s="59">
        <f ca="1">AVERAGE(OFFSET($BH$3,0,0,'Données projet'!$E$11+1,1))-AVERAGE(OFFSET($H$3,0,0,'Données projet'!$E$11+1,1))</f>
        <v>492.39485179035256</v>
      </c>
      <c r="BJ156" s="59">
        <f t="shared" si="146"/>
        <v>297.32483725004124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97.242432921741752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97.242432921741752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-5.4092197387944907E-14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260.51631161522039</v>
      </c>
      <c r="CE156" s="59">
        <f t="shared" si="148"/>
        <v>171.3469666102674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20.499638891850996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20.499638891850996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3.3992364478763198E-14</v>
      </c>
      <c r="CV156" s="13">
        <f t="shared" si="173"/>
        <v>5.790027782444094E-13</v>
      </c>
      <c r="CW156" s="20">
        <f t="shared" si="174"/>
        <v>1.0676332069095257E-12</v>
      </c>
      <c r="CX156" s="59">
        <f t="shared" si="122"/>
        <v>287.03264548950108</v>
      </c>
      <c r="CY156" s="59">
        <f ca="1">AVERAGE(OFFSET($CX$3,0,0,'Données projet'!$E$13+1,1))-AVERAGE(OFFSET($H$3,0,0,'Données projet'!$E$13+1,1))</f>
        <v>301.2688576786212</v>
      </c>
      <c r="CZ156" s="59">
        <f t="shared" si="150"/>
        <v>417.62172165132927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19.232702704732393</v>
      </c>
      <c r="DG156" s="21">
        <f>EXP(-LN(2)/25)*DG155+(1-EXP(-LN(2)/25))/(LN(2)/25)*Calculateur!DB156*Calculateur!DD156*VLOOKUP('Données projet'!$B$13,Paramètres!$A$1:$I$89,3,0)*0.475*44/12</f>
        <v>3.0560285398064195</v>
      </c>
      <c r="DH156" s="21">
        <f>EXP(-LN(2)/2)*DH155+(1-EXP(-LN(2)/2))/(LN(2)/2)*DB156*DE156*VLOOKUP('Données projet'!$B$13,Paramètres!$A$1:$I$89,3,0)*0.475*44/12</f>
        <v>1.3127778689856792E-14</v>
      </c>
      <c r="DI156" s="22">
        <f t="shared" si="175"/>
        <v>22.288731244538827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167.82976403567059</v>
      </c>
      <c r="T157" s="59">
        <f t="shared" si="142"/>
        <v>232.70925470547317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11.369353921669481</v>
      </c>
      <c r="AA157" s="21">
        <f>EXP(-LN(2)/25)*AA156+(1-EXP(-LN(2)/25))/(LN(2)/25)*Calculateur!V157*Calculateur!X157*VLOOKUP('Données projet'!$B$9,Paramètres!$A$1:$I$89,3,0)*0.475*44/12</f>
        <v>2.6057058981238335</v>
      </c>
      <c r="AB157" s="21">
        <f>EXP(-LN(2)/2)*AB156+(1-EXP(-LN(2)/2))/(LN(2)/2)*V157*Y157*VLOOKUP('Données projet'!$B$9,Paramètres!$A$1:$I$89,3,0)*0.475*44/12</f>
        <v>2.0490245723519545E-13</v>
      </c>
      <c r="AC157" s="22">
        <f t="shared" si="163"/>
        <v>13.975059819793518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5.7639226724859328E-14</v>
      </c>
      <c r="AK157" s="13">
        <f t="shared" si="164"/>
        <v>9.2325701996134334E-13</v>
      </c>
      <c r="AL157" s="20">
        <f t="shared" si="165"/>
        <v>1.708394296311803E-12</v>
      </c>
      <c r="AM157" s="59">
        <f t="shared" si="113"/>
        <v>287.14194833736445</v>
      </c>
      <c r="AN157" s="59">
        <f ca="1">AVERAGE(OFFSET($AM$3,0,0,'Données projet'!$E$10+1,1))-AVERAGE(OFFSET($H$3,0,0,'Données projet'!$E$10+1,1))</f>
        <v>542.51810435067659</v>
      </c>
      <c r="AO157" s="59">
        <f t="shared" si="144"/>
        <v>325.7263575945085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106.84158496674664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106.84158496674664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5.1431925385259088E-14</v>
      </c>
      <c r="BF157" s="13">
        <f t="shared" si="167"/>
        <v>8.3482866290946129E-13</v>
      </c>
      <c r="BG157" s="20">
        <f t="shared" si="168"/>
        <v>1.5435705246133045E-12</v>
      </c>
      <c r="BH157" s="59">
        <f t="shared" si="116"/>
        <v>287.14194833736428</v>
      </c>
      <c r="BI157" s="59">
        <f ca="1">AVERAGE(OFFSET($BH$3,0,0,'Données projet'!$E$11+1,1))-AVERAGE(OFFSET($H$3,0,0,'Données projet'!$E$11+1,1))</f>
        <v>492.39485179035256</v>
      </c>
      <c r="BJ157" s="59">
        <f t="shared" si="146"/>
        <v>297.32483725004124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95.335568124173903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95.335568124173903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-5.4092197387944907E-14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260.51631161522039</v>
      </c>
      <c r="CE157" s="59">
        <f t="shared" si="148"/>
        <v>171.3469666102674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20.097653476726901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20.097653476726901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3.3992364478763198E-14</v>
      </c>
      <c r="CV157" s="13">
        <f t="shared" si="173"/>
        <v>5.790027782444094E-13</v>
      </c>
      <c r="CW157" s="20">
        <f t="shared" si="174"/>
        <v>1.0676332069095257E-12</v>
      </c>
      <c r="CX157" s="59">
        <f t="shared" si="122"/>
        <v>287.14194833736383</v>
      </c>
      <c r="CY157" s="59">
        <f ca="1">AVERAGE(OFFSET($CX$3,0,0,'Données projet'!$E$13+1,1))-AVERAGE(OFFSET($H$3,0,0,'Données projet'!$E$13+1,1))</f>
        <v>301.2688576786212</v>
      </c>
      <c r="CZ157" s="59">
        <f t="shared" si="150"/>
        <v>417.62172165132927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18.855561135482922</v>
      </c>
      <c r="DG157" s="21">
        <f>EXP(-LN(2)/25)*DG156+(1-EXP(-LN(2)/25))/(LN(2)/25)*Calculateur!DB157*Calculateur!DD157*VLOOKUP('Données projet'!$B$13,Paramètres!$A$1:$I$89,3,0)*0.475*44/12</f>
        <v>2.9724612786758566</v>
      </c>
      <c r="DH157" s="21">
        <f>EXP(-LN(2)/2)*DH156+(1-EXP(-LN(2)/2))/(LN(2)/2)*DB157*DE157*VLOOKUP('Données projet'!$B$13,Paramètres!$A$1:$I$89,3,0)*0.475*44/12</f>
        <v>9.2827413335139884E-15</v>
      </c>
      <c r="DI157" s="22">
        <f t="shared" si="175"/>
        <v>21.828022414158792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167.82976403567059</v>
      </c>
      <c r="T158" s="59">
        <f t="shared" si="142"/>
        <v>232.70925470547317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11.146407825886698</v>
      </c>
      <c r="AA158" s="21">
        <f>EXP(-LN(2)/25)*AA157+(1-EXP(-LN(2)/25))/(LN(2)/25)*Calculateur!V158*Calculateur!X158*VLOOKUP('Données projet'!$B$9,Paramètres!$A$1:$I$89,3,0)*0.475*44/12</f>
        <v>2.5344527333115194</v>
      </c>
      <c r="AB158" s="21">
        <f>EXP(-LN(2)/2)*AB157+(1-EXP(-LN(2)/2))/(LN(2)/2)*V158*Y158*VLOOKUP('Données projet'!$B$9,Paramètres!$A$1:$I$89,3,0)*0.475*44/12</f>
        <v>1.4488791699279326E-13</v>
      </c>
      <c r="AC158" s="22">
        <f t="shared" si="163"/>
        <v>13.680860559198363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5.7639226724859328E-14</v>
      </c>
      <c r="AK158" s="13">
        <f t="shared" si="164"/>
        <v>9.2325701996134334E-13</v>
      </c>
      <c r="AL158" s="20">
        <f t="shared" si="165"/>
        <v>1.708394296311803E-12</v>
      </c>
      <c r="AM158" s="59">
        <f t="shared" si="113"/>
        <v>287.24935502518139</v>
      </c>
      <c r="AN158" s="59">
        <f ca="1">AVERAGE(OFFSET($AM$3,0,0,'Données projet'!$E$10+1,1))-AVERAGE(OFFSET($H$3,0,0,'Données projet'!$E$10+1,1))</f>
        <v>542.51810435067659</v>
      </c>
      <c r="AO158" s="59">
        <f t="shared" si="144"/>
        <v>325.7263575945085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104.74648665248087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104.74648665248087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5.1431925385259088E-14</v>
      </c>
      <c r="BF158" s="13">
        <f t="shared" si="167"/>
        <v>8.3482866290946129E-13</v>
      </c>
      <c r="BG158" s="20">
        <f t="shared" si="168"/>
        <v>1.5435705246133045E-12</v>
      </c>
      <c r="BH158" s="59">
        <f t="shared" si="116"/>
        <v>287.24935502518122</v>
      </c>
      <c r="BI158" s="59">
        <f ca="1">AVERAGE(OFFSET($BH$3,0,0,'Données projet'!$E$11+1,1))-AVERAGE(OFFSET($H$3,0,0,'Données projet'!$E$11+1,1))</f>
        <v>492.39485179035256</v>
      </c>
      <c r="BJ158" s="59">
        <f t="shared" si="146"/>
        <v>297.32483725004124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93.466095782213671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93.466095782213671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-5.4092197387944907E-14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260.51631161522039</v>
      </c>
      <c r="CE158" s="59">
        <f t="shared" si="148"/>
        <v>171.3469666102674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19.703550750406496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19.703550750406496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3.3992364478763198E-14</v>
      </c>
      <c r="CV158" s="13">
        <f t="shared" si="173"/>
        <v>5.790027782444094E-13</v>
      </c>
      <c r="CW158" s="20">
        <f t="shared" si="174"/>
        <v>1.0676332069095257E-12</v>
      </c>
      <c r="CX158" s="59">
        <f t="shared" si="122"/>
        <v>287.24935502518076</v>
      </c>
      <c r="CY158" s="59">
        <f ca="1">AVERAGE(OFFSET($CX$3,0,0,'Données projet'!$E$13+1,1))-AVERAGE(OFFSET($H$3,0,0,'Données projet'!$E$13+1,1))</f>
        <v>301.2688576786212</v>
      </c>
      <c r="CZ158" s="59">
        <f t="shared" si="150"/>
        <v>417.62172165132927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18.485815082372788</v>
      </c>
      <c r="DG158" s="21">
        <f>EXP(-LN(2)/25)*DG157+(1-EXP(-LN(2)/25))/(LN(2)/25)*Calculateur!DB158*Calculateur!DD158*VLOOKUP('Données projet'!$B$13,Paramètres!$A$1:$I$89,3,0)*0.475*44/12</f>
        <v>2.8911791686955204</v>
      </c>
      <c r="DH158" s="21">
        <f>EXP(-LN(2)/2)*DH157+(1-EXP(-LN(2)/2))/(LN(2)/2)*DB158*DE158*VLOOKUP('Données projet'!$B$13,Paramètres!$A$1:$I$89,3,0)*0.475*44/12</f>
        <v>6.5638893449283962E-15</v>
      </c>
      <c r="DI158" s="22">
        <f t="shared" si="175"/>
        <v>21.376994251068314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167.82976403567059</v>
      </c>
      <c r="T159" s="59">
        <f t="shared" si="142"/>
        <v>232.70925470547317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10.927833567058524</v>
      </c>
      <c r="AA159" s="21">
        <f>EXP(-LN(2)/25)*AA158+(1-EXP(-LN(2)/25))/(LN(2)/25)*Calculateur!V159*Calculateur!X159*VLOOKUP('Données projet'!$B$9,Paramètres!$A$1:$I$89,3,0)*0.475*44/12</f>
        <v>2.4651479900380391</v>
      </c>
      <c r="AB159" s="21">
        <f>EXP(-LN(2)/2)*AB158+(1-EXP(-LN(2)/2))/(LN(2)/2)*V159*Y159*VLOOKUP('Données projet'!$B$9,Paramètres!$A$1:$I$89,3,0)*0.475*44/12</f>
        <v>1.0245122861759773E-13</v>
      </c>
      <c r="AC159" s="22">
        <f t="shared" si="163"/>
        <v>13.392981557096666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5.7639226724859328E-14</v>
      </c>
      <c r="AK159" s="13">
        <f t="shared" si="164"/>
        <v>9.2325701996134334E-13</v>
      </c>
      <c r="AL159" s="20">
        <f t="shared" si="165"/>
        <v>1.708394296311803E-12</v>
      </c>
      <c r="AM159" s="59">
        <f t="shared" si="113"/>
        <v>287.35489844709002</v>
      </c>
      <c r="AN159" s="59">
        <f ca="1">AVERAGE(OFFSET($AM$3,0,0,'Données projet'!$E$10+1,1))-AVERAGE(OFFSET($H$3,0,0,'Données projet'!$E$10+1,1))</f>
        <v>542.51810435067659</v>
      </c>
      <c r="AO159" s="59">
        <f t="shared" si="144"/>
        <v>325.7263575945085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102.69247193827405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102.69247193827405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5.1431925385259088E-14</v>
      </c>
      <c r="BF159" s="13">
        <f t="shared" si="167"/>
        <v>8.3482866290946129E-13</v>
      </c>
      <c r="BG159" s="20">
        <f t="shared" si="168"/>
        <v>1.5435705246133045E-12</v>
      </c>
      <c r="BH159" s="59">
        <f t="shared" si="116"/>
        <v>287.35489844708985</v>
      </c>
      <c r="BI159" s="59">
        <f ca="1">AVERAGE(OFFSET($BH$3,0,0,'Données projet'!$E$11+1,1))-AVERAGE(OFFSET($H$3,0,0,'Données projet'!$E$11+1,1))</f>
        <v>492.39485179035256</v>
      </c>
      <c r="BJ159" s="59">
        <f t="shared" si="146"/>
        <v>297.32483725004124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91.633282652613744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91.633282652613744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-5.4092197387944907E-14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260.51631161522039</v>
      </c>
      <c r="CE159" s="59">
        <f t="shared" si="148"/>
        <v>171.3469666102674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19.317176138170307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19.317176138170307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3.3992364478763198E-14</v>
      </c>
      <c r="CV159" s="13">
        <f t="shared" si="173"/>
        <v>5.790027782444094E-13</v>
      </c>
      <c r="CW159" s="20">
        <f t="shared" si="174"/>
        <v>1.0676332069095257E-12</v>
      </c>
      <c r="CX159" s="59">
        <f t="shared" si="122"/>
        <v>287.3548984470894</v>
      </c>
      <c r="CY159" s="59">
        <f ca="1">AVERAGE(OFFSET($CX$3,0,0,'Données projet'!$E$13+1,1))-AVERAGE(OFFSET($H$3,0,0,'Données projet'!$E$13+1,1))</f>
        <v>301.2688576786212</v>
      </c>
      <c r="CZ159" s="59">
        <f t="shared" si="150"/>
        <v>417.62172165132927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18.123319523841321</v>
      </c>
      <c r="DG159" s="21">
        <f>EXP(-LN(2)/25)*DG158+(1-EXP(-LN(2)/25))/(LN(2)/25)*Calculateur!DB159*Calculateur!DD159*VLOOKUP('Données projet'!$B$13,Paramètres!$A$1:$I$89,3,0)*0.475*44/12</f>
        <v>2.8121197222870369</v>
      </c>
      <c r="DH159" s="21">
        <f>EXP(-LN(2)/2)*DH158+(1-EXP(-LN(2)/2))/(LN(2)/2)*DB159*DE159*VLOOKUP('Données projet'!$B$13,Paramètres!$A$1:$I$89,3,0)*0.475*44/12</f>
        <v>4.6413706667569942E-15</v>
      </c>
      <c r="DI159" s="22">
        <f t="shared" si="175"/>
        <v>20.935439246128361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167.82976403567059</v>
      </c>
      <c r="T160" s="59">
        <f t="shared" si="142"/>
        <v>232.70925470547317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10.713545416128836</v>
      </c>
      <c r="AA160" s="21">
        <f>EXP(-LN(2)/25)*AA159+(1-EXP(-LN(2)/25))/(LN(2)/25)*Calculateur!V160*Calculateur!X160*VLOOKUP('Données projet'!$B$9,Paramètres!$A$1:$I$89,3,0)*0.475*44/12</f>
        <v>2.3977383886139503</v>
      </c>
      <c r="AB160" s="21">
        <f>EXP(-LN(2)/2)*AB159+(1-EXP(-LN(2)/2))/(LN(2)/2)*V160*Y160*VLOOKUP('Données projet'!$B$9,Paramètres!$A$1:$I$89,3,0)*0.475*44/12</f>
        <v>7.2443958496396631E-14</v>
      </c>
      <c r="AC160" s="22">
        <f t="shared" si="163"/>
        <v>13.111283804742859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5.7639226724859328E-14</v>
      </c>
      <c r="AK160" s="13">
        <f t="shared" si="164"/>
        <v>9.2325701996134334E-13</v>
      </c>
      <c r="AL160" s="20">
        <f t="shared" si="165"/>
        <v>1.708394296311803E-12</v>
      </c>
      <c r="AM160" s="59">
        <f t="shared" si="113"/>
        <v>287.45861092658828</v>
      </c>
      <c r="AN160" s="59">
        <f ca="1">AVERAGE(OFFSET($AM$3,0,0,'Données projet'!$E$10+1,1))-AVERAGE(OFFSET($H$3,0,0,'Données projet'!$E$10+1,1))</f>
        <v>542.51810435067659</v>
      </c>
      <c r="AO160" s="59">
        <f t="shared" si="144"/>
        <v>325.7263575945085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100.67873519978757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100.67873519978757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5.1431925385259088E-14</v>
      </c>
      <c r="BF160" s="13">
        <f t="shared" si="167"/>
        <v>8.3482866290946129E-13</v>
      </c>
      <c r="BG160" s="20">
        <f t="shared" si="168"/>
        <v>1.5435705246133045E-12</v>
      </c>
      <c r="BH160" s="59">
        <f t="shared" si="116"/>
        <v>287.45861092658811</v>
      </c>
      <c r="BI160" s="59">
        <f ca="1">AVERAGE(OFFSET($BH$3,0,0,'Données projet'!$E$11+1,1))-AVERAGE(OFFSET($H$3,0,0,'Données projet'!$E$11+1,1))</f>
        <v>492.39485179035256</v>
      </c>
      <c r="BJ160" s="59">
        <f t="shared" si="146"/>
        <v>297.32483725004124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89.836409870579644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89.836409870579644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-5.4092197387944907E-14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260.51631161522039</v>
      </c>
      <c r="CE160" s="59">
        <f t="shared" si="148"/>
        <v>171.3469666102674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18.938378096414827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18.938378096414827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3.3992364478763198E-14</v>
      </c>
      <c r="CV160" s="13">
        <f t="shared" si="173"/>
        <v>5.790027782444094E-13</v>
      </c>
      <c r="CW160" s="20">
        <f t="shared" si="174"/>
        <v>1.0676332069095257E-12</v>
      </c>
      <c r="CX160" s="59">
        <f t="shared" si="122"/>
        <v>287.45861092658765</v>
      </c>
      <c r="CY160" s="59">
        <f ca="1">AVERAGE(OFFSET($CX$3,0,0,'Données projet'!$E$13+1,1))-AVERAGE(OFFSET($H$3,0,0,'Données projet'!$E$13+1,1))</f>
        <v>301.2688576786212</v>
      </c>
      <c r="CZ160" s="59">
        <f t="shared" si="150"/>
        <v>417.62172165132927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17.767932282112199</v>
      </c>
      <c r="DG160" s="21">
        <f>EXP(-LN(2)/25)*DG159+(1-EXP(-LN(2)/25))/(LN(2)/25)*Calculateur!DB160*Calculateur!DD160*VLOOKUP('Données projet'!$B$13,Paramètres!$A$1:$I$89,3,0)*0.475*44/12</f>
        <v>2.7352221605981488</v>
      </c>
      <c r="DH160" s="21">
        <f>EXP(-LN(2)/2)*DH159+(1-EXP(-LN(2)/2))/(LN(2)/2)*DB160*DE160*VLOOKUP('Données projet'!$B$13,Paramètres!$A$1:$I$89,3,0)*0.475*44/12</f>
        <v>3.2819446724641981E-15</v>
      </c>
      <c r="DI160" s="22">
        <f t="shared" si="175"/>
        <v>20.50315444271035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167.82976403567059</v>
      </c>
      <c r="T161" s="59">
        <f t="shared" si="142"/>
        <v>232.70925470547317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10.503459325136014</v>
      </c>
      <c r="AA161" s="21">
        <f>EXP(-LN(2)/25)*AA160+(1-EXP(-LN(2)/25))/(LN(2)/25)*Calculateur!V161*Calculateur!X161*VLOOKUP('Données projet'!$B$9,Paramètres!$A$1:$I$89,3,0)*0.475*44/12</f>
        <v>2.3321721062857201</v>
      </c>
      <c r="AB161" s="21">
        <f>EXP(-LN(2)/2)*AB160+(1-EXP(-LN(2)/2))/(LN(2)/2)*V161*Y161*VLOOKUP('Données projet'!$B$9,Paramètres!$A$1:$I$89,3,0)*0.475*44/12</f>
        <v>5.1225614308798864E-14</v>
      </c>
      <c r="AC161" s="22">
        <f t="shared" si="163"/>
        <v>12.835631431421785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5.7639226724859328E-14</v>
      </c>
      <c r="AK161" s="13">
        <f t="shared" si="164"/>
        <v>9.2325701996134334E-13</v>
      </c>
      <c r="AL161" s="20">
        <f t="shared" si="165"/>
        <v>1.708394296311803E-12</v>
      </c>
      <c r="AM161" s="59">
        <f t="shared" si="113"/>
        <v>287.5605242264337</v>
      </c>
      <c r="AN161" s="59">
        <f ca="1">AVERAGE(OFFSET($AM$3,0,0,'Données projet'!$E$10+1,1))-AVERAGE(OFFSET($H$3,0,0,'Données projet'!$E$10+1,1))</f>
        <v>542.51810435067659</v>
      </c>
      <c r="AO161" s="59">
        <f t="shared" si="144"/>
        <v>325.7263575945085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98.704486610484679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98.704486610484679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5.1431925385259088E-14</v>
      </c>
      <c r="BF161" s="13">
        <f t="shared" si="167"/>
        <v>8.3482866290946129E-13</v>
      </c>
      <c r="BG161" s="20">
        <f t="shared" si="168"/>
        <v>1.5435705246133045E-12</v>
      </c>
      <c r="BH161" s="59">
        <f t="shared" si="116"/>
        <v>287.56052422643353</v>
      </c>
      <c r="BI161" s="59">
        <f ca="1">AVERAGE(OFFSET($BH$3,0,0,'Données projet'!$E$11+1,1))-AVERAGE(OFFSET($H$3,0,0,'Données projet'!$E$11+1,1))</f>
        <v>492.39485179035256</v>
      </c>
      <c r="BJ161" s="59">
        <f t="shared" si="146"/>
        <v>297.32483725004124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88.074772667817058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88.074772667817058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-5.4092197387944907E-14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260.51631161522039</v>
      </c>
      <c r="CE161" s="59">
        <f t="shared" si="148"/>
        <v>171.3469666102674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18.567008053214177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18.567008053214177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3.3992364478763198E-14</v>
      </c>
      <c r="CV161" s="13">
        <f t="shared" si="173"/>
        <v>5.790027782444094E-13</v>
      </c>
      <c r="CW161" s="20">
        <f t="shared" si="174"/>
        <v>1.0676332069095257E-12</v>
      </c>
      <c r="CX161" s="59">
        <f t="shared" si="122"/>
        <v>287.56052422643307</v>
      </c>
      <c r="CY161" s="59">
        <f ca="1">AVERAGE(OFFSET($CX$3,0,0,'Données projet'!$E$13+1,1))-AVERAGE(OFFSET($H$3,0,0,'Données projet'!$E$13+1,1))</f>
        <v>301.2688576786212</v>
      </c>
      <c r="CZ161" s="59">
        <f t="shared" si="150"/>
        <v>417.62172165132927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17.419513967428568</v>
      </c>
      <c r="DG161" s="21">
        <f>EXP(-LN(2)/25)*DG160+(1-EXP(-LN(2)/25))/(LN(2)/25)*Calculateur!DB161*Calculateur!DD161*VLOOKUP('Données projet'!$B$13,Paramètres!$A$1:$I$89,3,0)*0.475*44/12</f>
        <v>2.6604273667775105</v>
      </c>
      <c r="DH161" s="21">
        <f>EXP(-LN(2)/2)*DH160+(1-EXP(-LN(2)/2))/(LN(2)/2)*DB161*DE161*VLOOKUP('Données projet'!$B$13,Paramètres!$A$1:$I$89,3,0)*0.475*44/12</f>
        <v>2.3206853333784971E-15</v>
      </c>
      <c r="DI161" s="22">
        <f t="shared" si="175"/>
        <v>20.079941334206083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167.82976403567059</v>
      </c>
      <c r="T162" s="59">
        <f t="shared" si="142"/>
        <v>232.70925470547317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10.297492894247698</v>
      </c>
      <c r="AA162" s="21">
        <f>EXP(-LN(2)/25)*AA161+(1-EXP(-LN(2)/25))/(LN(2)/25)*Calculateur!V162*Calculateur!X162*VLOOKUP('Données projet'!$B$9,Paramètres!$A$1:$I$89,3,0)*0.475*44/12</f>
        <v>2.2683987373957364</v>
      </c>
      <c r="AB162" s="21">
        <f>EXP(-LN(2)/2)*AB161+(1-EXP(-LN(2)/2))/(LN(2)/2)*V162*Y162*VLOOKUP('Données projet'!$B$9,Paramètres!$A$1:$I$89,3,0)*0.475*44/12</f>
        <v>3.6221979248198315E-14</v>
      </c>
      <c r="AC162" s="22">
        <f t="shared" si="163"/>
        <v>12.565891631643471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5.7639226724859328E-14</v>
      </c>
      <c r="AK162" s="13">
        <f t="shared" si="164"/>
        <v>9.2325701996134334E-13</v>
      </c>
      <c r="AL162" s="20">
        <f t="shared" si="165"/>
        <v>1.708394296311803E-12</v>
      </c>
      <c r="AM162" s="59">
        <f t="shared" si="113"/>
        <v>287.66066955837067</v>
      </c>
      <c r="AN162" s="59">
        <f ca="1">AVERAGE(OFFSET($AM$3,0,0,'Données projet'!$E$10+1,1))-AVERAGE(OFFSET($H$3,0,0,'Données projet'!$E$10+1,1))</f>
        <v>542.51810435067659</v>
      </c>
      <c r="AO162" s="59">
        <f t="shared" si="144"/>
        <v>325.7263575945085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96.768951831845271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96.768951831845271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5.1431925385259088E-14</v>
      </c>
      <c r="BF162" s="13">
        <f t="shared" si="167"/>
        <v>8.3482866290946129E-13</v>
      </c>
      <c r="BG162" s="20">
        <f t="shared" si="168"/>
        <v>1.5435705246133045E-12</v>
      </c>
      <c r="BH162" s="59">
        <f t="shared" si="116"/>
        <v>287.6606695583705</v>
      </c>
      <c r="BI162" s="59">
        <f ca="1">AVERAGE(OFFSET($BH$3,0,0,'Données projet'!$E$11+1,1))-AVERAGE(OFFSET($H$3,0,0,'Données projet'!$E$11+1,1))</f>
        <v>492.39485179035256</v>
      </c>
      <c r="BJ162" s="59">
        <f t="shared" si="146"/>
        <v>297.32483725004124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86.34768009610805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86.34768009610805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-5.4092197387944907E-14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260.51631161522039</v>
      </c>
      <c r="CE162" s="59">
        <f t="shared" si="148"/>
        <v>171.3469666102674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18.202920350047332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18.202920350047332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3.3992364478763198E-14</v>
      </c>
      <c r="CV162" s="13">
        <f t="shared" si="173"/>
        <v>5.790027782444094E-13</v>
      </c>
      <c r="CW162" s="20">
        <f t="shared" si="174"/>
        <v>1.0676332069095257E-12</v>
      </c>
      <c r="CX162" s="59">
        <f t="shared" si="122"/>
        <v>287.66066955837005</v>
      </c>
      <c r="CY162" s="59">
        <f ca="1">AVERAGE(OFFSET($CX$3,0,0,'Données projet'!$E$13+1,1))-AVERAGE(OFFSET($H$3,0,0,'Données projet'!$E$13+1,1))</f>
        <v>301.2688576786212</v>
      </c>
      <c r="CZ162" s="59">
        <f t="shared" si="150"/>
        <v>417.62172165132927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17.077927923381697</v>
      </c>
      <c r="DG162" s="21">
        <f>EXP(-LN(2)/25)*DG161+(1-EXP(-LN(2)/25))/(LN(2)/25)*Calculateur!DB162*Calculateur!DD162*VLOOKUP('Données projet'!$B$13,Paramètres!$A$1:$I$89,3,0)*0.475*44/12</f>
        <v>2.5876778405271845</v>
      </c>
      <c r="DH162" s="21">
        <f>EXP(-LN(2)/2)*DH161+(1-EXP(-LN(2)/2))/(LN(2)/2)*DB162*DE162*VLOOKUP('Données projet'!$B$13,Paramètres!$A$1:$I$89,3,0)*0.475*44/12</f>
        <v>1.6409723362320991E-15</v>
      </c>
      <c r="DI162" s="22">
        <f t="shared" si="175"/>
        <v>19.665605763908882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167.82976403567059</v>
      </c>
      <c r="T163" s="59">
        <f t="shared" si="142"/>
        <v>232.70925470547317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10.095565339441984</v>
      </c>
      <c r="AA163" s="21">
        <f>EXP(-LN(2)/25)*AA162+(1-EXP(-LN(2)/25))/(LN(2)/25)*Calculateur!V163*Calculateur!X163*VLOOKUP('Données projet'!$B$9,Paramètres!$A$1:$I$89,3,0)*0.475*44/12</f>
        <v>2.206369254631745</v>
      </c>
      <c r="AB163" s="21">
        <f>EXP(-LN(2)/2)*AB162+(1-EXP(-LN(2)/2))/(LN(2)/2)*V163*Y163*VLOOKUP('Données projet'!$B$9,Paramètres!$A$1:$I$89,3,0)*0.475*44/12</f>
        <v>2.5612807154399432E-14</v>
      </c>
      <c r="AC163" s="22">
        <f t="shared" si="163"/>
        <v>12.301934594073755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5.7639226724859328E-14</v>
      </c>
      <c r="AK163" s="13">
        <f t="shared" si="164"/>
        <v>9.2325701996134334E-13</v>
      </c>
      <c r="AL163" s="20">
        <f t="shared" si="165"/>
        <v>1.708394296311803E-12</v>
      </c>
      <c r="AM163" s="59">
        <f t="shared" si="113"/>
        <v>287.75907759269006</v>
      </c>
      <c r="AN163" s="59">
        <f ca="1">AVERAGE(OFFSET($AM$3,0,0,'Données projet'!$E$10+1,1))-AVERAGE(OFFSET($H$3,0,0,'Données projet'!$E$10+1,1))</f>
        <v>542.51810435067659</v>
      </c>
      <c r="AO163" s="59">
        <f t="shared" si="144"/>
        <v>325.7263575945085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94.871371709655349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94.871371709655349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5.1431925385259088E-14</v>
      </c>
      <c r="BF163" s="13">
        <f t="shared" si="167"/>
        <v>8.3482866290946129E-13</v>
      </c>
      <c r="BG163" s="20">
        <f t="shared" si="168"/>
        <v>1.5435705246133045E-12</v>
      </c>
      <c r="BH163" s="59">
        <f t="shared" si="116"/>
        <v>287.75907759268989</v>
      </c>
      <c r="BI163" s="59">
        <f ca="1">AVERAGE(OFFSET($BH$3,0,0,'Données projet'!$E$11+1,1))-AVERAGE(OFFSET($H$3,0,0,'Données projet'!$E$11+1,1))</f>
        <v>492.39485179035256</v>
      </c>
      <c r="BJ163" s="59">
        <f t="shared" si="146"/>
        <v>297.32483725004124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84.6544547563078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84.6544547563078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-5.4092197387944907E-14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260.51631161522039</v>
      </c>
      <c r="CE163" s="59">
        <f t="shared" si="148"/>
        <v>171.3469666102674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17.845972184668017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17.845972184668017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3.3992364478763198E-14</v>
      </c>
      <c r="CV163" s="13">
        <f t="shared" si="173"/>
        <v>5.790027782444094E-13</v>
      </c>
      <c r="CW163" s="20">
        <f t="shared" si="174"/>
        <v>1.0676332069095257E-12</v>
      </c>
      <c r="CX163" s="59">
        <f t="shared" si="122"/>
        <v>287.75907759268944</v>
      </c>
      <c r="CY163" s="59">
        <f ca="1">AVERAGE(OFFSET($CX$3,0,0,'Données projet'!$E$13+1,1))-AVERAGE(OFFSET($H$3,0,0,'Données projet'!$E$13+1,1))</f>
        <v>301.2688576786212</v>
      </c>
      <c r="CZ163" s="59">
        <f t="shared" si="150"/>
        <v>417.62172165132927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16.74304017331167</v>
      </c>
      <c r="DG163" s="21">
        <f>EXP(-LN(2)/25)*DG162+(1-EXP(-LN(2)/25))/(LN(2)/25)*Calculateur!DB163*Calculateur!DD163*VLOOKUP('Données projet'!$B$13,Paramètres!$A$1:$I$89,3,0)*0.475*44/12</f>
        <v>2.5169176538979054</v>
      </c>
      <c r="DH163" s="21">
        <f>EXP(-LN(2)/2)*DH162+(1-EXP(-LN(2)/2))/(LN(2)/2)*DB163*DE163*VLOOKUP('Données projet'!$B$13,Paramètres!$A$1:$I$89,3,0)*0.475*44/12</f>
        <v>1.1603426666892485E-15</v>
      </c>
      <c r="DI163" s="22">
        <f t="shared" si="175"/>
        <v>19.259957827209575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167.82976403567059</v>
      </c>
      <c r="T164" s="59">
        <f t="shared" si="142"/>
        <v>232.70925470547317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9.8975974608223627</v>
      </c>
      <c r="AA164" s="21">
        <f>EXP(-LN(2)/25)*AA163+(1-EXP(-LN(2)/25))/(LN(2)/25)*Calculateur!V164*Calculateur!X164*VLOOKUP('Données projet'!$B$9,Paramètres!$A$1:$I$89,3,0)*0.475*44/12</f>
        <v>2.1460359713359236</v>
      </c>
      <c r="AB164" s="21">
        <f>EXP(-LN(2)/2)*AB163+(1-EXP(-LN(2)/2))/(LN(2)/2)*V164*Y164*VLOOKUP('Données projet'!$B$9,Paramètres!$A$1:$I$89,3,0)*0.475*44/12</f>
        <v>1.8110989624099158E-14</v>
      </c>
      <c r="AC164" s="22">
        <f t="shared" si="163"/>
        <v>12.043633432158304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5.7639226724859328E-14</v>
      </c>
      <c r="AK164" s="13">
        <f t="shared" si="164"/>
        <v>9.2325701996134334E-13</v>
      </c>
      <c r="AL164" s="20">
        <f t="shared" si="165"/>
        <v>1.708394296311803E-12</v>
      </c>
      <c r="AM164" s="59">
        <f t="shared" si="113"/>
        <v>287.85577846762141</v>
      </c>
      <c r="AN164" s="59">
        <f ca="1">AVERAGE(OFFSET($AM$3,0,0,'Données projet'!$E$10+1,1))-AVERAGE(OFFSET($H$3,0,0,'Données projet'!$E$10+1,1))</f>
        <v>542.51810435067659</v>
      </c>
      <c r="AO164" s="59">
        <f t="shared" si="144"/>
        <v>325.7263575945085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93.011001976251976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93.011001976251976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5.1431925385259088E-14</v>
      </c>
      <c r="BF164" s="13">
        <f t="shared" si="167"/>
        <v>8.3482866290946129E-13</v>
      </c>
      <c r="BG164" s="20">
        <f t="shared" si="168"/>
        <v>1.5435705246133045E-12</v>
      </c>
      <c r="BH164" s="59">
        <f t="shared" si="116"/>
        <v>287.85577846762123</v>
      </c>
      <c r="BI164" s="59">
        <f ca="1">AVERAGE(OFFSET($BH$3,0,0,'Données projet'!$E$11+1,1))-AVERAGE(OFFSET($H$3,0,0,'Données projet'!$E$11+1,1))</f>
        <v>492.39485179035256</v>
      </c>
      <c r="BJ164" s="59">
        <f t="shared" si="146"/>
        <v>297.32483725004124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82.994432532655566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82.994432532655566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-5.4092197387944907E-14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260.51631161522039</v>
      </c>
      <c r="CE164" s="59">
        <f t="shared" si="148"/>
        <v>171.3469666102674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17.496023555094908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17.496023555094908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3.3992364478763198E-14</v>
      </c>
      <c r="CV164" s="13">
        <f t="shared" si="173"/>
        <v>5.790027782444094E-13</v>
      </c>
      <c r="CW164" s="20">
        <f t="shared" si="174"/>
        <v>1.0676332069095257E-12</v>
      </c>
      <c r="CX164" s="59">
        <f t="shared" si="122"/>
        <v>287.85577846762078</v>
      </c>
      <c r="CY164" s="59">
        <f ca="1">AVERAGE(OFFSET($CX$3,0,0,'Données projet'!$E$13+1,1))-AVERAGE(OFFSET($H$3,0,0,'Données projet'!$E$13+1,1))</f>
        <v>301.2688576786212</v>
      </c>
      <c r="CZ164" s="59">
        <f t="shared" si="150"/>
        <v>417.62172165132927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16.414719367759158</v>
      </c>
      <c r="DG164" s="21">
        <f>EXP(-LN(2)/25)*DG163+(1-EXP(-LN(2)/25))/(LN(2)/25)*Calculateur!DB164*Calculateur!DD164*VLOOKUP('Données projet'!$B$13,Paramètres!$A$1:$I$89,3,0)*0.475*44/12</f>
        <v>2.4480924082931201</v>
      </c>
      <c r="DH164" s="21">
        <f>EXP(-LN(2)/2)*DH163+(1-EXP(-LN(2)/2))/(LN(2)/2)*DB164*DE164*VLOOKUP('Données projet'!$B$13,Paramètres!$A$1:$I$89,3,0)*0.475*44/12</f>
        <v>8.2048616811604953E-16</v>
      </c>
      <c r="DI164" s="22">
        <f t="shared" si="175"/>
        <v>18.862811776052279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167.82976403567059</v>
      </c>
      <c r="T165" s="59">
        <f t="shared" si="142"/>
        <v>232.70925470547317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9.7035116115539886</v>
      </c>
      <c r="AA165" s="21">
        <f>EXP(-LN(2)/25)*AA164+(1-EXP(-LN(2)/25))/(LN(2)/25)*Calculateur!V165*Calculateur!X165*VLOOKUP('Données projet'!$B$9,Paramètres!$A$1:$I$89,3,0)*0.475*44/12</f>
        <v>2.087352504844616</v>
      </c>
      <c r="AB165" s="21">
        <f>EXP(-LN(2)/2)*AB164+(1-EXP(-LN(2)/2))/(LN(2)/2)*V165*Y165*VLOOKUP('Données projet'!$B$9,Paramètres!$A$1:$I$89,3,0)*0.475*44/12</f>
        <v>1.2806403577199716E-14</v>
      </c>
      <c r="AC165" s="22">
        <f t="shared" si="163"/>
        <v>11.790864116398618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5.7639226724859328E-14</v>
      </c>
      <c r="AK165" s="13">
        <f t="shared" si="164"/>
        <v>9.2325701996134334E-13</v>
      </c>
      <c r="AL165" s="20">
        <f t="shared" si="165"/>
        <v>1.708394296311803E-12</v>
      </c>
      <c r="AM165" s="59">
        <f t="shared" si="113"/>
        <v>287.95080179856342</v>
      </c>
      <c r="AN165" s="59">
        <f ca="1">AVERAGE(OFFSET($AM$3,0,0,'Données projet'!$E$10+1,1))-AVERAGE(OFFSET($H$3,0,0,'Données projet'!$E$10+1,1))</f>
        <v>542.51810435067659</v>
      </c>
      <c r="AO165" s="59">
        <f t="shared" si="144"/>
        <v>325.7263575945085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91.187112958607145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91.187112958607145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5.1431925385259088E-14</v>
      </c>
      <c r="BF165" s="13">
        <f t="shared" si="167"/>
        <v>8.3482866290946129E-13</v>
      </c>
      <c r="BG165" s="20">
        <f t="shared" si="168"/>
        <v>1.5435705246133045E-12</v>
      </c>
      <c r="BH165" s="59">
        <f t="shared" si="116"/>
        <v>287.95080179856325</v>
      </c>
      <c r="BI165" s="59">
        <f ca="1">AVERAGE(OFFSET($BH$3,0,0,'Données projet'!$E$11+1,1))-AVERAGE(OFFSET($H$3,0,0,'Données projet'!$E$11+1,1))</f>
        <v>492.39485179035256</v>
      </c>
      <c r="BJ165" s="59">
        <f t="shared" si="146"/>
        <v>297.32483725004124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81.366962332295572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81.366962332295572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-5.4092197387944907E-14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260.51631161522039</v>
      </c>
      <c r="CE165" s="59">
        <f t="shared" si="148"/>
        <v>171.3469666102674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17.152937204700141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17.152937204700141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3.3992364478763198E-14</v>
      </c>
      <c r="CV165" s="13">
        <f t="shared" si="173"/>
        <v>5.790027782444094E-13</v>
      </c>
      <c r="CW165" s="20">
        <f t="shared" si="174"/>
        <v>1.0676332069095257E-12</v>
      </c>
      <c r="CX165" s="59">
        <f t="shared" si="122"/>
        <v>287.95080179856279</v>
      </c>
      <c r="CY165" s="59">
        <f ca="1">AVERAGE(OFFSET($CX$3,0,0,'Données projet'!$E$13+1,1))-AVERAGE(OFFSET($H$3,0,0,'Données projet'!$E$13+1,1))</f>
        <v>301.2688576786212</v>
      </c>
      <c r="CZ165" s="59">
        <f t="shared" si="150"/>
        <v>417.62172165132927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16.092836732947614</v>
      </c>
      <c r="DG165" s="21">
        <f>EXP(-LN(2)/25)*DG164+(1-EXP(-LN(2)/25))/(LN(2)/25)*Calculateur!DB165*Calculateur!DD165*VLOOKUP('Données projet'!$B$13,Paramètres!$A$1:$I$89,3,0)*0.475*44/12</f>
        <v>2.3811491926487602</v>
      </c>
      <c r="DH165" s="21">
        <f>EXP(-LN(2)/2)*DH164+(1-EXP(-LN(2)/2))/(LN(2)/2)*DB165*DE165*VLOOKUP('Données projet'!$B$13,Paramètres!$A$1:$I$89,3,0)*0.475*44/12</f>
        <v>5.8017133334462427E-16</v>
      </c>
      <c r="DI165" s="22">
        <f t="shared" si="175"/>
        <v>18.473985925596374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167.82976403567059</v>
      </c>
      <c r="T166" s="59">
        <f t="shared" si="142"/>
        <v>232.70925470547317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9.5132316674090891</v>
      </c>
      <c r="AA166" s="21">
        <f>EXP(-LN(2)/25)*AA165+(1-EXP(-LN(2)/25))/(LN(2)/25)*Calculateur!V166*Calculateur!X166*VLOOKUP('Données projet'!$B$9,Paramètres!$A$1:$I$89,3,0)*0.475*44/12</f>
        <v>2.0302737408305425</v>
      </c>
      <c r="AB166" s="21">
        <f>EXP(-LN(2)/2)*AB165+(1-EXP(-LN(2)/2))/(LN(2)/2)*V166*Y166*VLOOKUP('Données projet'!$B$9,Paramètres!$A$1:$I$89,3,0)*0.475*44/12</f>
        <v>9.0554948120495788E-15</v>
      </c>
      <c r="AC166" s="22">
        <f t="shared" si="163"/>
        <v>11.543505408239641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5.7639226724859328E-14</v>
      </c>
      <c r="AK166" s="13">
        <f t="shared" si="164"/>
        <v>9.2325701996134334E-13</v>
      </c>
      <c r="AL166" s="20">
        <f t="shared" si="165"/>
        <v>1.708394296311803E-12</v>
      </c>
      <c r="AM166" s="59">
        <f t="shared" si="113"/>
        <v>288.04417668715394</v>
      </c>
      <c r="AN166" s="59">
        <f ca="1">AVERAGE(OFFSET($AM$3,0,0,'Données projet'!$E$10+1,1))-AVERAGE(OFFSET($H$3,0,0,'Données projet'!$E$10+1,1))</f>
        <v>542.51810435067659</v>
      </c>
      <c r="AO166" s="59">
        <f t="shared" si="144"/>
        <v>325.7263575945085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89.39898929213588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89.39898929213588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5.1431925385259088E-14</v>
      </c>
      <c r="BF166" s="13">
        <f t="shared" si="167"/>
        <v>8.3482866290946129E-13</v>
      </c>
      <c r="BG166" s="20">
        <f t="shared" si="168"/>
        <v>1.5435705246133045E-12</v>
      </c>
      <c r="BH166" s="59">
        <f t="shared" si="116"/>
        <v>288.04417668715377</v>
      </c>
      <c r="BI166" s="59">
        <f ca="1">AVERAGE(OFFSET($BH$3,0,0,'Données projet'!$E$11+1,1))-AVERAGE(OFFSET($H$3,0,0,'Données projet'!$E$11+1,1))</f>
        <v>492.39485179035256</v>
      </c>
      <c r="BJ166" s="59">
        <f t="shared" si="146"/>
        <v>297.32483725004124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79.771405829905831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79.771405829905831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-5.4092197387944907E-14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260.51631161522039</v>
      </c>
      <c r="CE166" s="59">
        <f t="shared" si="148"/>
        <v>171.3469666102674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16.816578568374602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16.816578568374602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3.3992364478763198E-14</v>
      </c>
      <c r="CV166" s="13">
        <f t="shared" si="173"/>
        <v>5.790027782444094E-13</v>
      </c>
      <c r="CW166" s="20">
        <f t="shared" si="174"/>
        <v>1.0676332069095257E-12</v>
      </c>
      <c r="CX166" s="59">
        <f t="shared" si="122"/>
        <v>288.04417668715331</v>
      </c>
      <c r="CY166" s="59">
        <f ca="1">AVERAGE(OFFSET($CX$3,0,0,'Données projet'!$E$13+1,1))-AVERAGE(OFFSET($H$3,0,0,'Données projet'!$E$13+1,1))</f>
        <v>301.2688576786212</v>
      </c>
      <c r="CZ166" s="59">
        <f t="shared" si="150"/>
        <v>417.62172165132927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15.777266020275702</v>
      </c>
      <c r="DG166" s="21">
        <f>EXP(-LN(2)/25)*DG165+(1-EXP(-LN(2)/25))/(LN(2)/25)*Calculateur!DB166*Calculateur!DD166*VLOOKUP('Données projet'!$B$13,Paramètres!$A$1:$I$89,3,0)*0.475*44/12</f>
        <v>2.3160365427565859</v>
      </c>
      <c r="DH166" s="21">
        <f>EXP(-LN(2)/2)*DH165+(1-EXP(-LN(2)/2))/(LN(2)/2)*DB166*DE166*VLOOKUP('Données projet'!$B$13,Paramètres!$A$1:$I$89,3,0)*0.475*44/12</f>
        <v>4.1024308405802477E-16</v>
      </c>
      <c r="DI166" s="22">
        <f t="shared" si="175"/>
        <v>18.093302563032289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167.82976403567059</v>
      </c>
      <c r="T167" s="59">
        <f t="shared" si="142"/>
        <v>232.70925470547317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9.3266829969095646</v>
      </c>
      <c r="AA167" s="21">
        <f>EXP(-LN(2)/25)*AA166+(1-EXP(-LN(2)/25))/(LN(2)/25)*Calculateur!V167*Calculateur!X167*VLOOKUP('Données projet'!$B$9,Paramètres!$A$1:$I$89,3,0)*0.475*44/12</f>
        <v>1.9747557986200754</v>
      </c>
      <c r="AB167" s="21">
        <f>EXP(-LN(2)/2)*AB166+(1-EXP(-LN(2)/2))/(LN(2)/2)*V167*Y167*VLOOKUP('Données projet'!$B$9,Paramètres!$A$1:$I$89,3,0)*0.475*44/12</f>
        <v>6.4032017885998579E-15</v>
      </c>
      <c r="AC167" s="22">
        <f t="shared" si="163"/>
        <v>11.301438795529647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5.7639226724859328E-14</v>
      </c>
      <c r="AK167" s="13">
        <f t="shared" si="164"/>
        <v>9.2325701996134334E-13</v>
      </c>
      <c r="AL167" s="20">
        <f t="shared" si="165"/>
        <v>1.708394296311803E-12</v>
      </c>
      <c r="AM167" s="59">
        <f t="shared" si="113"/>
        <v>288.13593173018239</v>
      </c>
      <c r="AN167" s="59">
        <f ca="1">AVERAGE(OFFSET($AM$3,0,0,'Données projet'!$E$10+1,1))-AVERAGE(OFFSET($H$3,0,0,'Données projet'!$E$10+1,1))</f>
        <v>542.51810435067659</v>
      </c>
      <c r="AO167" s="59">
        <f t="shared" si="144"/>
        <v>325.7263575945085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87.645929640116364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87.645929640116364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5.1431925385259088E-14</v>
      </c>
      <c r="BF167" s="13">
        <f t="shared" si="167"/>
        <v>8.3482866290946129E-13</v>
      </c>
      <c r="BG167" s="20">
        <f t="shared" si="168"/>
        <v>1.5435705246133045E-12</v>
      </c>
      <c r="BH167" s="59">
        <f t="shared" si="116"/>
        <v>288.13593173018222</v>
      </c>
      <c r="BI167" s="59">
        <f ca="1">AVERAGE(OFFSET($BH$3,0,0,'Données projet'!$E$11+1,1))-AVERAGE(OFFSET($H$3,0,0,'Données projet'!$E$11+1,1))</f>
        <v>492.39485179035256</v>
      </c>
      <c r="BJ167" s="59">
        <f t="shared" si="146"/>
        <v>297.32483725004124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78.207137217334576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78.207137217334576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-5.4092197387944907E-14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260.51631161522039</v>
      </c>
      <c r="CE167" s="59">
        <f t="shared" si="148"/>
        <v>171.3469666102674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16.486815719748897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16.486815719748897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3.3992364478763198E-14</v>
      </c>
      <c r="CV167" s="13">
        <f t="shared" si="173"/>
        <v>5.790027782444094E-13</v>
      </c>
      <c r="CW167" s="20">
        <f t="shared" si="174"/>
        <v>1.0676332069095257E-12</v>
      </c>
      <c r="CX167" s="59">
        <f t="shared" si="122"/>
        <v>288.13593173018177</v>
      </c>
      <c r="CY167" s="59">
        <f ca="1">AVERAGE(OFFSET($CX$3,0,0,'Données projet'!$E$13+1,1))-AVERAGE(OFFSET($H$3,0,0,'Données projet'!$E$13+1,1))</f>
        <v>301.2688576786212</v>
      </c>
      <c r="CZ167" s="59">
        <f t="shared" si="150"/>
        <v>417.62172165132927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15.467883456800157</v>
      </c>
      <c r="DG167" s="21">
        <f>EXP(-LN(2)/25)*DG166+(1-EXP(-LN(2)/25))/(LN(2)/25)*Calculateur!DB167*Calculateur!DD167*VLOOKUP('Données projet'!$B$13,Paramètres!$A$1:$I$89,3,0)*0.475*44/12</f>
        <v>2.2527044016998388</v>
      </c>
      <c r="DH167" s="21">
        <f>EXP(-LN(2)/2)*DH166+(1-EXP(-LN(2)/2))/(LN(2)/2)*DB167*DE167*VLOOKUP('Données projet'!$B$13,Paramètres!$A$1:$I$89,3,0)*0.475*44/12</f>
        <v>2.9008566667231214E-16</v>
      </c>
      <c r="DI167" s="22">
        <f t="shared" si="175"/>
        <v>17.720587858499997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167.82976403567059</v>
      </c>
      <c r="T168" s="59">
        <f t="shared" si="142"/>
        <v>232.70925470547317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9.1437924320550827</v>
      </c>
      <c r="AA168" s="21">
        <f>EXP(-LN(2)/25)*AA167+(1-EXP(-LN(2)/25))/(LN(2)/25)*Calculateur!V168*Calculateur!X168*VLOOKUP('Données projet'!$B$9,Paramètres!$A$1:$I$89,3,0)*0.475*44/12</f>
        <v>1.9207559974589155</v>
      </c>
      <c r="AB168" s="21">
        <f>EXP(-LN(2)/2)*AB167+(1-EXP(-LN(2)/2))/(LN(2)/2)*V168*Y168*VLOOKUP('Données projet'!$B$9,Paramètres!$A$1:$I$89,3,0)*0.475*44/12</f>
        <v>4.5277474060247894E-15</v>
      </c>
      <c r="AC168" s="22">
        <f t="shared" si="163"/>
        <v>11.064548429514003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5.7639226724859328E-14</v>
      </c>
      <c r="AK168" s="13">
        <f t="shared" si="164"/>
        <v>9.2325701996134334E-13</v>
      </c>
      <c r="AL168" s="20">
        <f t="shared" si="165"/>
        <v>1.708394296311803E-12</v>
      </c>
      <c r="AM168" s="59">
        <f t="shared" si="113"/>
        <v>288.22609502834786</v>
      </c>
      <c r="AN168" s="59">
        <f ca="1">AVERAGE(OFFSET($AM$3,0,0,'Données projet'!$E$10+1,1))-AVERAGE(OFFSET($H$3,0,0,'Données projet'!$E$10+1,1))</f>
        <v>542.51810435067659</v>
      </c>
      <c r="AO168" s="59">
        <f t="shared" si="144"/>
        <v>325.7263575945085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85.927246418612157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85.927246418612157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5.1431925385259088E-14</v>
      </c>
      <c r="BF168" s="13">
        <f t="shared" si="167"/>
        <v>8.3482866290946129E-13</v>
      </c>
      <c r="BG168" s="20">
        <f t="shared" si="168"/>
        <v>1.5435705246133045E-12</v>
      </c>
      <c r="BH168" s="59">
        <f t="shared" si="116"/>
        <v>288.22609502834769</v>
      </c>
      <c r="BI168" s="59">
        <f ca="1">AVERAGE(OFFSET($BH$3,0,0,'Données projet'!$E$11+1,1))-AVERAGE(OFFSET($H$3,0,0,'Données projet'!$E$11+1,1))</f>
        <v>492.39485179035256</v>
      </c>
      <c r="BJ168" s="59">
        <f t="shared" si="146"/>
        <v>297.32483725004124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76.6735429581462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76.6735429581462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-5.4092197387944907E-14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260.51631161522039</v>
      </c>
      <c r="CE168" s="59">
        <f t="shared" si="148"/>
        <v>171.3469666102674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16.163519319449264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16.163519319449264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3.3992364478763198E-14</v>
      </c>
      <c r="CV168" s="13">
        <f t="shared" si="173"/>
        <v>5.790027782444094E-13</v>
      </c>
      <c r="CW168" s="20">
        <f t="shared" si="174"/>
        <v>1.0676332069095257E-12</v>
      </c>
      <c r="CX168" s="59">
        <f t="shared" si="122"/>
        <v>288.22609502834723</v>
      </c>
      <c r="CY168" s="59">
        <f ca="1">AVERAGE(OFFSET($CX$3,0,0,'Données projet'!$E$13+1,1))-AVERAGE(OFFSET($H$3,0,0,'Données projet'!$E$13+1,1))</f>
        <v>301.2688576786212</v>
      </c>
      <c r="CZ168" s="59">
        <f t="shared" si="150"/>
        <v>417.62172165132927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15.164567696689637</v>
      </c>
      <c r="DG168" s="21">
        <f>EXP(-LN(2)/25)*DG167+(1-EXP(-LN(2)/25))/(LN(2)/25)*Calculateur!DB168*Calculateur!DD168*VLOOKUP('Données projet'!$B$13,Paramètres!$A$1:$I$89,3,0)*0.475*44/12</f>
        <v>2.1911040813707809</v>
      </c>
      <c r="DH168" s="21">
        <f>EXP(-LN(2)/2)*DH167+(1-EXP(-LN(2)/2))/(LN(2)/2)*DB168*DE168*VLOOKUP('Données projet'!$B$13,Paramètres!$A$1:$I$89,3,0)*0.475*44/12</f>
        <v>2.0512154202901238E-16</v>
      </c>
      <c r="DI168" s="22">
        <f t="shared" si="175"/>
        <v>17.355671778060419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167.82976403567059</v>
      </c>
      <c r="T169" s="59">
        <f t="shared" si="142"/>
        <v>232.70925470547317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8.9644882396251671</v>
      </c>
      <c r="AA169" s="21">
        <f>EXP(-LN(2)/25)*AA168+(1-EXP(-LN(2)/25))/(LN(2)/25)*Calculateur!V169*Calculateur!X169*VLOOKUP('Données projet'!$B$9,Paramètres!$A$1:$I$89,3,0)*0.475*44/12</f>
        <v>1.8682328237002335</v>
      </c>
      <c r="AB169" s="21">
        <f>EXP(-LN(2)/2)*AB168+(1-EXP(-LN(2)/2))/(LN(2)/2)*V169*Y169*VLOOKUP('Données projet'!$B$9,Paramètres!$A$1:$I$89,3,0)*0.475*44/12</f>
        <v>3.201600894299929E-15</v>
      </c>
      <c r="AC169" s="22">
        <f t="shared" si="163"/>
        <v>10.832721063325405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5.7639226724859328E-14</v>
      </c>
      <c r="AK169" s="13">
        <f t="shared" si="164"/>
        <v>9.2325701996134334E-13</v>
      </c>
      <c r="AL169" s="20">
        <f t="shared" si="165"/>
        <v>1.708394296311803E-12</v>
      </c>
      <c r="AM169" s="59">
        <f t="shared" si="113"/>
        <v>288.31469419486513</v>
      </c>
      <c r="AN169" s="59">
        <f ca="1">AVERAGE(OFFSET($AM$3,0,0,'Données projet'!$E$10+1,1))-AVERAGE(OFFSET($H$3,0,0,'Données projet'!$E$10+1,1))</f>
        <v>542.51810435067659</v>
      </c>
      <c r="AO169" s="59">
        <f t="shared" si="144"/>
        <v>325.7263575945085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84.242265526788387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84.242265526788387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5.1431925385259088E-14</v>
      </c>
      <c r="BF169" s="13">
        <f t="shared" si="167"/>
        <v>8.3482866290946129E-13</v>
      </c>
      <c r="BG169" s="20">
        <f t="shared" si="168"/>
        <v>1.5435705246133045E-12</v>
      </c>
      <c r="BH169" s="59">
        <f t="shared" si="116"/>
        <v>288.31469419486496</v>
      </c>
      <c r="BI169" s="59">
        <f ca="1">AVERAGE(OFFSET($BH$3,0,0,'Données projet'!$E$11+1,1))-AVERAGE(OFFSET($H$3,0,0,'Données projet'!$E$11+1,1))</f>
        <v>492.39485179035256</v>
      </c>
      <c r="BJ169" s="59">
        <f t="shared" si="146"/>
        <v>297.32483725004124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75.170021546980379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75.170021546980379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-5.4092197387944907E-14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260.51631161522039</v>
      </c>
      <c r="CE169" s="59">
        <f t="shared" si="148"/>
        <v>171.3469666102674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15.846562564368176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15.846562564368176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3.3992364478763198E-14</v>
      </c>
      <c r="CV169" s="13">
        <f t="shared" si="173"/>
        <v>5.790027782444094E-13</v>
      </c>
      <c r="CW169" s="20">
        <f t="shared" si="174"/>
        <v>1.0676332069095257E-12</v>
      </c>
      <c r="CX169" s="59">
        <f t="shared" si="122"/>
        <v>288.3146941948645</v>
      </c>
      <c r="CY169" s="59">
        <f ca="1">AVERAGE(OFFSET($CX$3,0,0,'Données projet'!$E$13+1,1))-AVERAGE(OFFSET($H$3,0,0,'Données projet'!$E$13+1,1))</f>
        <v>301.2688576786212</v>
      </c>
      <c r="CZ169" s="59">
        <f t="shared" si="150"/>
        <v>417.62172165132927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14.867199773630539</v>
      </c>
      <c r="DG169" s="21">
        <f>EXP(-LN(2)/25)*DG168+(1-EXP(-LN(2)/25))/(LN(2)/25)*Calculateur!DB169*Calculateur!DD169*VLOOKUP('Données projet'!$B$13,Paramètres!$A$1:$I$89,3,0)*0.475*44/12</f>
        <v>2.1311882250405412</v>
      </c>
      <c r="DH169" s="21">
        <f>EXP(-LN(2)/2)*DH168+(1-EXP(-LN(2)/2))/(LN(2)/2)*DB169*DE169*VLOOKUP('Données projet'!$B$13,Paramètres!$A$1:$I$89,3,0)*0.475*44/12</f>
        <v>1.4504283333615607E-16</v>
      </c>
      <c r="DI169" s="22">
        <f t="shared" si="175"/>
        <v>16.998387998671081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167.82976403567059</v>
      </c>
      <c r="T170" s="59">
        <f t="shared" si="142"/>
        <v>232.70925470547317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8.788700093044044</v>
      </c>
      <c r="AA170" s="21">
        <f>EXP(-LN(2)/25)*AA169+(1-EXP(-LN(2)/25))/(LN(2)/25)*Calculateur!V170*Calculateur!X170*VLOOKUP('Données projet'!$B$9,Paramètres!$A$1:$I$89,3,0)*0.475*44/12</f>
        <v>1.8171458988900564</v>
      </c>
      <c r="AB170" s="21">
        <f>EXP(-LN(2)/2)*AB169+(1-EXP(-LN(2)/2))/(LN(2)/2)*V170*Y170*VLOOKUP('Données projet'!$B$9,Paramètres!$A$1:$I$89,3,0)*0.475*44/12</f>
        <v>2.2638737030123947E-15</v>
      </c>
      <c r="AC170" s="22">
        <f t="shared" si="163"/>
        <v>10.605845991934101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5.7639226724859328E-14</v>
      </c>
      <c r="AK170" s="13">
        <f t="shared" si="164"/>
        <v>9.2325701996134334E-13</v>
      </c>
      <c r="AL170" s="20">
        <f t="shared" si="165"/>
        <v>1.708394296311803E-12</v>
      </c>
      <c r="AM170" s="59">
        <f t="shared" si="113"/>
        <v>288.40175636392132</v>
      </c>
      <c r="AN170" s="59">
        <f ca="1">AVERAGE(OFFSET($AM$3,0,0,'Données projet'!$E$10+1,1))-AVERAGE(OFFSET($H$3,0,0,'Données projet'!$E$10+1,1))</f>
        <v>542.51810435067659</v>
      </c>
      <c r="AO170" s="59">
        <f t="shared" si="144"/>
        <v>325.7263575945085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82.590326082516412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82.590326082516412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5.1431925385259088E-14</v>
      </c>
      <c r="BF170" s="13">
        <f t="shared" si="167"/>
        <v>8.3482866290946129E-13</v>
      </c>
      <c r="BG170" s="20">
        <f t="shared" si="168"/>
        <v>1.5435705246133045E-12</v>
      </c>
      <c r="BH170" s="59">
        <f t="shared" si="116"/>
        <v>288.40175636392115</v>
      </c>
      <c r="BI170" s="59">
        <f ca="1">AVERAGE(OFFSET($BH$3,0,0,'Données projet'!$E$11+1,1))-AVERAGE(OFFSET($H$3,0,0,'Données projet'!$E$11+1,1))</f>
        <v>492.39485179035256</v>
      </c>
      <c r="BJ170" s="59">
        <f t="shared" si="146"/>
        <v>297.32483725004124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73.695983273630006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73.695983273630006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-5.4092197387944907E-14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260.51631161522039</v>
      </c>
      <c r="CE170" s="59">
        <f t="shared" si="148"/>
        <v>171.3469666102674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15.535821137929696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15.535821137929696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3.3992364478763198E-14</v>
      </c>
      <c r="CV170" s="13">
        <f t="shared" si="173"/>
        <v>5.790027782444094E-13</v>
      </c>
      <c r="CW170" s="20">
        <f t="shared" si="174"/>
        <v>1.0676332069095257E-12</v>
      </c>
      <c r="CX170" s="59">
        <f t="shared" si="122"/>
        <v>288.4017563639207</v>
      </c>
      <c r="CY170" s="59">
        <f ca="1">AVERAGE(OFFSET($CX$3,0,0,'Données projet'!$E$13+1,1))-AVERAGE(OFFSET($H$3,0,0,'Données projet'!$E$13+1,1))</f>
        <v>301.2688576786212</v>
      </c>
      <c r="CZ170" s="59">
        <f t="shared" si="150"/>
        <v>417.62172165132927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14.575663054166105</v>
      </c>
      <c r="DG170" s="21">
        <f>EXP(-LN(2)/25)*DG169+(1-EXP(-LN(2)/25))/(LN(2)/25)*Calculateur!DB170*Calculateur!DD170*VLOOKUP('Données projet'!$B$13,Paramètres!$A$1:$I$89,3,0)*0.475*44/12</f>
        <v>2.0729107709524897</v>
      </c>
      <c r="DH170" s="21">
        <f>EXP(-LN(2)/2)*DH169+(1-EXP(-LN(2)/2))/(LN(2)/2)*DB170*DE170*VLOOKUP('Données projet'!$B$13,Paramètres!$A$1:$I$89,3,0)*0.475*44/12</f>
        <v>1.0256077101450619E-16</v>
      </c>
      <c r="DI170" s="22">
        <f t="shared" si="175"/>
        <v>16.648573825118596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167.82976403567059</v>
      </c>
      <c r="T171" s="59">
        <f t="shared" si="142"/>
        <v>232.70925470547317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8.6163590447971945</v>
      </c>
      <c r="AA171" s="21">
        <f>EXP(-LN(2)/25)*AA170+(1-EXP(-LN(2)/25))/(LN(2)/25)*Calculateur!V171*Calculateur!X171*VLOOKUP('Données projet'!$B$9,Paramètres!$A$1:$I$89,3,0)*0.475*44/12</f>
        <v>1.7674559487253581</v>
      </c>
      <c r="AB171" s="21">
        <f>EXP(-LN(2)/2)*AB170+(1-EXP(-LN(2)/2))/(LN(2)/2)*V171*Y171*VLOOKUP('Données projet'!$B$9,Paramètres!$A$1:$I$89,3,0)*0.475*44/12</f>
        <v>1.6008004471499645E-15</v>
      </c>
      <c r="AC171" s="22">
        <f t="shared" si="163"/>
        <v>10.383814993522554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5.7639226724859328E-14</v>
      </c>
      <c r="AK171" s="13">
        <f t="shared" si="164"/>
        <v>9.2325701996134334E-13</v>
      </c>
      <c r="AL171" s="20">
        <f t="shared" si="165"/>
        <v>1.708394296311803E-12</v>
      </c>
      <c r="AM171" s="59">
        <f t="shared" si="113"/>
        <v>288.48730819898623</v>
      </c>
      <c r="AN171" s="59">
        <f ca="1">AVERAGE(OFFSET($AM$3,0,0,'Données projet'!$E$10+1,1))-AVERAGE(OFFSET($H$3,0,0,'Données projet'!$E$10+1,1))</f>
        <v>542.51810435067659</v>
      </c>
      <c r="AO171" s="59">
        <f t="shared" si="144"/>
        <v>325.7263575945085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80.970780163163042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80.970780163163042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5.1431925385259088E-14</v>
      </c>
      <c r="BF171" s="13">
        <f t="shared" si="167"/>
        <v>8.3482866290946129E-13</v>
      </c>
      <c r="BG171" s="20">
        <f t="shared" si="168"/>
        <v>1.5435705246133045E-12</v>
      </c>
      <c r="BH171" s="59">
        <f t="shared" si="116"/>
        <v>288.48730819898606</v>
      </c>
      <c r="BI171" s="59">
        <f ca="1">AVERAGE(OFFSET($BH$3,0,0,'Données projet'!$E$11+1,1))-AVERAGE(OFFSET($H$3,0,0,'Données projet'!$E$11+1,1))</f>
        <v>492.39485179035256</v>
      </c>
      <c r="BJ171" s="59">
        <f t="shared" si="146"/>
        <v>297.32483725004124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72.250849991745469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72.250849991745469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-5.4092197387944907E-14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260.51631161522039</v>
      </c>
      <c r="CE171" s="59">
        <f t="shared" si="148"/>
        <v>171.3469666102674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15.231173161330121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15.231173161330121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3.3992364478763198E-14</v>
      </c>
      <c r="CV171" s="13">
        <f t="shared" si="173"/>
        <v>5.790027782444094E-13</v>
      </c>
      <c r="CW171" s="20">
        <f t="shared" si="174"/>
        <v>1.0676332069095257E-12</v>
      </c>
      <c r="CX171" s="59">
        <f t="shared" si="122"/>
        <v>288.4873081989856</v>
      </c>
      <c r="CY171" s="59">
        <f ca="1">AVERAGE(OFFSET($CX$3,0,0,'Données projet'!$E$13+1,1))-AVERAGE(OFFSET($H$3,0,0,'Données projet'!$E$13+1,1))</f>
        <v>301.2688576786212</v>
      </c>
      <c r="CZ171" s="59">
        <f t="shared" si="150"/>
        <v>417.62172165132927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14.28984319195053</v>
      </c>
      <c r="DG171" s="21">
        <f>EXP(-LN(2)/25)*DG170+(1-EXP(-LN(2)/25))/(LN(2)/25)*Calculateur!DB171*Calculateur!DD171*VLOOKUP('Données projet'!$B$13,Paramètres!$A$1:$I$89,3,0)*0.475*44/12</f>
        <v>2.0162269169111542</v>
      </c>
      <c r="DH171" s="21">
        <f>EXP(-LN(2)/2)*DH170+(1-EXP(-LN(2)/2))/(LN(2)/2)*DB171*DE171*VLOOKUP('Données projet'!$B$13,Paramètres!$A$1:$I$89,3,0)*0.475*44/12</f>
        <v>7.2521416668078034E-17</v>
      </c>
      <c r="DI171" s="22">
        <f t="shared" si="175"/>
        <v>16.306070108861682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167.82976403567059</v>
      </c>
      <c r="T172" s="59">
        <f t="shared" si="142"/>
        <v>232.70925470547317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8.4473974993888046</v>
      </c>
      <c r="AA172" s="21">
        <f>EXP(-LN(2)/25)*AA171+(1-EXP(-LN(2)/25))/(LN(2)/25)*Calculateur!V172*Calculateur!X172*VLOOKUP('Données projet'!$B$9,Paramètres!$A$1:$I$89,3,0)*0.475*44/12</f>
        <v>1.7191247728609944</v>
      </c>
      <c r="AB172" s="21">
        <f>EXP(-LN(2)/2)*AB171+(1-EXP(-LN(2)/2))/(LN(2)/2)*V172*Y172*VLOOKUP('Données projet'!$B$9,Paramètres!$A$1:$I$89,3,0)*0.475*44/12</f>
        <v>1.1319368515061974E-15</v>
      </c>
      <c r="AC172" s="22">
        <f t="shared" si="163"/>
        <v>10.1665222722498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5.7639226724859328E-14</v>
      </c>
      <c r="AK172" s="13">
        <f t="shared" si="164"/>
        <v>9.2325701996134334E-13</v>
      </c>
      <c r="AL172" s="20">
        <f t="shared" si="165"/>
        <v>1.708394296311803E-12</v>
      </c>
      <c r="AM172" s="59">
        <f t="shared" si="113"/>
        <v>288.57137590097813</v>
      </c>
      <c r="AN172" s="59">
        <f ca="1">AVERAGE(OFFSET($AM$3,0,0,'Données projet'!$E$10+1,1))-AVERAGE(OFFSET($H$3,0,0,'Données projet'!$E$10+1,1))</f>
        <v>542.51810435067659</v>
      </c>
      <c r="AO172" s="59">
        <f t="shared" si="144"/>
        <v>325.7263575945085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79.382992551462721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79.382992551462721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5.1431925385259088E-14</v>
      </c>
      <c r="BF172" s="13">
        <f t="shared" si="167"/>
        <v>8.3482866290946129E-13</v>
      </c>
      <c r="BG172" s="20">
        <f t="shared" si="168"/>
        <v>1.5435705246133045E-12</v>
      </c>
      <c r="BH172" s="59">
        <f t="shared" si="116"/>
        <v>288.57137590097796</v>
      </c>
      <c r="BI172" s="59">
        <f ca="1">AVERAGE(OFFSET($BH$3,0,0,'Données projet'!$E$11+1,1))-AVERAGE(OFFSET($H$3,0,0,'Données projet'!$E$11+1,1))</f>
        <v>492.39485179035256</v>
      </c>
      <c r="BJ172" s="59">
        <f t="shared" si="146"/>
        <v>297.32483725004124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70.83405489207442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70.83405489207442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-5.4092197387944907E-14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260.51631161522039</v>
      </c>
      <c r="CE172" s="59">
        <f t="shared" si="148"/>
        <v>171.3469666102674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14.932499145734745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14.932499145734745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3.3992364478763198E-14</v>
      </c>
      <c r="CV172" s="13">
        <f t="shared" si="173"/>
        <v>5.790027782444094E-13</v>
      </c>
      <c r="CW172" s="20">
        <f t="shared" si="174"/>
        <v>1.0676332069095257E-12</v>
      </c>
      <c r="CX172" s="59">
        <f t="shared" si="122"/>
        <v>288.5713759009775</v>
      </c>
      <c r="CY172" s="59">
        <f ca="1">AVERAGE(OFFSET($CX$3,0,0,'Données projet'!$E$13+1,1))-AVERAGE(OFFSET($H$3,0,0,'Données projet'!$E$13+1,1))</f>
        <v>301.2688576786212</v>
      </c>
      <c r="CZ172" s="59">
        <f t="shared" si="150"/>
        <v>417.62172165132927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14.009628082900099</v>
      </c>
      <c r="DG172" s="21">
        <f>EXP(-LN(2)/25)*DG171+(1-EXP(-LN(2)/25))/(LN(2)/25)*Calculateur!DB172*Calculateur!DD172*VLOOKUP('Données projet'!$B$13,Paramètres!$A$1:$I$89,3,0)*0.475*44/12</f>
        <v>1.9610930858394533</v>
      </c>
      <c r="DH172" s="21">
        <f>EXP(-LN(2)/2)*DH171+(1-EXP(-LN(2)/2))/(LN(2)/2)*DB172*DE172*VLOOKUP('Données projet'!$B$13,Paramètres!$A$1:$I$89,3,0)*0.475*44/12</f>
        <v>5.1280385507253096E-17</v>
      </c>
      <c r="DI172" s="22">
        <f t="shared" si="175"/>
        <v>15.970721168739551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167.82976403567059</v>
      </c>
      <c r="T173" s="59">
        <f t="shared" si="142"/>
        <v>232.70925470547317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8.2817491868295079</v>
      </c>
      <c r="AA173" s="21">
        <f>EXP(-LN(2)/25)*AA172+(1-EXP(-LN(2)/25))/(LN(2)/25)*Calculateur!V173*Calculateur!X173*VLOOKUP('Données projet'!$B$9,Paramètres!$A$1:$I$89,3,0)*0.475*44/12</f>
        <v>1.6721152155422678</v>
      </c>
      <c r="AB173" s="21">
        <f>EXP(-LN(2)/2)*AB172+(1-EXP(-LN(2)/2))/(LN(2)/2)*V173*Y173*VLOOKUP('Données projet'!$B$9,Paramètres!$A$1:$I$89,3,0)*0.475*44/12</f>
        <v>8.0040022357498224E-16</v>
      </c>
      <c r="AC173" s="22">
        <f t="shared" si="163"/>
        <v>9.9538644023717762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5.7639226724859328E-14</v>
      </c>
      <c r="AK173" s="13">
        <f t="shared" si="164"/>
        <v>9.2325701996134334E-13</v>
      </c>
      <c r="AL173" s="20">
        <f t="shared" si="165"/>
        <v>1.708394296311803E-12</v>
      </c>
      <c r="AM173" s="59">
        <f t="shared" si="113"/>
        <v>288.65398521628759</v>
      </c>
      <c r="AN173" s="59">
        <f ca="1">AVERAGE(OFFSET($AM$3,0,0,'Données projet'!$E$10+1,1))-AVERAGE(OFFSET($H$3,0,0,'Données projet'!$E$10+1,1))</f>
        <v>542.51810435067659</v>
      </c>
      <c r="AO173" s="59">
        <f t="shared" si="144"/>
        <v>325.7263575945085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77.826340486373027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77.826340486373027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5.1431925385259088E-14</v>
      </c>
      <c r="BF173" s="13">
        <f t="shared" si="167"/>
        <v>8.3482866290946129E-13</v>
      </c>
      <c r="BG173" s="20">
        <f t="shared" si="168"/>
        <v>1.5435705246133045E-12</v>
      </c>
      <c r="BH173" s="59">
        <f t="shared" si="116"/>
        <v>288.65398521628742</v>
      </c>
      <c r="BI173" s="59">
        <f ca="1">AVERAGE(OFFSET($BH$3,0,0,'Données projet'!$E$11+1,1))-AVERAGE(OFFSET($H$3,0,0,'Données projet'!$E$11+1,1))</f>
        <v>492.39485179035256</v>
      </c>
      <c r="BJ173" s="59">
        <f t="shared" si="146"/>
        <v>297.32483725004124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69.445042280148229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69.445042280148229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-5.4092197387944907E-14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260.51631161522039</v>
      </c>
      <c r="CE173" s="59">
        <f t="shared" si="148"/>
        <v>171.3469666102674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14.639681945412033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14.639681945412033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3.3992364478763198E-14</v>
      </c>
      <c r="CV173" s="13">
        <f t="shared" si="173"/>
        <v>5.790027782444094E-13</v>
      </c>
      <c r="CW173" s="20">
        <f t="shared" si="174"/>
        <v>1.0676332069095257E-12</v>
      </c>
      <c r="CX173" s="59">
        <f t="shared" si="122"/>
        <v>288.65398521628697</v>
      </c>
      <c r="CY173" s="59">
        <f ca="1">AVERAGE(OFFSET($CX$3,0,0,'Données projet'!$E$13+1,1))-AVERAGE(OFFSET($H$3,0,0,'Données projet'!$E$13+1,1))</f>
        <v>301.2688576786212</v>
      </c>
      <c r="CZ173" s="59">
        <f t="shared" si="150"/>
        <v>417.62172165132927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13.734907821223807</v>
      </c>
      <c r="DG173" s="21">
        <f>EXP(-LN(2)/25)*DG172+(1-EXP(-LN(2)/25))/(LN(2)/25)*Calculateur!DB173*Calculateur!DD173*VLOOKUP('Données projet'!$B$13,Paramètres!$A$1:$I$89,3,0)*0.475*44/12</f>
        <v>1.9074668922777702</v>
      </c>
      <c r="DH173" s="21">
        <f>EXP(-LN(2)/2)*DH172+(1-EXP(-LN(2)/2))/(LN(2)/2)*DB173*DE173*VLOOKUP('Données projet'!$B$13,Paramètres!$A$1:$I$89,3,0)*0.475*44/12</f>
        <v>3.6260708334039017E-17</v>
      </c>
      <c r="DI173" s="22">
        <f t="shared" si="175"/>
        <v>15.642374713501578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167.82976403567059</v>
      </c>
      <c r="T174" s="59">
        <f t="shared" si="142"/>
        <v>232.70925470547317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8.1193491366440043</v>
      </c>
      <c r="AA174" s="21">
        <f>EXP(-LN(2)/25)*AA173+(1-EXP(-LN(2)/25))/(LN(2)/25)*Calculateur!V174*Calculateur!X174*VLOOKUP('Données projet'!$B$9,Paramètres!$A$1:$I$89,3,0)*0.475*44/12</f>
        <v>1.6263911370405471</v>
      </c>
      <c r="AB174" s="21">
        <f>EXP(-LN(2)/2)*AB173+(1-EXP(-LN(2)/2))/(LN(2)/2)*V174*Y174*VLOOKUP('Données projet'!$B$9,Paramètres!$A$1:$I$89,3,0)*0.475*44/12</f>
        <v>5.6596842575309868E-16</v>
      </c>
      <c r="AC174" s="22">
        <f t="shared" si="163"/>
        <v>9.745740273684552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5.7639226724859328E-14</v>
      </c>
      <c r="AK174" s="13">
        <f t="shared" si="164"/>
        <v>9.2325701996134334E-13</v>
      </c>
      <c r="AL174" s="20">
        <f t="shared" si="165"/>
        <v>1.708394296311803E-12</v>
      </c>
      <c r="AM174" s="59">
        <f t="shared" si="113"/>
        <v>288.73516144466322</v>
      </c>
      <c r="AN174" s="59">
        <f ca="1">AVERAGE(OFFSET($AM$3,0,0,'Données projet'!$E$10+1,1))-AVERAGE(OFFSET($H$3,0,0,'Données projet'!$E$10+1,1))</f>
        <v>542.51810435067659</v>
      </c>
      <c r="AO174" s="59">
        <f t="shared" si="144"/>
        <v>325.7263575945085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76.30021341881573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76.30021341881573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5.1431925385259088E-14</v>
      </c>
      <c r="BF174" s="13">
        <f t="shared" si="167"/>
        <v>8.3482866290946129E-13</v>
      </c>
      <c r="BG174" s="20">
        <f t="shared" si="168"/>
        <v>1.5435705246133045E-12</v>
      </c>
      <c r="BH174" s="59">
        <f t="shared" si="116"/>
        <v>288.73516144466305</v>
      </c>
      <c r="BI174" s="59">
        <f ca="1">AVERAGE(OFFSET($BH$3,0,0,'Données projet'!$E$11+1,1))-AVERAGE(OFFSET($H$3,0,0,'Données projet'!$E$11+1,1))</f>
        <v>492.39485179035256</v>
      </c>
      <c r="BJ174" s="59">
        <f t="shared" si="146"/>
        <v>297.32483725004124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68.083267358327873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68.083267358327873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-5.4092197387944907E-14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260.51631161522039</v>
      </c>
      <c r="CE174" s="59">
        <f t="shared" si="148"/>
        <v>171.3469666102674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14.352606711786791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14.352606711786791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3.3992364478763198E-14</v>
      </c>
      <c r="CV174" s="13">
        <f t="shared" si="173"/>
        <v>5.790027782444094E-13</v>
      </c>
      <c r="CW174" s="20">
        <f t="shared" si="174"/>
        <v>1.0676332069095257E-12</v>
      </c>
      <c r="CX174" s="59">
        <f t="shared" si="122"/>
        <v>288.73516144466259</v>
      </c>
      <c r="CY174" s="59">
        <f ca="1">AVERAGE(OFFSET($CX$3,0,0,'Données projet'!$E$13+1,1))-AVERAGE(OFFSET($H$3,0,0,'Données projet'!$E$13+1,1))</f>
        <v>301.2688576786212</v>
      </c>
      <c r="CZ174" s="59">
        <f t="shared" si="150"/>
        <v>417.62172165132927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13.465574656316173</v>
      </c>
      <c r="DG174" s="21">
        <f>EXP(-LN(2)/25)*DG173+(1-EXP(-LN(2)/25))/(LN(2)/25)*Calculateur!DB174*Calculateur!DD174*VLOOKUP('Données projet'!$B$13,Paramètres!$A$1:$I$89,3,0)*0.475*44/12</f>
        <v>1.8553071097991103</v>
      </c>
      <c r="DH174" s="21">
        <f>EXP(-LN(2)/2)*DH173+(1-EXP(-LN(2)/2))/(LN(2)/2)*DB174*DE174*VLOOKUP('Données projet'!$B$13,Paramètres!$A$1:$I$89,3,0)*0.475*44/12</f>
        <v>2.5640192753626548E-17</v>
      </c>
      <c r="DI174" s="22">
        <f t="shared" si="175"/>
        <v>15.320881766115283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167.82976403567059</v>
      </c>
      <c r="T175" s="59">
        <f t="shared" si="142"/>
        <v>232.70925470547317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7.9601336523883885</v>
      </c>
      <c r="AA175" s="21">
        <f>EXP(-LN(2)/25)*AA174+(1-EXP(-LN(2)/25))/(LN(2)/25)*Calculateur!V175*Calculateur!X175*VLOOKUP('Données projet'!$B$9,Paramètres!$A$1:$I$89,3,0)*0.475*44/12</f>
        <v>1.5819173858699807</v>
      </c>
      <c r="AB175" s="21">
        <f>EXP(-LN(2)/2)*AB174+(1-EXP(-LN(2)/2))/(LN(2)/2)*V175*Y175*VLOOKUP('Données projet'!$B$9,Paramètres!$A$1:$I$89,3,0)*0.475*44/12</f>
        <v>4.0020011178749112E-16</v>
      </c>
      <c r="AC175" s="22">
        <f t="shared" si="163"/>
        <v>9.5420510382583696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5.7639226724859328E-14</v>
      </c>
      <c r="AK175" s="13">
        <f t="shared" si="164"/>
        <v>9.2325701996134334E-13</v>
      </c>
      <c r="AL175" s="20">
        <f t="shared" si="165"/>
        <v>1.708394296311803E-12</v>
      </c>
      <c r="AM175" s="59">
        <f t="shared" si="113"/>
        <v>288.81492944695935</v>
      </c>
      <c r="AN175" s="59">
        <f ca="1">AVERAGE(OFFSET($AM$3,0,0,'Données projet'!$E$10+1,1))-AVERAGE(OFFSET($H$3,0,0,'Données projet'!$E$10+1,1))</f>
        <v>542.51810435067659</v>
      </c>
      <c r="AO175" s="59">
        <f t="shared" si="144"/>
        <v>325.7263575945085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74.804012772207642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74.804012772207642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5.1431925385259088E-14</v>
      </c>
      <c r="BF175" s="13">
        <f t="shared" si="167"/>
        <v>8.3482866290946129E-13</v>
      </c>
      <c r="BG175" s="20">
        <f t="shared" si="168"/>
        <v>1.5435705246133045E-12</v>
      </c>
      <c r="BH175" s="59">
        <f t="shared" si="116"/>
        <v>288.81492944695918</v>
      </c>
      <c r="BI175" s="59">
        <f ca="1">AVERAGE(OFFSET($BH$3,0,0,'Données projet'!$E$11+1,1))-AVERAGE(OFFSET($H$3,0,0,'Données projet'!$E$11+1,1))</f>
        <v>492.39485179035256</v>
      </c>
      <c r="BJ175" s="59">
        <f t="shared" si="146"/>
        <v>297.32483725004124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66.748196012123728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66.748196012123728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-5.4092197387944907E-14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260.51631161522039</v>
      </c>
      <c r="CE175" s="59">
        <f t="shared" si="148"/>
        <v>171.3469666102674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14.071160848394339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14.071160848394339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3.3992364478763198E-14</v>
      </c>
      <c r="CV175" s="13">
        <f t="shared" si="173"/>
        <v>5.790027782444094E-13</v>
      </c>
      <c r="CW175" s="20">
        <f t="shared" si="174"/>
        <v>1.0676332069095257E-12</v>
      </c>
      <c r="CX175" s="59">
        <f t="shared" si="122"/>
        <v>288.81492944695873</v>
      </c>
      <c r="CY175" s="59">
        <f ca="1">AVERAGE(OFFSET($CX$3,0,0,'Données projet'!$E$13+1,1))-AVERAGE(OFFSET($H$3,0,0,'Données projet'!$E$13+1,1))</f>
        <v>301.2688576786212</v>
      </c>
      <c r="CZ175" s="59">
        <f t="shared" si="150"/>
        <v>417.62172165132927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13.201522950495368</v>
      </c>
      <c r="DG175" s="21">
        <f>EXP(-LN(2)/25)*DG174+(1-EXP(-LN(2)/25))/(LN(2)/25)*Calculateur!DB175*Calculateur!DD175*VLOOKUP('Données projet'!$B$13,Paramètres!$A$1:$I$89,3,0)*0.475*44/12</f>
        <v>1.8045736393152931</v>
      </c>
      <c r="DH175" s="21">
        <f>EXP(-LN(2)/2)*DH174+(1-EXP(-LN(2)/2))/(LN(2)/2)*DB175*DE175*VLOOKUP('Données projet'!$B$13,Paramètres!$A$1:$I$89,3,0)*0.475*44/12</f>
        <v>1.8130354167019509E-17</v>
      </c>
      <c r="DI175" s="22">
        <f t="shared" si="175"/>
        <v>15.006096589810662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167.82976403567059</v>
      </c>
      <c r="T176" s="59">
        <f t="shared" si="142"/>
        <v>232.70925470547317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7.8040402866671688</v>
      </c>
      <c r="AA176" s="21">
        <f>EXP(-LN(2)/25)*AA175+(1-EXP(-LN(2)/25))/(LN(2)/25)*Calculateur!V176*Calculateur!X176*VLOOKUP('Données projet'!$B$9,Paramètres!$A$1:$I$89,3,0)*0.475*44/12</f>
        <v>1.5386597717639463</v>
      </c>
      <c r="AB176" s="21">
        <f>EXP(-LN(2)/2)*AB175+(1-EXP(-LN(2)/2))/(LN(2)/2)*V176*Y176*VLOOKUP('Données projet'!$B$9,Paramètres!$A$1:$I$89,3,0)*0.475*44/12</f>
        <v>2.8298421287654934E-16</v>
      </c>
      <c r="AC176" s="22">
        <f t="shared" si="163"/>
        <v>9.3427000584311148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5.7639226724859328E-14</v>
      </c>
      <c r="AK176" s="13">
        <f t="shared" si="164"/>
        <v>9.2325701996134334E-13</v>
      </c>
      <c r="AL176" s="20">
        <f t="shared" si="165"/>
        <v>1.708394296311803E-12</v>
      </c>
      <c r="AM176" s="59">
        <f t="shared" si="113"/>
        <v>288.89331365275018</v>
      </c>
      <c r="AN176" s="59">
        <f ca="1">AVERAGE(OFFSET($AM$3,0,0,'Données projet'!$E$10+1,1))-AVERAGE(OFFSET($H$3,0,0,'Données projet'!$E$10+1,1))</f>
        <v>542.51810435067659</v>
      </c>
      <c r="AO176" s="59">
        <f t="shared" si="144"/>
        <v>325.7263575945085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73.337151707687255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73.337151707687255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5.1431925385259088E-14</v>
      </c>
      <c r="BF176" s="13">
        <f t="shared" si="167"/>
        <v>8.3482866290946129E-13</v>
      </c>
      <c r="BG176" s="20">
        <f t="shared" si="168"/>
        <v>1.5435705246133045E-12</v>
      </c>
      <c r="BH176" s="59">
        <f t="shared" si="116"/>
        <v>288.89331365275001</v>
      </c>
      <c r="BI176" s="59">
        <f ca="1">AVERAGE(OFFSET($BH$3,0,0,'Données projet'!$E$11+1,1))-AVERAGE(OFFSET($H$3,0,0,'Données projet'!$E$11+1,1))</f>
        <v>492.39485179035256</v>
      </c>
      <c r="BJ176" s="59">
        <f t="shared" si="146"/>
        <v>297.32483725004124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65.43930460070554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65.43930460070554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-5.4092197387944907E-14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260.51631161522039</v>
      </c>
      <c r="CE176" s="59">
        <f t="shared" si="148"/>
        <v>171.3469666102674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13.795233966717985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13.795233966717985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3.3992364478763198E-14</v>
      </c>
      <c r="CV176" s="13">
        <f t="shared" si="173"/>
        <v>5.790027782444094E-13</v>
      </c>
      <c r="CW176" s="20">
        <f t="shared" si="174"/>
        <v>1.0676332069095257E-12</v>
      </c>
      <c r="CX176" s="59">
        <f t="shared" si="122"/>
        <v>288.89331365274955</v>
      </c>
      <c r="CY176" s="59">
        <f ca="1">AVERAGE(OFFSET($CX$3,0,0,'Données projet'!$E$13+1,1))-AVERAGE(OFFSET($H$3,0,0,'Données projet'!$E$13+1,1))</f>
        <v>301.2688576786212</v>
      </c>
      <c r="CZ176" s="59">
        <f t="shared" si="150"/>
        <v>417.62172165132927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12.942649137570072</v>
      </c>
      <c r="DG176" s="21">
        <f>EXP(-LN(2)/25)*DG175+(1-EXP(-LN(2)/25))/(LN(2)/25)*Calculateur!DB176*Calculateur!DD176*VLOOKUP('Données projet'!$B$13,Paramètres!$A$1:$I$89,3,0)*0.475*44/12</f>
        <v>1.7552274782498132</v>
      </c>
      <c r="DH176" s="21">
        <f>EXP(-LN(2)/2)*DH175+(1-EXP(-LN(2)/2))/(LN(2)/2)*DB176*DE176*VLOOKUP('Données projet'!$B$13,Paramètres!$A$1:$I$89,3,0)*0.475*44/12</f>
        <v>1.2820096376813274E-17</v>
      </c>
      <c r="DI176" s="22">
        <f t="shared" si="175"/>
        <v>14.697876615819885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167.82976403567059</v>
      </c>
      <c r="T177" s="59">
        <f t="shared" si="142"/>
        <v>232.70925470547317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7.65100781664019</v>
      </c>
      <c r="AA177" s="21">
        <f>EXP(-LN(2)/25)*AA176+(1-EXP(-LN(2)/25))/(LN(2)/25)*Calculateur!V177*Calculateur!X177*VLOOKUP('Données projet'!$B$9,Paramètres!$A$1:$I$89,3,0)*0.475*44/12</f>
        <v>1.4965850393904605</v>
      </c>
      <c r="AB177" s="21">
        <f>EXP(-LN(2)/2)*AB176+(1-EXP(-LN(2)/2))/(LN(2)/2)*V177*Y177*VLOOKUP('Données projet'!$B$9,Paramètres!$A$1:$I$89,3,0)*0.475*44/12</f>
        <v>2.0010005589374556E-16</v>
      </c>
      <c r="AC177" s="22">
        <f t="shared" si="163"/>
        <v>9.1475928560306503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5.7639226724859328E-14</v>
      </c>
      <c r="AK177" s="13">
        <f t="shared" si="164"/>
        <v>9.2325701996134334E-13</v>
      </c>
      <c r="AL177" s="20">
        <f t="shared" si="165"/>
        <v>1.708394296311803E-12</v>
      </c>
      <c r="AM177" s="59">
        <f t="shared" si="113"/>
        <v>288.97033806781144</v>
      </c>
      <c r="AN177" s="59">
        <f ca="1">AVERAGE(OFFSET($AM$3,0,0,'Données projet'!$E$10+1,1))-AVERAGE(OFFSET($H$3,0,0,'Données projet'!$E$10+1,1))</f>
        <v>542.51810435067659</v>
      </c>
      <c r="AO177" s="59">
        <f t="shared" si="144"/>
        <v>325.7263575945085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71.899054893945205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71.899054893945205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5.1431925385259088E-14</v>
      </c>
      <c r="BF177" s="13">
        <f t="shared" si="167"/>
        <v>8.3482866290946129E-13</v>
      </c>
      <c r="BG177" s="20">
        <f t="shared" si="168"/>
        <v>1.5435705246133045E-12</v>
      </c>
      <c r="BH177" s="59">
        <f t="shared" si="116"/>
        <v>288.97033806781127</v>
      </c>
      <c r="BI177" s="59">
        <f ca="1">AVERAGE(OFFSET($BH$3,0,0,'Données projet'!$E$11+1,1))-AVERAGE(OFFSET($H$3,0,0,'Données projet'!$E$11+1,1))</f>
        <v>492.39485179035256</v>
      </c>
      <c r="BJ177" s="59">
        <f t="shared" si="146"/>
        <v>297.32483725004124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64.156079751520323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64.156079751520323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-5.4092197387944907E-14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260.51631161522039</v>
      </c>
      <c r="CE177" s="59">
        <f t="shared" si="148"/>
        <v>171.3469666102674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13.524717842892526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13.524717842892526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3.3992364478763198E-14</v>
      </c>
      <c r="CV177" s="13">
        <f t="shared" si="173"/>
        <v>5.790027782444094E-13</v>
      </c>
      <c r="CW177" s="20">
        <f t="shared" si="174"/>
        <v>1.0676332069095257E-12</v>
      </c>
      <c r="CX177" s="59">
        <f t="shared" si="122"/>
        <v>288.97033806781081</v>
      </c>
      <c r="CY177" s="59">
        <f ca="1">AVERAGE(OFFSET($CX$3,0,0,'Données projet'!$E$13+1,1))-AVERAGE(OFFSET($H$3,0,0,'Données projet'!$E$13+1,1))</f>
        <v>301.2688576786212</v>
      </c>
      <c r="CZ177" s="59">
        <f t="shared" si="150"/>
        <v>417.62172165132927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12.688851682218806</v>
      </c>
      <c r="DG177" s="21">
        <f>EXP(-LN(2)/25)*DG176+(1-EXP(-LN(2)/25))/(LN(2)/25)*Calculateur!DB177*Calculateur!DD177*VLOOKUP('Données projet'!$B$13,Paramètres!$A$1:$I$89,3,0)*0.475*44/12</f>
        <v>1.7072306905536705</v>
      </c>
      <c r="DH177" s="21">
        <f>EXP(-LN(2)/2)*DH176+(1-EXP(-LN(2)/2))/(LN(2)/2)*DB177*DE177*VLOOKUP('Données projet'!$B$13,Paramètres!$A$1:$I$89,3,0)*0.475*44/12</f>
        <v>9.0651770835097543E-18</v>
      </c>
      <c r="DI177" s="22">
        <f t="shared" si="175"/>
        <v>14.396082372772476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167.82976403567059</v>
      </c>
      <c r="T178" s="59">
        <f t="shared" si="142"/>
        <v>232.70925470547317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7.50097622000985</v>
      </c>
      <c r="AA178" s="21">
        <f>EXP(-LN(2)/25)*AA177+(1-EXP(-LN(2)/25))/(LN(2)/25)*Calculateur!V178*Calculateur!X178*VLOOKUP('Données projet'!$B$9,Paramètres!$A$1:$I$89,3,0)*0.475*44/12</f>
        <v>1.4556608427863416</v>
      </c>
      <c r="AB178" s="21">
        <f>EXP(-LN(2)/2)*AB177+(1-EXP(-LN(2)/2))/(LN(2)/2)*V178*Y178*VLOOKUP('Données projet'!$B$9,Paramètres!$A$1:$I$89,3,0)*0.475*44/12</f>
        <v>1.4149210643827467E-16</v>
      </c>
      <c r="AC178" s="22">
        <f t="shared" si="163"/>
        <v>8.956637062796192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5.7639226724859328E-14</v>
      </c>
      <c r="AK178" s="13">
        <f t="shared" si="164"/>
        <v>9.2325701996134334E-13</v>
      </c>
      <c r="AL178" s="20">
        <f t="shared" si="165"/>
        <v>1.708394296311803E-12</v>
      </c>
      <c r="AM178" s="59">
        <f t="shared" si="113"/>
        <v>289.04602628147211</v>
      </c>
      <c r="AN178" s="59">
        <f ca="1">AVERAGE(OFFSET($AM$3,0,0,'Données projet'!$E$10+1,1))-AVERAGE(OFFSET($H$3,0,0,'Données projet'!$E$10+1,1))</f>
        <v>542.51810435067659</v>
      </c>
      <c r="AO178" s="59">
        <f t="shared" si="144"/>
        <v>325.7263575945085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70.489158281568194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70.489158281568194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5.1431925385259088E-14</v>
      </c>
      <c r="BF178" s="13">
        <f t="shared" si="167"/>
        <v>8.3482866290946129E-13</v>
      </c>
      <c r="BG178" s="20">
        <f t="shared" si="168"/>
        <v>1.5435705246133045E-12</v>
      </c>
      <c r="BH178" s="59">
        <f t="shared" si="116"/>
        <v>289.04602628147194</v>
      </c>
      <c r="BI178" s="59">
        <f ca="1">AVERAGE(OFFSET($BH$3,0,0,'Données projet'!$E$11+1,1))-AVERAGE(OFFSET($H$3,0,0,'Données projet'!$E$11+1,1))</f>
        <v>492.39485179035256</v>
      </c>
      <c r="BJ178" s="59">
        <f t="shared" si="146"/>
        <v>297.32483725004124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62.898018158937759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62.898018158937759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-5.4092197387944907E-14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260.51631161522039</v>
      </c>
      <c r="CE178" s="59">
        <f t="shared" si="148"/>
        <v>171.3469666102674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13.259506375256741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13.259506375256741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3.3992364478763198E-14</v>
      </c>
      <c r="CV178" s="13">
        <f t="shared" si="173"/>
        <v>5.790027782444094E-13</v>
      </c>
      <c r="CW178" s="20">
        <f t="shared" si="174"/>
        <v>1.0676332069095257E-12</v>
      </c>
      <c r="CX178" s="59">
        <f t="shared" si="122"/>
        <v>289.04602628147148</v>
      </c>
      <c r="CY178" s="59">
        <f ca="1">AVERAGE(OFFSET($CX$3,0,0,'Données projet'!$E$13+1,1))-AVERAGE(OFFSET($H$3,0,0,'Données projet'!$E$13+1,1))</f>
        <v>301.2688576786212</v>
      </c>
      <c r="CZ178" s="59">
        <f t="shared" si="150"/>
        <v>417.62172165132927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12.440031040165815</v>
      </c>
      <c r="DG178" s="21">
        <f>EXP(-LN(2)/25)*DG177+(1-EXP(-LN(2)/25))/(LN(2)/25)*Calculateur!DB178*Calculateur!DD178*VLOOKUP('Données projet'!$B$13,Paramètres!$A$1:$I$89,3,0)*0.475*44/12</f>
        <v>1.6605463775411202</v>
      </c>
      <c r="DH178" s="21">
        <f>EXP(-LN(2)/2)*DH177+(1-EXP(-LN(2)/2))/(LN(2)/2)*DB178*DE178*VLOOKUP('Données projet'!$B$13,Paramètres!$A$1:$I$89,3,0)*0.475*44/12</f>
        <v>6.410048188406637E-18</v>
      </c>
      <c r="DI178" s="22">
        <f t="shared" si="175"/>
        <v>14.100577417706935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167.82976403567059</v>
      </c>
      <c r="T179" s="59">
        <f t="shared" si="142"/>
        <v>232.70925470547317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7.3538866514791934</v>
      </c>
      <c r="AA179" s="21">
        <f>EXP(-LN(2)/25)*AA178+(1-EXP(-LN(2)/25))/(LN(2)/25)*Calculateur!V179*Calculateur!X179*VLOOKUP('Données projet'!$B$9,Paramètres!$A$1:$I$89,3,0)*0.475*44/12</f>
        <v>1.4158557204904723</v>
      </c>
      <c r="AB179" s="21">
        <f>EXP(-LN(2)/2)*AB178+(1-EXP(-LN(2)/2))/(LN(2)/2)*V179*Y179*VLOOKUP('Données projet'!$B$9,Paramètres!$A$1:$I$89,3,0)*0.475*44/12</f>
        <v>1.0005002794687278E-16</v>
      </c>
      <c r="AC179" s="22">
        <f t="shared" si="163"/>
        <v>8.7697423719696666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5.7639226724859328E-14</v>
      </c>
      <c r="AK179" s="13">
        <f t="shared" si="164"/>
        <v>9.2325701996134334E-13</v>
      </c>
      <c r="AL179" s="20">
        <f t="shared" si="165"/>
        <v>1.708394296311803E-12</v>
      </c>
      <c r="AM179" s="59">
        <f t="shared" si="113"/>
        <v>289.12040147383931</v>
      </c>
      <c r="AN179" s="59">
        <f ca="1">AVERAGE(OFFSET($AM$3,0,0,'Données projet'!$E$10+1,1))-AVERAGE(OFFSET($H$3,0,0,'Données projet'!$E$10+1,1))</f>
        <v>542.51810435067659</v>
      </c>
      <c r="AO179" s="59">
        <f t="shared" si="144"/>
        <v>325.7263575945085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69.106908881807868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69.106908881807868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5.1431925385259088E-14</v>
      </c>
      <c r="BF179" s="13">
        <f t="shared" si="167"/>
        <v>8.3482866290946129E-13</v>
      </c>
      <c r="BG179" s="20">
        <f t="shared" si="168"/>
        <v>1.5435705246133045E-12</v>
      </c>
      <c r="BH179" s="59">
        <f t="shared" si="116"/>
        <v>289.12040147383914</v>
      </c>
      <c r="BI179" s="59">
        <f ca="1">AVERAGE(OFFSET($BH$3,0,0,'Données projet'!$E$11+1,1))-AVERAGE(OFFSET($H$3,0,0,'Données projet'!$E$11+1,1))</f>
        <v>492.39485179035256</v>
      </c>
      <c r="BJ179" s="59">
        <f t="shared" si="146"/>
        <v>297.32483725004124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61.664626386843935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61.664626386843935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-5.4092197387944907E-14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260.51631161522039</v>
      </c>
      <c r="CE179" s="59">
        <f t="shared" si="148"/>
        <v>171.3469666102674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12.999495542738272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12.999495542738272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3.3992364478763198E-14</v>
      </c>
      <c r="CV179" s="13">
        <f t="shared" si="173"/>
        <v>5.790027782444094E-13</v>
      </c>
      <c r="CW179" s="20">
        <f t="shared" si="174"/>
        <v>1.0676332069095257E-12</v>
      </c>
      <c r="CX179" s="59">
        <f t="shared" si="122"/>
        <v>289.12040147383868</v>
      </c>
      <c r="CY179" s="59">
        <f ca="1">AVERAGE(OFFSET($CX$3,0,0,'Données projet'!$E$13+1,1))-AVERAGE(OFFSET($H$3,0,0,'Données projet'!$E$13+1,1))</f>
        <v>301.2688576786212</v>
      </c>
      <c r="CZ179" s="59">
        <f t="shared" si="150"/>
        <v>417.62172165132927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12.196089619137878</v>
      </c>
      <c r="DG179" s="21">
        <f>EXP(-LN(2)/25)*DG178+(1-EXP(-LN(2)/25))/(LN(2)/25)*Calculateur!DB179*Calculateur!DD179*VLOOKUP('Données projet'!$B$13,Paramètres!$A$1:$I$89,3,0)*0.475*44/12</f>
        <v>1.6151386495229196</v>
      </c>
      <c r="DH179" s="21">
        <f>EXP(-LN(2)/2)*DH178+(1-EXP(-LN(2)/2))/(LN(2)/2)*DB179*DE179*VLOOKUP('Données projet'!$B$13,Paramètres!$A$1:$I$89,3,0)*0.475*44/12</f>
        <v>4.5325885417548771E-18</v>
      </c>
      <c r="DI179" s="22">
        <f t="shared" si="175"/>
        <v>13.811228268660797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167.82976403567059</v>
      </c>
      <c r="T180" s="59">
        <f t="shared" si="142"/>
        <v>232.70925470547317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7.2096814196716448</v>
      </c>
      <c r="AA180" s="21">
        <f>EXP(-LN(2)/25)*AA179+(1-EXP(-LN(2)/25))/(LN(2)/25)*Calculateur!V180*Calculateur!X180*VLOOKUP('Données projet'!$B$9,Paramètres!$A$1:$I$89,3,0)*0.475*44/12</f>
        <v>1.3771390713570439</v>
      </c>
      <c r="AB180" s="21">
        <f>EXP(-LN(2)/2)*AB179+(1-EXP(-LN(2)/2))/(LN(2)/2)*V180*Y180*VLOOKUP('Données projet'!$B$9,Paramètres!$A$1:$I$89,3,0)*0.475*44/12</f>
        <v>7.0746053219137335E-17</v>
      </c>
      <c r="AC180" s="22">
        <f t="shared" si="163"/>
        <v>8.5868204910286892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5.7639226724859328E-14</v>
      </c>
      <c r="AK180" s="13">
        <f t="shared" si="164"/>
        <v>9.2325701996134334E-13</v>
      </c>
      <c r="AL180" s="20">
        <f t="shared" si="165"/>
        <v>1.708394296311803E-12</v>
      </c>
      <c r="AM180" s="59">
        <f t="shared" si="113"/>
        <v>289.19348642289697</v>
      </c>
      <c r="AN180" s="59">
        <f ca="1">AVERAGE(OFFSET($AM$3,0,0,'Données projet'!$E$10+1,1))-AVERAGE(OFFSET($H$3,0,0,'Données projet'!$E$10+1,1))</f>
        <v>542.51810435067659</v>
      </c>
      <c r="AO180" s="59">
        <f t="shared" si="144"/>
        <v>325.7263575945085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67.751764549687962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67.751764549687962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5.1431925385259088E-14</v>
      </c>
      <c r="BF180" s="13">
        <f t="shared" si="167"/>
        <v>8.3482866290946129E-13</v>
      </c>
      <c r="BG180" s="20">
        <f t="shared" si="168"/>
        <v>1.5435705246133045E-12</v>
      </c>
      <c r="BH180" s="59">
        <f t="shared" si="116"/>
        <v>289.1934864228968</v>
      </c>
      <c r="BI180" s="59">
        <f ca="1">AVERAGE(OFFSET($BH$3,0,0,'Données projet'!$E$11+1,1))-AVERAGE(OFFSET($H$3,0,0,'Données projet'!$E$11+1,1))</f>
        <v>492.39485179035256</v>
      </c>
      <c r="BJ180" s="59">
        <f t="shared" si="146"/>
        <v>297.32483725004124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60.455420675106176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60.455420675106176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-5.4092197387944907E-14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260.51631161522039</v>
      </c>
      <c r="CE180" s="59">
        <f t="shared" si="148"/>
        <v>171.3469666102674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12.74458336405454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12.74458336405454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3.3992364478763198E-14</v>
      </c>
      <c r="CV180" s="13">
        <f t="shared" si="173"/>
        <v>5.790027782444094E-13</v>
      </c>
      <c r="CW180" s="20">
        <f t="shared" si="174"/>
        <v>1.0676332069095257E-12</v>
      </c>
      <c r="CX180" s="59">
        <f t="shared" si="122"/>
        <v>289.19348642289634</v>
      </c>
      <c r="CY180" s="59">
        <f ca="1">AVERAGE(OFFSET($CX$3,0,0,'Données projet'!$E$13+1,1))-AVERAGE(OFFSET($H$3,0,0,'Données projet'!$E$13+1,1))</f>
        <v>301.2688576786212</v>
      </c>
      <c r="CZ180" s="59">
        <f t="shared" si="150"/>
        <v>417.62172165132927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11.956931740586723</v>
      </c>
      <c r="DG180" s="21">
        <f>EXP(-LN(2)/25)*DG179+(1-EXP(-LN(2)/25))/(LN(2)/25)*Calculateur!DB180*Calculateur!DD180*VLOOKUP('Données projet'!$B$13,Paramètres!$A$1:$I$89,3,0)*0.475*44/12</f>
        <v>1.5709725982152654</v>
      </c>
      <c r="DH180" s="21">
        <f>EXP(-LN(2)/2)*DH179+(1-EXP(-LN(2)/2))/(LN(2)/2)*DB180*DE180*VLOOKUP('Données projet'!$B$13,Paramètres!$A$1:$I$89,3,0)*0.475*44/12</f>
        <v>3.2050240942033185E-18</v>
      </c>
      <c r="DI180" s="22">
        <f t="shared" si="175"/>
        <v>13.527904338801989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167.82976403567059</v>
      </c>
      <c r="T181" s="59">
        <f t="shared" si="142"/>
        <v>232.70925470547317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7.0683039645033352</v>
      </c>
      <c r="AA181" s="21">
        <f>EXP(-LN(2)/25)*AA180+(1-EXP(-LN(2)/25))/(LN(2)/25)*Calculateur!V181*Calculateur!X181*VLOOKUP('Données projet'!$B$9,Paramètres!$A$1:$I$89,3,0)*0.475*44/12</f>
        <v>1.3394811310301893</v>
      </c>
      <c r="AB181" s="21">
        <f>EXP(-LN(2)/2)*AB180+(1-EXP(-LN(2)/2))/(LN(2)/2)*V181*Y181*VLOOKUP('Données projet'!$B$9,Paramètres!$A$1:$I$89,3,0)*0.475*44/12</f>
        <v>5.002501397343639E-17</v>
      </c>
      <c r="AC181" s="22">
        <f t="shared" si="163"/>
        <v>8.4077850955335247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5.7639226724859328E-14</v>
      </c>
      <c r="AK181" s="13">
        <f t="shared" si="164"/>
        <v>9.2325701996134334E-13</v>
      </c>
      <c r="AL181" s="20">
        <f t="shared" si="165"/>
        <v>1.708394296311803E-12</v>
      </c>
      <c r="AM181" s="59">
        <f t="shared" si="113"/>
        <v>289.26530351148187</v>
      </c>
      <c r="AN181" s="59">
        <f ca="1">AVERAGE(OFFSET($AM$3,0,0,'Données projet'!$E$10+1,1))-AVERAGE(OFFSET($H$3,0,0,'Données projet'!$E$10+1,1))</f>
        <v>542.51810435067659</v>
      </c>
      <c r="AO181" s="59">
        <f t="shared" si="144"/>
        <v>325.7263575945085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66.423193771364495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66.423193771364495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5.1431925385259088E-14</v>
      </c>
      <c r="BF181" s="13">
        <f t="shared" si="167"/>
        <v>8.3482866290946129E-13</v>
      </c>
      <c r="BG181" s="20">
        <f t="shared" si="168"/>
        <v>1.5435705246133045E-12</v>
      </c>
      <c r="BH181" s="59">
        <f t="shared" si="116"/>
        <v>289.2653035114817</v>
      </c>
      <c r="BI181" s="59">
        <f ca="1">AVERAGE(OFFSET($BH$3,0,0,'Données projet'!$E$11+1,1))-AVERAGE(OFFSET($H$3,0,0,'Données projet'!$E$11+1,1))</f>
        <v>492.39485179035256</v>
      </c>
      <c r="BJ181" s="59">
        <f t="shared" si="146"/>
        <v>297.32483725004124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59.269926749832933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59.269926749832933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-5.4092197387944907E-14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260.51631161522039</v>
      </c>
      <c r="CE181" s="59">
        <f t="shared" si="148"/>
        <v>171.3469666102674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12.494669857713721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12.494669857713721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3.3992364478763198E-14</v>
      </c>
      <c r="CV181" s="13">
        <f t="shared" si="173"/>
        <v>5.790027782444094E-13</v>
      </c>
      <c r="CW181" s="20">
        <f t="shared" si="174"/>
        <v>1.0676332069095257E-12</v>
      </c>
      <c r="CX181" s="59">
        <f t="shared" si="122"/>
        <v>289.26530351148125</v>
      </c>
      <c r="CY181" s="59">
        <f ca="1">AVERAGE(OFFSET($CX$3,0,0,'Données projet'!$E$13+1,1))-AVERAGE(OFFSET($H$3,0,0,'Données projet'!$E$13+1,1))</f>
        <v>301.2688576786212</v>
      </c>
      <c r="CZ181" s="59">
        <f t="shared" si="150"/>
        <v>417.62172165132927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11.722463602162055</v>
      </c>
      <c r="DG181" s="21">
        <f>EXP(-LN(2)/25)*DG180+(1-EXP(-LN(2)/25))/(LN(2)/25)*Calculateur!DB181*Calculateur!DD181*VLOOKUP('Données projet'!$B$13,Paramètres!$A$1:$I$89,3,0)*0.475*44/12</f>
        <v>1.5280142699032104</v>
      </c>
      <c r="DH181" s="21">
        <f>EXP(-LN(2)/2)*DH180+(1-EXP(-LN(2)/2))/(LN(2)/2)*DB181*DE181*VLOOKUP('Données projet'!$B$13,Paramètres!$A$1:$I$89,3,0)*0.475*44/12</f>
        <v>2.2662942708774386E-18</v>
      </c>
      <c r="DI181" s="22">
        <f t="shared" si="175"/>
        <v>13.250477872065265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167.82976403567059</v>
      </c>
      <c r="T182" s="59">
        <f t="shared" si="142"/>
        <v>232.70925470547317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6.9296988349991437</v>
      </c>
      <c r="AA182" s="21">
        <f>EXP(-LN(2)/25)*AA181+(1-EXP(-LN(2)/25))/(LN(2)/25)*Calculateur!V182*Calculateur!X182*VLOOKUP('Données projet'!$B$9,Paramètres!$A$1:$I$89,3,0)*0.475*44/12</f>
        <v>1.3028529490619174</v>
      </c>
      <c r="AB182" s="21">
        <f>EXP(-LN(2)/2)*AB181+(1-EXP(-LN(2)/2))/(LN(2)/2)*V182*Y182*VLOOKUP('Données projet'!$B$9,Paramètres!$A$1:$I$89,3,0)*0.475*44/12</f>
        <v>3.5373026609568667E-17</v>
      </c>
      <c r="AC182" s="22">
        <f t="shared" si="163"/>
        <v>8.2325517840610605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5.7639226724859328E-14</v>
      </c>
      <c r="AK182" s="13">
        <f t="shared" si="164"/>
        <v>9.2325701996134334E-13</v>
      </c>
      <c r="AL182" s="20">
        <f t="shared" si="165"/>
        <v>1.708394296311803E-12</v>
      </c>
      <c r="AM182" s="59">
        <f t="shared" si="113"/>
        <v>289.33587473413883</v>
      </c>
      <c r="AN182" s="59">
        <f ca="1">AVERAGE(OFFSET($AM$3,0,0,'Données projet'!$E$10+1,1))-AVERAGE(OFFSET($H$3,0,0,'Données projet'!$E$10+1,1))</f>
        <v>542.51810435067659</v>
      </c>
      <c r="AO182" s="59">
        <f t="shared" si="144"/>
        <v>325.7263575945085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65.1206754556558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65.1206754556558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5.1431925385259088E-14</v>
      </c>
      <c r="BF182" s="13">
        <f t="shared" si="167"/>
        <v>8.3482866290946129E-13</v>
      </c>
      <c r="BG182" s="20">
        <f t="shared" si="168"/>
        <v>1.5435705246133045E-12</v>
      </c>
      <c r="BH182" s="59">
        <f t="shared" si="116"/>
        <v>289.33587473413866</v>
      </c>
      <c r="BI182" s="59">
        <f ca="1">AVERAGE(OFFSET($BH$3,0,0,'Données projet'!$E$11+1,1))-AVERAGE(OFFSET($H$3,0,0,'Données projet'!$E$11+1,1))</f>
        <v>492.39485179035256</v>
      </c>
      <c r="BJ182" s="59">
        <f t="shared" si="146"/>
        <v>297.32483725004124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58.107679637354401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58.107679637354401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-5.4092197387944907E-14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260.51631161522039</v>
      </c>
      <c r="CE182" s="59">
        <f t="shared" si="148"/>
        <v>171.3469666102674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12.249657002800056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12.249657002800056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3.3992364478763198E-14</v>
      </c>
      <c r="CV182" s="13">
        <f t="shared" si="173"/>
        <v>5.790027782444094E-13</v>
      </c>
      <c r="CW182" s="20">
        <f t="shared" si="174"/>
        <v>1.0676332069095257E-12</v>
      </c>
      <c r="CX182" s="59">
        <f t="shared" si="122"/>
        <v>289.3358747341382</v>
      </c>
      <c r="CY182" s="59">
        <f ca="1">AVERAGE(OFFSET($CX$3,0,0,'Données projet'!$E$13+1,1))-AVERAGE(OFFSET($H$3,0,0,'Données projet'!$E$13+1,1))</f>
        <v>301.2688576786212</v>
      </c>
      <c r="CZ182" s="59">
        <f t="shared" si="150"/>
        <v>417.62172165132927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11.492593240920451</v>
      </c>
      <c r="DG182" s="21">
        <f>EXP(-LN(2)/25)*DG181+(1-EXP(-LN(2)/25))/(LN(2)/25)*Calculateur!DB182*Calculateur!DD182*VLOOKUP('Données projet'!$B$13,Paramètres!$A$1:$I$89,3,0)*0.475*44/12</f>
        <v>1.486230639337929</v>
      </c>
      <c r="DH182" s="21">
        <f>EXP(-LN(2)/2)*DH181+(1-EXP(-LN(2)/2))/(LN(2)/2)*DB182*DE182*VLOOKUP('Données projet'!$B$13,Paramètres!$A$1:$I$89,3,0)*0.475*44/12</f>
        <v>1.6025120471016592E-18</v>
      </c>
      <c r="DI182" s="22">
        <f t="shared" si="175"/>
        <v>12.97882388025838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167.82976403567059</v>
      </c>
      <c r="T183" s="59">
        <f t="shared" si="142"/>
        <v>232.70925470547317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6.7938116675437481</v>
      </c>
      <c r="AA183" s="21">
        <f>EXP(-LN(2)/25)*AA182+(1-EXP(-LN(2)/25))/(LN(2)/25)*Calculateur!V183*Calculateur!X183*VLOOKUP('Données projet'!$B$9,Paramètres!$A$1:$I$89,3,0)*0.475*44/12</f>
        <v>1.2672263666557604</v>
      </c>
      <c r="AB183" s="21">
        <f>EXP(-LN(2)/2)*AB182+(1-EXP(-LN(2)/2))/(LN(2)/2)*V183*Y183*VLOOKUP('Données projet'!$B$9,Paramètres!$A$1:$I$89,3,0)*0.475*44/12</f>
        <v>2.5012506986718195E-17</v>
      </c>
      <c r="AC183" s="22">
        <f t="shared" si="163"/>
        <v>8.0610380341995089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5.7639226724859328E-14</v>
      </c>
      <c r="AK183" s="13">
        <f t="shared" si="164"/>
        <v>9.2325701996134334E-13</v>
      </c>
      <c r="AL183" s="20">
        <f t="shared" si="165"/>
        <v>1.708394296311803E-12</v>
      </c>
      <c r="AM183" s="59">
        <f t="shared" si="113"/>
        <v>289.40522170385634</v>
      </c>
      <c r="AN183" s="59">
        <f ca="1">AVERAGE(OFFSET($AM$3,0,0,'Données projet'!$E$10+1,1))-AVERAGE(OFFSET($H$3,0,0,'Données projet'!$E$10+1,1))</f>
        <v>542.51810435067659</v>
      </c>
      <c r="AO183" s="59">
        <f t="shared" si="144"/>
        <v>325.7263575945085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63.843698729660424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63.843698729660424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5.1431925385259088E-14</v>
      </c>
      <c r="BF183" s="13">
        <f t="shared" si="167"/>
        <v>8.3482866290946129E-13</v>
      </c>
      <c r="BG183" s="20">
        <f t="shared" si="168"/>
        <v>1.5435705246133045E-12</v>
      </c>
      <c r="BH183" s="59">
        <f t="shared" si="116"/>
        <v>289.40522170385617</v>
      </c>
      <c r="BI183" s="59">
        <f ca="1">AVERAGE(OFFSET($BH$3,0,0,'Données projet'!$E$11+1,1))-AVERAGE(OFFSET($H$3,0,0,'Données projet'!$E$11+1,1))</f>
        <v>492.39485179035256</v>
      </c>
      <c r="BJ183" s="59">
        <f t="shared" si="146"/>
        <v>297.32483725004124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56.968223481850835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56.968223481850835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-5.4092197387944907E-14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260.51631161522039</v>
      </c>
      <c r="CE183" s="59">
        <f t="shared" si="148"/>
        <v>171.3469666102674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12.009448700528164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12.009448700528164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3.3992364478763198E-14</v>
      </c>
      <c r="CV183" s="13">
        <f t="shared" si="173"/>
        <v>5.790027782444094E-13</v>
      </c>
      <c r="CW183" s="20">
        <f t="shared" si="174"/>
        <v>1.0676332069095257E-12</v>
      </c>
      <c r="CX183" s="59">
        <f t="shared" si="122"/>
        <v>289.40522170385572</v>
      </c>
      <c r="CY183" s="59">
        <f ca="1">AVERAGE(OFFSET($CX$3,0,0,'Données projet'!$E$13+1,1))-AVERAGE(OFFSET($H$3,0,0,'Données projet'!$E$13+1,1))</f>
        <v>301.2688576786212</v>
      </c>
      <c r="CZ183" s="59">
        <f t="shared" si="150"/>
        <v>417.62172165132927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11.267230497255719</v>
      </c>
      <c r="DG183" s="21">
        <f>EXP(-LN(2)/25)*DG182+(1-EXP(-LN(2)/25))/(LN(2)/25)*Calculateur!DB183*Calculateur!DD183*VLOOKUP('Données projet'!$B$13,Paramètres!$A$1:$I$89,3,0)*0.475*44/12</f>
        <v>1.4455895843477609</v>
      </c>
      <c r="DH183" s="21">
        <f>EXP(-LN(2)/2)*DH182+(1-EXP(-LN(2)/2))/(LN(2)/2)*DB183*DE183*VLOOKUP('Données projet'!$B$13,Paramètres!$A$1:$I$89,3,0)*0.475*44/12</f>
        <v>1.1331471354387193E-18</v>
      </c>
      <c r="DI183" s="22">
        <f t="shared" si="175"/>
        <v>12.71282008160348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167.82976403567059</v>
      </c>
      <c r="T184" s="59">
        <f t="shared" si="142"/>
        <v>232.70925470547317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6.6605891645591644</v>
      </c>
      <c r="AA184" s="21">
        <f>EXP(-LN(2)/25)*AA183+(1-EXP(-LN(2)/25))/(LN(2)/25)*Calculateur!V184*Calculateur!X184*VLOOKUP('Données projet'!$B$9,Paramètres!$A$1:$I$89,3,0)*0.475*44/12</f>
        <v>1.2325739950190202</v>
      </c>
      <c r="AB184" s="21">
        <f>EXP(-LN(2)/2)*AB183+(1-EXP(-LN(2)/2))/(LN(2)/2)*V184*Y184*VLOOKUP('Données projet'!$B$9,Paramètres!$A$1:$I$89,3,0)*0.475*44/12</f>
        <v>1.7686513304784334E-17</v>
      </c>
      <c r="AC184" s="22">
        <f t="shared" si="163"/>
        <v>7.8931631595781848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5.7639226724859328E-14</v>
      </c>
      <c r="AK184" s="13">
        <f t="shared" si="164"/>
        <v>9.2325701996134334E-13</v>
      </c>
      <c r="AL184" s="20">
        <f t="shared" si="165"/>
        <v>1.708394296311803E-12</v>
      </c>
      <c r="AM184" s="59">
        <f t="shared" si="113"/>
        <v>289.47336565868579</v>
      </c>
      <c r="AN184" s="59">
        <f ca="1">AVERAGE(OFFSET($AM$3,0,0,'Données projet'!$E$10+1,1))-AVERAGE(OFFSET($H$3,0,0,'Données projet'!$E$10+1,1))</f>
        <v>542.51810435067659</v>
      </c>
      <c r="AO184" s="59">
        <f t="shared" si="144"/>
        <v>325.7263575945085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62.591762738382926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62.591762738382926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5.1431925385259088E-14</v>
      </c>
      <c r="BF184" s="13">
        <f t="shared" si="167"/>
        <v>8.3482866290946129E-13</v>
      </c>
      <c r="BG184" s="20">
        <f t="shared" si="168"/>
        <v>1.5435705246133045E-12</v>
      </c>
      <c r="BH184" s="59">
        <f t="shared" si="116"/>
        <v>289.47336565868562</v>
      </c>
      <c r="BI184" s="59">
        <f ca="1">AVERAGE(OFFSET($BH$3,0,0,'Données projet'!$E$11+1,1))-AVERAGE(OFFSET($H$3,0,0,'Données projet'!$E$11+1,1))</f>
        <v>492.39485179035256</v>
      </c>
      <c r="BJ184" s="59">
        <f t="shared" si="146"/>
        <v>297.32483725004124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55.851111366557063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55.851111366557063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-5.4092197387944907E-14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260.51631161522039</v>
      </c>
      <c r="CE184" s="59">
        <f t="shared" si="148"/>
        <v>171.3469666102674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11.773950736551226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11.773950736551226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3.3992364478763198E-14</v>
      </c>
      <c r="CV184" s="13">
        <f t="shared" si="173"/>
        <v>5.790027782444094E-13</v>
      </c>
      <c r="CW184" s="20">
        <f t="shared" si="174"/>
        <v>1.0676332069095257E-12</v>
      </c>
      <c r="CX184" s="59">
        <f t="shared" si="122"/>
        <v>289.47336565868517</v>
      </c>
      <c r="CY184" s="59">
        <f ca="1">AVERAGE(OFFSET($CX$3,0,0,'Données projet'!$E$13+1,1))-AVERAGE(OFFSET($H$3,0,0,'Données projet'!$E$13+1,1))</f>
        <v>301.2688576786212</v>
      </c>
      <c r="CZ184" s="59">
        <f t="shared" si="150"/>
        <v>417.62172165132927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11.046286979536552</v>
      </c>
      <c r="DG184" s="21">
        <f>EXP(-LN(2)/25)*DG183+(1-EXP(-LN(2)/25))/(LN(2)/25)*Calculateur!DB184*Calculateur!DD184*VLOOKUP('Données projet'!$B$13,Paramètres!$A$1:$I$89,3,0)*0.475*44/12</f>
        <v>1.4060598611435191</v>
      </c>
      <c r="DH184" s="21">
        <f>EXP(-LN(2)/2)*DH183+(1-EXP(-LN(2)/2))/(LN(2)/2)*DB184*DE184*VLOOKUP('Données projet'!$B$13,Paramètres!$A$1:$I$89,3,0)*0.475*44/12</f>
        <v>8.0125602355082962E-19</v>
      </c>
      <c r="DI184" s="22">
        <f t="shared" si="175"/>
        <v>12.452346840680072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167.82976403567059</v>
      </c>
      <c r="T185" s="59">
        <f t="shared" si="142"/>
        <v>232.70925470547317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6.5299790736004049</v>
      </c>
      <c r="AA185" s="21">
        <f>EXP(-LN(2)/25)*AA184+(1-EXP(-LN(2)/25))/(LN(2)/25)*Calculateur!V185*Calculateur!X185*VLOOKUP('Données projet'!$B$9,Paramètres!$A$1:$I$89,3,0)*0.475*44/12</f>
        <v>1.1988691943069758</v>
      </c>
      <c r="AB185" s="21">
        <f>EXP(-LN(2)/2)*AB184+(1-EXP(-LN(2)/2))/(LN(2)/2)*V185*Y185*VLOOKUP('Données projet'!$B$9,Paramètres!$A$1:$I$89,3,0)*0.475*44/12</f>
        <v>1.2506253493359098E-17</v>
      </c>
      <c r="AC185" s="22">
        <f t="shared" si="163"/>
        <v>7.7288482679073809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5.7639226724859328E-14</v>
      </c>
      <c r="AK185" s="13">
        <f t="shared" si="164"/>
        <v>9.2325701996134334E-13</v>
      </c>
      <c r="AL185" s="20">
        <f t="shared" si="165"/>
        <v>1.708394296311803E-12</v>
      </c>
      <c r="AM185" s="59">
        <f t="shared" si="113"/>
        <v>289.54032746824612</v>
      </c>
      <c r="AN185" s="59">
        <f ca="1">AVERAGE(OFFSET($AM$3,0,0,'Données projet'!$E$10+1,1))-AVERAGE(OFFSET($H$3,0,0,'Données projet'!$E$10+1,1))</f>
        <v>542.51810435067659</v>
      </c>
      <c r="AO185" s="59">
        <f t="shared" si="144"/>
        <v>325.7263575945085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61.364376448288823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61.364376448288823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5.1431925385259088E-14</v>
      </c>
      <c r="BF185" s="13">
        <f t="shared" si="167"/>
        <v>8.3482866290946129E-13</v>
      </c>
      <c r="BG185" s="20">
        <f t="shared" si="168"/>
        <v>1.5435705246133045E-12</v>
      </c>
      <c r="BH185" s="59">
        <f t="shared" si="116"/>
        <v>289.54032746824595</v>
      </c>
      <c r="BI185" s="59">
        <f ca="1">AVERAGE(OFFSET($BH$3,0,0,'Données projet'!$E$11+1,1))-AVERAGE(OFFSET($H$3,0,0,'Données projet'!$E$11+1,1))</f>
        <v>492.39485179035256</v>
      </c>
      <c r="BJ185" s="59">
        <f t="shared" si="146"/>
        <v>297.32483725004124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54.755905138473096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54.755905138473096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-5.4092197387944907E-14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260.51631161522039</v>
      </c>
      <c r="CE185" s="59">
        <f t="shared" si="148"/>
        <v>171.3469666102674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11.543070744008302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11.543070744008302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3.3992364478763198E-14</v>
      </c>
      <c r="CV185" s="13">
        <f t="shared" si="173"/>
        <v>5.790027782444094E-13</v>
      </c>
      <c r="CW185" s="20">
        <f t="shared" si="174"/>
        <v>1.0676332069095257E-12</v>
      </c>
      <c r="CX185" s="59">
        <f t="shared" si="122"/>
        <v>289.54032746824549</v>
      </c>
      <c r="CY185" s="59">
        <f ca="1">AVERAGE(OFFSET($CX$3,0,0,'Données projet'!$E$13+1,1))-AVERAGE(OFFSET($H$3,0,0,'Données projet'!$E$13+1,1))</f>
        <v>301.2688576786212</v>
      </c>
      <c r="CZ185" s="59">
        <f t="shared" si="150"/>
        <v>417.62172165132927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10.829676029437618</v>
      </c>
      <c r="DG185" s="21">
        <f>EXP(-LN(2)/25)*DG184+(1-EXP(-LN(2)/25))/(LN(2)/25)*Calculateur!DB185*Calculateur!DD185*VLOOKUP('Données projet'!$B$13,Paramètres!$A$1:$I$89,3,0)*0.475*44/12</f>
        <v>1.3676110802990751</v>
      </c>
      <c r="DH185" s="21">
        <f>EXP(-LN(2)/2)*DH184+(1-EXP(-LN(2)/2))/(LN(2)/2)*DB185*DE185*VLOOKUP('Données projet'!$B$13,Paramètres!$A$1:$I$89,3,0)*0.475*44/12</f>
        <v>5.6657356771935964E-19</v>
      </c>
      <c r="DI185" s="22">
        <f t="shared" si="175"/>
        <v>12.197287109736692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167.82976403567059</v>
      </c>
      <c r="T186" s="59">
        <f t="shared" si="142"/>
        <v>232.70925470547317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6.4019301668610575</v>
      </c>
      <c r="AA186" s="21">
        <f>EXP(-LN(2)/25)*AA185+(1-EXP(-LN(2)/25))/(LN(2)/25)*Calculateur!V186*Calculateur!X186*VLOOKUP('Données projet'!$B$9,Paramètres!$A$1:$I$89,3,0)*0.475*44/12</f>
        <v>1.1660860531428607</v>
      </c>
      <c r="AB186" s="21">
        <f>EXP(-LN(2)/2)*AB185+(1-EXP(-LN(2)/2))/(LN(2)/2)*V186*Y186*VLOOKUP('Données projet'!$B$9,Paramètres!$A$1:$I$89,3,0)*0.475*44/12</f>
        <v>8.8432566523921668E-18</v>
      </c>
      <c r="AC186" s="22">
        <f t="shared" si="163"/>
        <v>7.5680162200039183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5.7639226724859328E-14</v>
      </c>
      <c r="AK186" s="13">
        <f t="shared" si="164"/>
        <v>9.2325701996134334E-13</v>
      </c>
      <c r="AL186" s="20">
        <f t="shared" si="165"/>
        <v>1.708394296311803E-12</v>
      </c>
      <c r="AM186" s="59">
        <f t="shared" si="113"/>
        <v>289.60612764011466</v>
      </c>
      <c r="AN186" s="59">
        <f ca="1">AVERAGE(OFFSET($AM$3,0,0,'Données projet'!$E$10+1,1))-AVERAGE(OFFSET($H$3,0,0,'Données projet'!$E$10+1,1))</f>
        <v>542.51810435067659</v>
      </c>
      <c r="AO186" s="59">
        <f t="shared" si="144"/>
        <v>325.7263575945085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60.16105845471175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60.16105845471175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5.1431925385259088E-14</v>
      </c>
      <c r="BF186" s="13">
        <f t="shared" si="167"/>
        <v>8.3482866290946129E-13</v>
      </c>
      <c r="BG186" s="20">
        <f t="shared" si="168"/>
        <v>1.5435705246133045E-12</v>
      </c>
      <c r="BH186" s="59">
        <f t="shared" si="116"/>
        <v>289.60612764011449</v>
      </c>
      <c r="BI186" s="59">
        <f ca="1">AVERAGE(OFFSET($BH$3,0,0,'Données projet'!$E$11+1,1))-AVERAGE(OFFSET($H$3,0,0,'Données projet'!$E$11+1,1))</f>
        <v>492.39485179035256</v>
      </c>
      <c r="BJ186" s="59">
        <f t="shared" si="146"/>
        <v>297.32483725004124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53.682175236512016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53.682175236512016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-5.4092197387944907E-14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260.51631161522039</v>
      </c>
      <c r="CE186" s="59">
        <f t="shared" si="148"/>
        <v>171.3469666102674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11.316718167296253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11.316718167296253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3.3992364478763198E-14</v>
      </c>
      <c r="CV186" s="13">
        <f t="shared" si="173"/>
        <v>5.790027782444094E-13</v>
      </c>
      <c r="CW186" s="20">
        <f t="shared" si="174"/>
        <v>1.0676332069095257E-12</v>
      </c>
      <c r="CX186" s="59">
        <f t="shared" si="122"/>
        <v>289.60612764011404</v>
      </c>
      <c r="CY186" s="59">
        <f ca="1">AVERAGE(OFFSET($CX$3,0,0,'Données projet'!$E$13+1,1))-AVERAGE(OFFSET($H$3,0,0,'Données projet'!$E$13+1,1))</f>
        <v>301.2688576786212</v>
      </c>
      <c r="CZ186" s="59">
        <f t="shared" si="150"/>
        <v>417.62172165132927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10.61731268795049</v>
      </c>
      <c r="DG186" s="21">
        <f>EXP(-LN(2)/25)*DG185+(1-EXP(-LN(2)/25))/(LN(2)/25)*Calculateur!DB186*Calculateur!DD186*VLOOKUP('Données projet'!$B$13,Paramètres!$A$1:$I$89,3,0)*0.475*44/12</f>
        <v>1.3302136833887559</v>
      </c>
      <c r="DH186" s="21">
        <f>EXP(-LN(2)/2)*DH185+(1-EXP(-LN(2)/2))/(LN(2)/2)*DB186*DE186*VLOOKUP('Données projet'!$B$13,Paramètres!$A$1:$I$89,3,0)*0.475*44/12</f>
        <v>4.0062801177541481E-19</v>
      </c>
      <c r="DI186" s="22">
        <f t="shared" si="175"/>
        <v>11.947526371339245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167.82976403567059</v>
      </c>
      <c r="T187" s="59">
        <f t="shared" si="142"/>
        <v>232.70925470547317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6.2763922210807479</v>
      </c>
      <c r="AA187" s="21">
        <f>EXP(-LN(2)/25)*AA186+(1-EXP(-LN(2)/25))/(LN(2)/25)*Calculateur!V187*Calculateur!X187*VLOOKUP('Données projet'!$B$9,Paramètres!$A$1:$I$89,3,0)*0.475*44/12</f>
        <v>1.1341993686978689</v>
      </c>
      <c r="AB187" s="21">
        <f>EXP(-LN(2)/2)*AB186+(1-EXP(-LN(2)/2))/(LN(2)/2)*V187*Y187*VLOOKUP('Données projet'!$B$9,Paramètres!$A$1:$I$89,3,0)*0.475*44/12</f>
        <v>6.2531267466795488E-18</v>
      </c>
      <c r="AC187" s="22">
        <f t="shared" si="163"/>
        <v>7.4105915897786172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5.7639226724859328E-14</v>
      </c>
      <c r="AK187" s="13">
        <f t="shared" si="164"/>
        <v>9.2325701996134334E-13</v>
      </c>
      <c r="AL187" s="20">
        <f t="shared" si="165"/>
        <v>1.708394296311803E-12</v>
      </c>
      <c r="AM187" s="59">
        <f t="shared" si="113"/>
        <v>289.67078632610844</v>
      </c>
      <c r="AN187" s="59">
        <f ca="1">AVERAGE(OFFSET($AM$3,0,0,'Données projet'!$E$10+1,1))-AVERAGE(OFFSET($H$3,0,0,'Données projet'!$E$10+1,1))</f>
        <v>542.51810435067659</v>
      </c>
      <c r="AO187" s="59">
        <f t="shared" si="144"/>
        <v>325.7263575945085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58.981336793037215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58.981336793037215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5.1431925385259088E-14</v>
      </c>
      <c r="BF187" s="13">
        <f t="shared" si="167"/>
        <v>8.3482866290946129E-13</v>
      </c>
      <c r="BG187" s="20">
        <f t="shared" si="168"/>
        <v>1.5435705246133045E-12</v>
      </c>
      <c r="BH187" s="59">
        <f t="shared" si="116"/>
        <v>289.67078632610827</v>
      </c>
      <c r="BI187" s="59">
        <f ca="1">AVERAGE(OFFSET($BH$3,0,0,'Données projet'!$E$11+1,1))-AVERAGE(OFFSET($H$3,0,0,'Données projet'!$E$11+1,1))</f>
        <v>492.39485179035256</v>
      </c>
      <c r="BJ187" s="59">
        <f t="shared" si="146"/>
        <v>297.32483725004124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52.629500523017818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52.629500523017818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-5.4092197387944907E-14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260.51631161522039</v>
      </c>
      <c r="CE187" s="59">
        <f t="shared" si="148"/>
        <v>171.3469666102674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11.094804226552089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11.094804226552089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3.3992364478763198E-14</v>
      </c>
      <c r="CV187" s="13">
        <f t="shared" si="173"/>
        <v>5.790027782444094E-13</v>
      </c>
      <c r="CW187" s="20">
        <f t="shared" si="174"/>
        <v>1.0676332069095257E-12</v>
      </c>
      <c r="CX187" s="59">
        <f t="shared" si="122"/>
        <v>289.67078632610782</v>
      </c>
      <c r="CY187" s="59">
        <f ca="1">AVERAGE(OFFSET($CX$3,0,0,'Données projet'!$E$13+1,1))-AVERAGE(OFFSET($H$3,0,0,'Données projet'!$E$13+1,1))</f>
        <v>301.2688576786212</v>
      </c>
      <c r="CZ187" s="59">
        <f t="shared" si="150"/>
        <v>417.62172165132927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10.409113662061076</v>
      </c>
      <c r="DG187" s="21">
        <f>EXP(-LN(2)/25)*DG186+(1-EXP(-LN(2)/25))/(LN(2)/25)*Calculateur!DB187*Calculateur!DD187*VLOOKUP('Données projet'!$B$13,Paramètres!$A$1:$I$89,3,0)*0.475*44/12</f>
        <v>1.2938389202635929</v>
      </c>
      <c r="DH187" s="21">
        <f>EXP(-LN(2)/2)*DH186+(1-EXP(-LN(2)/2))/(LN(2)/2)*DB187*DE187*VLOOKUP('Données projet'!$B$13,Paramètres!$A$1:$I$89,3,0)*0.475*44/12</f>
        <v>2.8328678385967982E-19</v>
      </c>
      <c r="DI187" s="22">
        <f t="shared" si="175"/>
        <v>11.702952582324668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167.82976403567059</v>
      </c>
      <c r="T188" s="59">
        <f t="shared" si="142"/>
        <v>232.70925470547317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6.1533159978466037</v>
      </c>
      <c r="AA188" s="21">
        <f>EXP(-LN(2)/25)*AA187+(1-EXP(-LN(2)/25))/(LN(2)/25)*Calculateur!V188*Calculateur!X188*VLOOKUP('Données projet'!$B$9,Paramètres!$A$1:$I$89,3,0)*0.475*44/12</f>
        <v>1.1031846273158732</v>
      </c>
      <c r="AB188" s="21">
        <f>EXP(-LN(2)/2)*AB187+(1-EXP(-LN(2)/2))/(LN(2)/2)*V188*Y188*VLOOKUP('Données projet'!$B$9,Paramètres!$A$1:$I$89,3,0)*0.475*44/12</f>
        <v>4.4216283261960834E-18</v>
      </c>
      <c r="AC188" s="22">
        <f t="shared" si="163"/>
        <v>7.2565006251624773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5.7639226724859328E-14</v>
      </c>
      <c r="AK188" s="13">
        <f t="shared" si="164"/>
        <v>9.2325701996134334E-13</v>
      </c>
      <c r="AL188" s="20">
        <f t="shared" si="165"/>
        <v>1.708394296311803E-12</v>
      </c>
      <c r="AM188" s="59">
        <f t="shared" si="113"/>
        <v>289.73432332845545</v>
      </c>
      <c r="AN188" s="59">
        <f ca="1">AVERAGE(OFFSET($AM$3,0,0,'Données projet'!$E$10+1,1))-AVERAGE(OFFSET($H$3,0,0,'Données projet'!$E$10+1,1))</f>
        <v>542.51810435067659</v>
      </c>
      <c r="AO188" s="59">
        <f t="shared" si="144"/>
        <v>325.7263575945085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57.824748753588956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57.824748753588956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5.1431925385259088E-14</v>
      </c>
      <c r="BF188" s="13">
        <f t="shared" si="167"/>
        <v>8.3482866290946129E-13</v>
      </c>
      <c r="BG188" s="20">
        <f t="shared" si="168"/>
        <v>1.5435705246133045E-12</v>
      </c>
      <c r="BH188" s="59">
        <f t="shared" si="116"/>
        <v>289.73432332845528</v>
      </c>
      <c r="BI188" s="59">
        <f ca="1">AVERAGE(OFFSET($BH$3,0,0,'Données projet'!$E$11+1,1))-AVERAGE(OFFSET($H$3,0,0,'Données projet'!$E$11+1,1))</f>
        <v>492.39485179035256</v>
      </c>
      <c r="BJ188" s="59">
        <f t="shared" si="146"/>
        <v>297.32483725004124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51.597468118587066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51.597468118587066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-5.4092197387944907E-14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260.51631161522039</v>
      </c>
      <c r="CE188" s="59">
        <f t="shared" si="148"/>
        <v>171.3469666102674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10.877241882831779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10.877241882831779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3.3992364478763198E-14</v>
      </c>
      <c r="CV188" s="13">
        <f t="shared" si="173"/>
        <v>5.790027782444094E-13</v>
      </c>
      <c r="CW188" s="20">
        <f t="shared" si="174"/>
        <v>1.0676332069095257E-12</v>
      </c>
      <c r="CX188" s="59">
        <f t="shared" si="122"/>
        <v>289.73432332845482</v>
      </c>
      <c r="CY188" s="59">
        <f ca="1">AVERAGE(OFFSET($CX$3,0,0,'Données projet'!$E$13+1,1))-AVERAGE(OFFSET($H$3,0,0,'Données projet'!$E$13+1,1))</f>
        <v>301.2688576786212</v>
      </c>
      <c r="CZ188" s="59">
        <f t="shared" si="150"/>
        <v>417.62172165132927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10.204997292080487</v>
      </c>
      <c r="DG188" s="21">
        <f>EXP(-LN(2)/25)*DG187+(1-EXP(-LN(2)/25))/(LN(2)/25)*Calculateur!DB188*Calculateur!DD188*VLOOKUP('Données projet'!$B$13,Paramètres!$A$1:$I$89,3,0)*0.475*44/12</f>
        <v>1.2584588269489532</v>
      </c>
      <c r="DH188" s="21">
        <f>EXP(-LN(2)/2)*DH187+(1-EXP(-LN(2)/2))/(LN(2)/2)*DB188*DE188*VLOOKUP('Données projet'!$B$13,Paramètres!$A$1:$I$89,3,0)*0.475*44/12</f>
        <v>2.0031400588770741E-19</v>
      </c>
      <c r="DI188" s="22">
        <f t="shared" si="175"/>
        <v>11.46345611902944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167.82976403567059</v>
      </c>
      <c r="T189" s="59">
        <f t="shared" si="142"/>
        <v>232.70925470547317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6.0326532242809972</v>
      </c>
      <c r="AA189" s="21">
        <f>EXP(-LN(2)/25)*AA188+(1-EXP(-LN(2)/25))/(LN(2)/25)*Calculateur!V189*Calculateur!X189*VLOOKUP('Données projet'!$B$9,Paramètres!$A$1:$I$89,3,0)*0.475*44/12</f>
        <v>1.0730179856679625</v>
      </c>
      <c r="AB189" s="21">
        <f>EXP(-LN(2)/2)*AB188+(1-EXP(-LN(2)/2))/(LN(2)/2)*V189*Y189*VLOOKUP('Données projet'!$B$9,Paramètres!$A$1:$I$89,3,0)*0.475*44/12</f>
        <v>3.1265633733397744E-18</v>
      </c>
      <c r="AC189" s="22">
        <f t="shared" si="163"/>
        <v>7.1056712099489596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5.7639226724859328E-14</v>
      </c>
      <c r="AK189" s="13">
        <f t="shared" si="164"/>
        <v>9.2325701996134334E-13</v>
      </c>
      <c r="AL189" s="20">
        <f t="shared" si="165"/>
        <v>1.708394296311803E-12</v>
      </c>
      <c r="AM189" s="59">
        <f t="shared" si="113"/>
        <v>289.79675810585911</v>
      </c>
      <c r="AN189" s="59">
        <f ca="1">AVERAGE(OFFSET($AM$3,0,0,'Données projet'!$E$10+1,1))-AVERAGE(OFFSET($H$3,0,0,'Données projet'!$E$10+1,1))</f>
        <v>542.51810435067659</v>
      </c>
      <c r="AO189" s="59">
        <f t="shared" si="144"/>
        <v>325.7263575945085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56.69084070014523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56.69084070014523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5.1431925385259088E-14</v>
      </c>
      <c r="BF189" s="13">
        <f t="shared" si="167"/>
        <v>8.3482866290946129E-13</v>
      </c>
      <c r="BG189" s="20">
        <f t="shared" si="168"/>
        <v>1.5435705246133045E-12</v>
      </c>
      <c r="BH189" s="59">
        <f t="shared" si="116"/>
        <v>289.79675810585894</v>
      </c>
      <c r="BI189" s="59">
        <f ca="1">AVERAGE(OFFSET($BH$3,0,0,'Données projet'!$E$11+1,1))-AVERAGE(OFFSET($H$3,0,0,'Données projet'!$E$11+1,1))</f>
        <v>492.39485179035256</v>
      </c>
      <c r="BJ189" s="59">
        <f t="shared" si="146"/>
        <v>297.32483725004124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50.585673240129587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50.585673240129587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-5.4092197387944907E-14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260.51631161522039</v>
      </c>
      <c r="CE189" s="59">
        <f t="shared" si="148"/>
        <v>171.3469666102674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10.663945803971897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10.663945803971897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3.3992364478763198E-14</v>
      </c>
      <c r="CV189" s="13">
        <f t="shared" si="173"/>
        <v>5.790027782444094E-13</v>
      </c>
      <c r="CW189" s="20">
        <f t="shared" si="174"/>
        <v>1.0676332069095257E-12</v>
      </c>
      <c r="CX189" s="59">
        <f t="shared" si="122"/>
        <v>289.79675810585849</v>
      </c>
      <c r="CY189" s="59">
        <f ca="1">AVERAGE(OFFSET($CX$3,0,0,'Données projet'!$E$13+1,1))-AVERAGE(OFFSET($H$3,0,0,'Données projet'!$E$13+1,1))</f>
        <v>301.2688576786212</v>
      </c>
      <c r="CZ189" s="59">
        <f t="shared" si="150"/>
        <v>417.62172165132927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10.004883519616525</v>
      </c>
      <c r="DG189" s="21">
        <f>EXP(-LN(2)/25)*DG188+(1-EXP(-LN(2)/25))/(LN(2)/25)*Calculateur!DB189*Calculateur!DD189*VLOOKUP('Données projet'!$B$13,Paramètres!$A$1:$I$89,3,0)*0.475*44/12</f>
        <v>1.2240462041465605</v>
      </c>
      <c r="DH189" s="21">
        <f>EXP(-LN(2)/2)*DH188+(1-EXP(-LN(2)/2))/(LN(2)/2)*DB189*DE189*VLOOKUP('Données projet'!$B$13,Paramètres!$A$1:$I$89,3,0)*0.475*44/12</f>
        <v>1.4164339192983991E-19</v>
      </c>
      <c r="DI189" s="22">
        <f t="shared" si="175"/>
        <v>11.228929723763086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167.82976403567059</v>
      </c>
      <c r="T190" s="59">
        <f t="shared" si="142"/>
        <v>232.70925470547317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5.9143565741079875</v>
      </c>
      <c r="AA190" s="21">
        <f>EXP(-LN(2)/25)*AA189+(1-EXP(-LN(2)/25))/(LN(2)/25)*Calculateur!V190*Calculateur!X190*VLOOKUP('Données projet'!$B$9,Paramètres!$A$1:$I$89,3,0)*0.475*44/12</f>
        <v>1.0436762524223087</v>
      </c>
      <c r="AB190" s="21">
        <f>EXP(-LN(2)/2)*AB189+(1-EXP(-LN(2)/2))/(LN(2)/2)*V190*Y190*VLOOKUP('Données projet'!$B$9,Paramètres!$A$1:$I$89,3,0)*0.475*44/12</f>
        <v>2.2108141630980417E-18</v>
      </c>
      <c r="AC190" s="22">
        <f t="shared" si="163"/>
        <v>6.958032826530296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5.7639226724859328E-14</v>
      </c>
      <c r="AK190" s="13">
        <f t="shared" si="164"/>
        <v>9.2325701996134334E-13</v>
      </c>
      <c r="AL190" s="20">
        <f t="shared" si="165"/>
        <v>1.708394296311803E-12</v>
      </c>
      <c r="AM190" s="59">
        <f t="shared" si="113"/>
        <v>289.85810977945812</v>
      </c>
      <c r="AN190" s="59">
        <f ca="1">AVERAGE(OFFSET($AM$3,0,0,'Données projet'!$E$10+1,1))-AVERAGE(OFFSET($H$3,0,0,'Données projet'!$E$10+1,1))</f>
        <v>542.51810435067659</v>
      </c>
      <c r="AO190" s="59">
        <f t="shared" si="144"/>
        <v>325.7263575945085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55.579167892013913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55.579167892013913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5.1431925385259088E-14</v>
      </c>
      <c r="BF190" s="13">
        <f t="shared" si="167"/>
        <v>8.3482866290946129E-13</v>
      </c>
      <c r="BG190" s="20">
        <f t="shared" si="168"/>
        <v>1.5435705246133045E-12</v>
      </c>
      <c r="BH190" s="59">
        <f t="shared" si="116"/>
        <v>289.85810977945795</v>
      </c>
      <c r="BI190" s="59">
        <f ca="1">AVERAGE(OFFSET($BH$3,0,0,'Données projet'!$E$11+1,1))-AVERAGE(OFFSET($H$3,0,0,'Données projet'!$E$11+1,1))</f>
        <v>492.39485179035256</v>
      </c>
      <c r="BJ190" s="59">
        <f t="shared" si="146"/>
        <v>297.32483725004124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49.593719042104723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49.593719042104723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-5.4092197387944907E-14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260.51631161522039</v>
      </c>
      <c r="CE190" s="59">
        <f t="shared" si="148"/>
        <v>171.3469666102674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10.454832331120697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10.454832331120697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3.3992364478763198E-14</v>
      </c>
      <c r="CV190" s="13">
        <f t="shared" si="173"/>
        <v>5.790027782444094E-13</v>
      </c>
      <c r="CW190" s="20">
        <f t="shared" si="174"/>
        <v>1.0676332069095257E-12</v>
      </c>
      <c r="CX190" s="59">
        <f t="shared" si="122"/>
        <v>289.85810977945749</v>
      </c>
      <c r="CY190" s="59">
        <f ca="1">AVERAGE(OFFSET($CX$3,0,0,'Données projet'!$E$13+1,1))-AVERAGE(OFFSET($H$3,0,0,'Données projet'!$E$13+1,1))</f>
        <v>301.2688576786212</v>
      </c>
      <c r="CZ190" s="59">
        <f t="shared" si="150"/>
        <v>417.62172165132927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9.8086938561732318</v>
      </c>
      <c r="DG190" s="21">
        <f>EXP(-LN(2)/25)*DG189+(1-EXP(-LN(2)/25))/(LN(2)/25)*Calculateur!DB190*Calculateur!DD190*VLOOKUP('Données projet'!$B$13,Paramètres!$A$1:$I$89,3,0)*0.475*44/12</f>
        <v>1.1905745963243806</v>
      </c>
      <c r="DH190" s="21">
        <f>EXP(-LN(2)/2)*DH189+(1-EXP(-LN(2)/2))/(LN(2)/2)*DB190*DE190*VLOOKUP('Données projet'!$B$13,Paramètres!$A$1:$I$89,3,0)*0.475*44/12</f>
        <v>1.001570029438537E-19</v>
      </c>
      <c r="DI190" s="22">
        <f t="shared" si="175"/>
        <v>10.999268452497612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167.82976403567059</v>
      </c>
      <c r="T191" s="59">
        <f t="shared" si="142"/>
        <v>232.70925470547317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5.7983796490910384</v>
      </c>
      <c r="AA191" s="21">
        <f>EXP(-LN(2)/25)*AA190+(1-EXP(-LN(2)/25))/(LN(2)/25)*Calculateur!V191*Calculateur!X191*VLOOKUP('Données projet'!$B$9,Paramètres!$A$1:$I$89,3,0)*0.475*44/12</f>
        <v>1.0151368704152719</v>
      </c>
      <c r="AB191" s="21">
        <f>EXP(-LN(2)/2)*AB190+(1-EXP(-LN(2)/2))/(LN(2)/2)*V191*Y191*VLOOKUP('Données projet'!$B$9,Paramètres!$A$1:$I$89,3,0)*0.475*44/12</f>
        <v>1.5632816866698872E-18</v>
      </c>
      <c r="AC191" s="22">
        <f t="shared" si="163"/>
        <v>6.8135165195063099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5.7639226724859328E-14</v>
      </c>
      <c r="AK191" s="13">
        <f t="shared" si="164"/>
        <v>9.2325701996134334E-13</v>
      </c>
      <c r="AL191" s="20">
        <f t="shared" si="165"/>
        <v>1.708394296311803E-12</v>
      </c>
      <c r="AM191" s="59">
        <f t="shared" si="113"/>
        <v>289.91839713868194</v>
      </c>
      <c r="AN191" s="59">
        <f ca="1">AVERAGE(OFFSET($AM$3,0,0,'Données projet'!$E$10+1,1))-AVERAGE(OFFSET($H$3,0,0,'Données projet'!$E$10+1,1))</f>
        <v>542.51810435067659</v>
      </c>
      <c r="AO191" s="59">
        <f t="shared" si="144"/>
        <v>325.7263575945085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54.489294309596595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54.489294309596595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5.1431925385259088E-14</v>
      </c>
      <c r="BF191" s="13">
        <f t="shared" si="167"/>
        <v>8.3482866290946129E-13</v>
      </c>
      <c r="BG191" s="20">
        <f t="shared" si="168"/>
        <v>1.5435705246133045E-12</v>
      </c>
      <c r="BH191" s="59">
        <f t="shared" si="116"/>
        <v>289.91839713868177</v>
      </c>
      <c r="BI191" s="59">
        <f ca="1">AVERAGE(OFFSET($BH$3,0,0,'Données projet'!$E$11+1,1))-AVERAGE(OFFSET($H$3,0,0,'Données projet'!$E$11+1,1))</f>
        <v>492.39485179035256</v>
      </c>
      <c r="BJ191" s="59">
        <f t="shared" si="146"/>
        <v>297.32483725004124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48.621216460870805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48.621216460870805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-5.4092197387944907E-14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260.51631161522039</v>
      </c>
      <c r="CE191" s="59">
        <f t="shared" si="148"/>
        <v>171.3469666102674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10.249819445925484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10.249819445925484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3.3992364478763198E-14</v>
      </c>
      <c r="CV191" s="13">
        <f t="shared" si="173"/>
        <v>5.790027782444094E-13</v>
      </c>
      <c r="CW191" s="20">
        <f t="shared" si="174"/>
        <v>1.0676332069095257E-12</v>
      </c>
      <c r="CX191" s="59">
        <f t="shared" si="122"/>
        <v>289.91839713868131</v>
      </c>
      <c r="CY191" s="59">
        <f ca="1">AVERAGE(OFFSET($CX$3,0,0,'Données projet'!$E$13+1,1))-AVERAGE(OFFSET($H$3,0,0,'Données projet'!$E$13+1,1))</f>
        <v>301.2688576786212</v>
      </c>
      <c r="CZ191" s="59">
        <f t="shared" si="150"/>
        <v>417.62172165132927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9.6163513523661823</v>
      </c>
      <c r="DG191" s="21">
        <f>EXP(-LN(2)/25)*DG190+(1-EXP(-LN(2)/25))/(LN(2)/25)*Calculateur!DB191*Calculateur!DD191*VLOOKUP('Données projet'!$B$13,Paramètres!$A$1:$I$89,3,0)*0.475*44/12</f>
        <v>1.1580182713782934</v>
      </c>
      <c r="DH191" s="21">
        <f>EXP(-LN(2)/2)*DH190+(1-EXP(-LN(2)/2))/(LN(2)/2)*DB191*DE191*VLOOKUP('Données projet'!$B$13,Paramètres!$A$1:$I$89,3,0)*0.475*44/12</f>
        <v>7.0821695964919955E-20</v>
      </c>
      <c r="DI191" s="22">
        <f t="shared" si="175"/>
        <v>10.774369623744477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167.82976403567059</v>
      </c>
      <c r="T192" s="59">
        <f t="shared" si="142"/>
        <v>232.70925470547317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5.6846769608347323</v>
      </c>
      <c r="AA192" s="21">
        <f>EXP(-LN(2)/25)*AA191+(1-EXP(-LN(2)/25))/(LN(2)/25)*Calculateur!V192*Calculateur!X192*VLOOKUP('Données projet'!$B$9,Paramètres!$A$1:$I$89,3,0)*0.475*44/12</f>
        <v>0.98737789931003839</v>
      </c>
      <c r="AB192" s="21">
        <f>EXP(-LN(2)/2)*AB191+(1-EXP(-LN(2)/2))/(LN(2)/2)*V192*Y192*VLOOKUP('Données projet'!$B$9,Paramètres!$A$1:$I$89,3,0)*0.475*44/12</f>
        <v>1.1054070815490209E-18</v>
      </c>
      <c r="AC192" s="22">
        <f t="shared" si="163"/>
        <v>6.6720548601447707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5.7639226724859328E-14</v>
      </c>
      <c r="AK192" s="13">
        <f t="shared" si="164"/>
        <v>9.2325701996134334E-13</v>
      </c>
      <c r="AL192" s="20">
        <f t="shared" si="165"/>
        <v>1.708394296311803E-12</v>
      </c>
      <c r="AM192" s="59">
        <f t="shared" si="113"/>
        <v>289.97763864700556</v>
      </c>
      <c r="AN192" s="59">
        <f ca="1">AVERAGE(OFFSET($AM$3,0,0,'Données projet'!$E$10+1,1))-AVERAGE(OFFSET($H$3,0,0,'Données projet'!$E$10+1,1))</f>
        <v>542.51810435067659</v>
      </c>
      <c r="AO192" s="59">
        <f t="shared" si="144"/>
        <v>325.7263575945085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53.420792483373233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53.420792483373233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5.1431925385259088E-14</v>
      </c>
      <c r="BF192" s="13">
        <f t="shared" si="167"/>
        <v>8.3482866290946129E-13</v>
      </c>
      <c r="BG192" s="20">
        <f t="shared" si="168"/>
        <v>1.5435705246133045E-12</v>
      </c>
      <c r="BH192" s="59">
        <f t="shared" si="116"/>
        <v>289.97763864700539</v>
      </c>
      <c r="BI192" s="59">
        <f ca="1">AVERAGE(OFFSET($BH$3,0,0,'Données projet'!$E$11+1,1))-AVERAGE(OFFSET($H$3,0,0,'Données projet'!$E$11+1,1))</f>
        <v>492.39485179035256</v>
      </c>
      <c r="BJ192" s="59">
        <f t="shared" si="146"/>
        <v>297.32483725004124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47.667784062086881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47.667784062086881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-5.4092197387944907E-14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260.51631161522039</v>
      </c>
      <c r="CE192" s="59">
        <f t="shared" si="148"/>
        <v>171.3469666102674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10.048826738363436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10.048826738363436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3.3992364478763198E-14</v>
      </c>
      <c r="CV192" s="13">
        <f t="shared" si="173"/>
        <v>5.790027782444094E-13</v>
      </c>
      <c r="CW192" s="20">
        <f t="shared" si="174"/>
        <v>1.0676332069095257E-12</v>
      </c>
      <c r="CX192" s="59">
        <f t="shared" si="122"/>
        <v>289.97763864700494</v>
      </c>
      <c r="CY192" s="59">
        <f ca="1">AVERAGE(OFFSET($CX$3,0,0,'Données projet'!$E$13+1,1))-AVERAGE(OFFSET($H$3,0,0,'Données projet'!$E$13+1,1))</f>
        <v>301.2688576786212</v>
      </c>
      <c r="CZ192" s="59">
        <f t="shared" si="150"/>
        <v>417.62172165132927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9.427780567741447</v>
      </c>
      <c r="DG192" s="21">
        <f>EXP(-LN(2)/25)*DG191+(1-EXP(-LN(2)/25))/(LN(2)/25)*Calculateur!DB192*Calculateur!DD192*VLOOKUP('Données projet'!$B$13,Paramètres!$A$1:$I$89,3,0)*0.475*44/12</f>
        <v>1.1263522008499198</v>
      </c>
      <c r="DH192" s="21">
        <f>EXP(-LN(2)/2)*DH191+(1-EXP(-LN(2)/2))/(LN(2)/2)*DB192*DE192*VLOOKUP('Données projet'!$B$13,Paramètres!$A$1:$I$89,3,0)*0.475*44/12</f>
        <v>5.0078501471926851E-20</v>
      </c>
      <c r="DI192" s="22">
        <f t="shared" si="175"/>
        <v>10.554132768591368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167.82976403567059</v>
      </c>
      <c r="T193" s="59">
        <f t="shared" si="142"/>
        <v>232.70925470547317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5.5732039129433408</v>
      </c>
      <c r="AA193" s="21">
        <f>EXP(-LN(2)/25)*AA192+(1-EXP(-LN(2)/25))/(LN(2)/25)*Calculateur!V193*Calculateur!X193*VLOOKUP('Données projet'!$B$9,Paramètres!$A$1:$I$89,3,0)*0.475*44/12</f>
        <v>0.96037799872945839</v>
      </c>
      <c r="AB193" s="21">
        <f>EXP(-LN(2)/2)*AB192+(1-EXP(-LN(2)/2))/(LN(2)/2)*V193*Y193*VLOOKUP('Données projet'!$B$9,Paramètres!$A$1:$I$89,3,0)*0.475*44/12</f>
        <v>7.816408433349436E-19</v>
      </c>
      <c r="AC193" s="22">
        <f t="shared" si="163"/>
        <v>6.5335819116727993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5.7639226724859328E-14</v>
      </c>
      <c r="AK193" s="13">
        <f t="shared" si="164"/>
        <v>9.2325701996134334E-13</v>
      </c>
      <c r="AL193" s="20">
        <f t="shared" si="165"/>
        <v>1.708394296311803E-12</v>
      </c>
      <c r="AM193" s="59">
        <f t="shared" si="113"/>
        <v>290.03585244760399</v>
      </c>
      <c r="AN193" s="59">
        <f ca="1">AVERAGE(OFFSET($AM$3,0,0,'Données projet'!$E$10+1,1))-AVERAGE(OFFSET($H$3,0,0,'Données projet'!$E$10+1,1))</f>
        <v>542.51810435067659</v>
      </c>
      <c r="AO193" s="59">
        <f t="shared" si="144"/>
        <v>325.7263575945085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52.373243326240349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52.373243326240349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5.1431925385259088E-14</v>
      </c>
      <c r="BF193" s="13">
        <f t="shared" si="167"/>
        <v>8.3482866290946129E-13</v>
      </c>
      <c r="BG193" s="20">
        <f t="shared" si="168"/>
        <v>1.5435705246133045E-12</v>
      </c>
      <c r="BH193" s="59">
        <f t="shared" si="116"/>
        <v>290.03585244760382</v>
      </c>
      <c r="BI193" s="59">
        <f ca="1">AVERAGE(OFFSET($BH$3,0,0,'Données projet'!$E$11+1,1))-AVERAGE(OFFSET($H$3,0,0,'Données projet'!$E$11+1,1))</f>
        <v>492.39485179035256</v>
      </c>
      <c r="BJ193" s="59">
        <f t="shared" si="146"/>
        <v>297.32483725004124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46.733047891106771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46.733047891106771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-5.4092197387944907E-14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260.51631161522039</v>
      </c>
      <c r="CE193" s="59">
        <f t="shared" si="148"/>
        <v>171.3469666102674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9.8517753752032338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9.8517753752032338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3.3992364478763198E-14</v>
      </c>
      <c r="CV193" s="13">
        <f t="shared" si="173"/>
        <v>5.790027782444094E-13</v>
      </c>
      <c r="CW193" s="20">
        <f t="shared" si="174"/>
        <v>1.0676332069095257E-12</v>
      </c>
      <c r="CX193" s="59">
        <f t="shared" si="122"/>
        <v>290.03585244760336</v>
      </c>
      <c r="CY193" s="59">
        <f ca="1">AVERAGE(OFFSET($CX$3,0,0,'Données projet'!$E$13+1,1))-AVERAGE(OFFSET($H$3,0,0,'Données projet'!$E$13+1,1))</f>
        <v>301.2688576786212</v>
      </c>
      <c r="CZ193" s="59">
        <f t="shared" si="150"/>
        <v>417.62172165132927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9.2429075411863817</v>
      </c>
      <c r="DG193" s="21">
        <f>EXP(-LN(2)/25)*DG192+(1-EXP(-LN(2)/25))/(LN(2)/25)*Calculateur!DB193*Calculateur!DD193*VLOOKUP('Données projet'!$B$13,Paramètres!$A$1:$I$89,3,0)*0.475*44/12</f>
        <v>1.0955520406853909</v>
      </c>
      <c r="DH193" s="21">
        <f>EXP(-LN(2)/2)*DH192+(1-EXP(-LN(2)/2))/(LN(2)/2)*DB193*DE193*VLOOKUP('Données projet'!$B$13,Paramètres!$A$1:$I$89,3,0)*0.475*44/12</f>
        <v>3.5410847982459978E-20</v>
      </c>
      <c r="DI193" s="22">
        <f t="shared" si="175"/>
        <v>10.338459581871772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167.82976403567059</v>
      </c>
      <c r="T194" s="59">
        <f t="shared" si="142"/>
        <v>232.70925470547317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5.4639167835292541</v>
      </c>
      <c r="AA194" s="21">
        <f>EXP(-LN(2)/25)*AA193+(1-EXP(-LN(2)/25))/(LN(2)/25)*Calculateur!V194*Calculateur!X194*VLOOKUP('Données projet'!$B$9,Paramètres!$A$1:$I$89,3,0)*0.475*44/12</f>
        <v>0.9341164118501174</v>
      </c>
      <c r="AB194" s="21">
        <f>EXP(-LN(2)/2)*AB193+(1-EXP(-LN(2)/2))/(LN(2)/2)*V194*Y194*VLOOKUP('Données projet'!$B$9,Paramètres!$A$1:$I$89,3,0)*0.475*44/12</f>
        <v>5.5270354077451043E-19</v>
      </c>
      <c r="AC194" s="22">
        <f t="shared" si="163"/>
        <v>6.3980331953793712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5.7639226724859328E-14</v>
      </c>
      <c r="AK194" s="13">
        <f t="shared" si="164"/>
        <v>9.2325701996134334E-13</v>
      </c>
      <c r="AL194" s="20">
        <f t="shared" si="165"/>
        <v>1.708394296311803E-12</v>
      </c>
      <c r="AM194" s="59">
        <f t="shared" si="113"/>
        <v>290.09305636890855</v>
      </c>
      <c r="AN194" s="59">
        <f ca="1">AVERAGE(OFFSET($AM$3,0,0,'Données projet'!$E$10+1,1))-AVERAGE(OFFSET($H$3,0,0,'Données projet'!$E$10+1,1))</f>
        <v>542.51810435067659</v>
      </c>
      <c r="AO194" s="59">
        <f t="shared" si="144"/>
        <v>325.7263575945085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51.346235969136941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51.346235969136941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5.1431925385259088E-14</v>
      </c>
      <c r="BF194" s="13">
        <f t="shared" si="167"/>
        <v>8.3482866290946129E-13</v>
      </c>
      <c r="BG194" s="20">
        <f t="shared" si="168"/>
        <v>1.5435705246133045E-12</v>
      </c>
      <c r="BH194" s="59">
        <f t="shared" si="116"/>
        <v>290.09305636890838</v>
      </c>
      <c r="BI194" s="59">
        <f ca="1">AVERAGE(OFFSET($BH$3,0,0,'Données projet'!$E$11+1,1))-AVERAGE(OFFSET($H$3,0,0,'Données projet'!$E$11+1,1))</f>
        <v>492.39485179035256</v>
      </c>
      <c r="BJ194" s="59">
        <f t="shared" si="146"/>
        <v>297.32483725004124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45.816641326306808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45.816641326306808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-5.4092197387944907E-14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260.51631161522039</v>
      </c>
      <c r="CE194" s="59">
        <f t="shared" si="148"/>
        <v>171.3469666102674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9.6585880690851393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9.6585880690851393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3.3992364478763198E-14</v>
      </c>
      <c r="CV194" s="13">
        <f t="shared" si="173"/>
        <v>5.790027782444094E-13</v>
      </c>
      <c r="CW194" s="20">
        <f t="shared" si="174"/>
        <v>1.0676332069095257E-12</v>
      </c>
      <c r="CX194" s="59">
        <f t="shared" si="122"/>
        <v>290.09305636890792</v>
      </c>
      <c r="CY194" s="59">
        <f ca="1">AVERAGE(OFFSET($CX$3,0,0,'Données projet'!$E$13+1,1))-AVERAGE(OFFSET($H$3,0,0,'Données projet'!$E$13+1,1))</f>
        <v>301.2688576786212</v>
      </c>
      <c r="CZ194" s="59">
        <f t="shared" si="150"/>
        <v>417.62172165132927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9.061659761920648</v>
      </c>
      <c r="DG194" s="21">
        <f>EXP(-LN(2)/25)*DG193+(1-EXP(-LN(2)/25))/(LN(2)/25)*Calculateur!DB194*Calculateur!DD194*VLOOKUP('Données projet'!$B$13,Paramètres!$A$1:$I$89,3,0)*0.475*44/12</f>
        <v>1.065594112520271</v>
      </c>
      <c r="DH194" s="21">
        <f>EXP(-LN(2)/2)*DH193+(1-EXP(-LN(2)/2))/(LN(2)/2)*DB194*DE194*VLOOKUP('Données projet'!$B$13,Paramètres!$A$1:$I$89,3,0)*0.475*44/12</f>
        <v>2.5039250735963426E-20</v>
      </c>
      <c r="DI194" s="22">
        <f t="shared" si="175"/>
        <v>10.127253874440919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167.82976403567059</v>
      </c>
      <c r="T195" s="59">
        <f t="shared" si="142"/>
        <v>232.70925470547317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5.356772708064411</v>
      </c>
      <c r="AA195" s="21">
        <f>EXP(-LN(2)/25)*AA194+(1-EXP(-LN(2)/25))/(LN(2)/25)*Calculateur!V195*Calculateur!X195*VLOOKUP('Données projet'!$B$9,Paramètres!$A$1:$I$89,3,0)*0.475*44/12</f>
        <v>0.90857294944502875</v>
      </c>
      <c r="AB195" s="21">
        <f>EXP(-LN(2)/2)*AB194+(1-EXP(-LN(2)/2))/(LN(2)/2)*V195*Y195*VLOOKUP('Données projet'!$B$9,Paramètres!$A$1:$I$89,3,0)*0.475*44/12</f>
        <v>3.908204216674718E-19</v>
      </c>
      <c r="AC195" s="22">
        <f t="shared" si="163"/>
        <v>6.2653456575094397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5.7639226724859328E-14</v>
      </c>
      <c r="AK195" s="13">
        <f t="shared" si="164"/>
        <v>9.2325701996134334E-13</v>
      </c>
      <c r="AL195" s="20">
        <f t="shared" si="165"/>
        <v>1.708394296311803E-12</v>
      </c>
      <c r="AM195" s="59">
        <f t="shared" si="113"/>
        <v>290.14926793006737</v>
      </c>
      <c r="AN195" s="59">
        <f ca="1">AVERAGE(OFFSET($AM$3,0,0,'Données projet'!$E$10+1,1))-AVERAGE(OFFSET($H$3,0,0,'Données projet'!$E$10+1,1))</f>
        <v>542.51810435067659</v>
      </c>
      <c r="AO195" s="59">
        <f t="shared" si="144"/>
        <v>325.7263575945085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50.339367599893698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50.339367599893698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5.1431925385259088E-14</v>
      </c>
      <c r="BF195" s="13">
        <f t="shared" si="167"/>
        <v>8.3482866290946129E-13</v>
      </c>
      <c r="BG195" s="20">
        <f t="shared" si="168"/>
        <v>1.5435705246133045E-12</v>
      </c>
      <c r="BH195" s="59">
        <f t="shared" si="116"/>
        <v>290.1492679300672</v>
      </c>
      <c r="BI195" s="59">
        <f ca="1">AVERAGE(OFFSET($BH$3,0,0,'Données projet'!$E$11+1,1))-AVERAGE(OFFSET($H$3,0,0,'Données projet'!$E$11+1,1))</f>
        <v>492.39485179035256</v>
      </c>
      <c r="BJ195" s="59">
        <f t="shared" si="146"/>
        <v>297.32483725004124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44.918204935289765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44.918204935289765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-5.4092197387944907E-14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260.51631161522039</v>
      </c>
      <c r="CE195" s="59">
        <f t="shared" si="148"/>
        <v>171.3469666102674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9.469189048207399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9.469189048207399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3.3992364478763198E-14</v>
      </c>
      <c r="CV195" s="13">
        <f t="shared" si="173"/>
        <v>5.790027782444094E-13</v>
      </c>
      <c r="CW195" s="20">
        <f t="shared" si="174"/>
        <v>1.0676332069095257E-12</v>
      </c>
      <c r="CX195" s="59">
        <f t="shared" si="122"/>
        <v>290.14926793006674</v>
      </c>
      <c r="CY195" s="59">
        <f ca="1">AVERAGE(OFFSET($CX$3,0,0,'Données projet'!$E$13+1,1))-AVERAGE(OFFSET($H$3,0,0,'Données projet'!$E$13+1,1))</f>
        <v>301.2688576786212</v>
      </c>
      <c r="CZ195" s="59">
        <f t="shared" si="150"/>
        <v>417.62172165132927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8.8839661410560868</v>
      </c>
      <c r="DG195" s="21">
        <f>EXP(-LN(2)/25)*DG194+(1-EXP(-LN(2)/25))/(LN(2)/25)*Calculateur!DB195*Calculateur!DD195*VLOOKUP('Données projet'!$B$13,Paramètres!$A$1:$I$89,3,0)*0.475*44/12</f>
        <v>1.0364553854762453</v>
      </c>
      <c r="DH195" s="21">
        <f>EXP(-LN(2)/2)*DH194+(1-EXP(-LN(2)/2))/(LN(2)/2)*DB195*DE195*VLOOKUP('Données projet'!$B$13,Paramètres!$A$1:$I$89,3,0)*0.475*44/12</f>
        <v>1.7705423991229989E-20</v>
      </c>
      <c r="DI195" s="22">
        <f t="shared" si="175"/>
        <v>9.9204215265323317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167.82976403567059</v>
      </c>
      <c r="T196" s="59">
        <f t="shared" si="142"/>
        <v>232.70925470547317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5.2517296625679997</v>
      </c>
      <c r="AA196" s="21">
        <f>EXP(-LN(2)/25)*AA195+(1-EXP(-LN(2)/25))/(LN(2)/25)*Calculateur!V196*Calculateur!X196*VLOOKUP('Données projet'!$B$9,Paramètres!$A$1:$I$89,3,0)*0.475*44/12</f>
        <v>0.88372797436267958</v>
      </c>
      <c r="AB196" s="21">
        <f>EXP(-LN(2)/2)*AB195+(1-EXP(-LN(2)/2))/(LN(2)/2)*V196*Y196*VLOOKUP('Données projet'!$B$9,Paramètres!$A$1:$I$89,3,0)*0.475*44/12</f>
        <v>2.7635177038725521E-19</v>
      </c>
      <c r="AC196" s="22">
        <f t="shared" si="163"/>
        <v>6.1354576369306795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5.7639226724859328E-14</v>
      </c>
      <c r="AK196" s="13">
        <f t="shared" si="164"/>
        <v>9.2325701996134334E-13</v>
      </c>
      <c r="AL196" s="20">
        <f t="shared" si="165"/>
        <v>1.708394296311803E-12</v>
      </c>
      <c r="AM196" s="59">
        <f t="shared" ref="AM196:AM203" si="193">AL196+(AD196+AE196)*44/12</f>
        <v>290.20450434631022</v>
      </c>
      <c r="AN196" s="59">
        <f ca="1">AVERAGE(OFFSET($AM$3,0,0,'Données projet'!$E$10+1,1))-AVERAGE(OFFSET($H$3,0,0,'Données projet'!$E$10+1,1))</f>
        <v>542.51810435067659</v>
      </c>
      <c r="AO196" s="59">
        <f t="shared" si="144"/>
        <v>325.7263575945085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49.352243305242254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49.352243305242254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5.1431925385259088E-14</v>
      </c>
      <c r="BF196" s="13">
        <f t="shared" si="167"/>
        <v>8.3482866290946129E-13</v>
      </c>
      <c r="BG196" s="20">
        <f t="shared" si="168"/>
        <v>1.5435705246133045E-12</v>
      </c>
      <c r="BH196" s="59">
        <f t="shared" ref="BH196:BH203" si="194">BG196+(AY196+AZ196)*44/12</f>
        <v>290.20450434631005</v>
      </c>
      <c r="BI196" s="59">
        <f ca="1">AVERAGE(OFFSET($BH$3,0,0,'Données projet'!$E$11+1,1))-AVERAGE(OFFSET($H$3,0,0,'Données projet'!$E$11+1,1))</f>
        <v>492.39485179035256</v>
      </c>
      <c r="BJ196" s="59">
        <f t="shared" si="146"/>
        <v>297.32483725004124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44.037386333908472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44.037386333908472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-5.4092197387944907E-14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260.51631161522039</v>
      </c>
      <c r="CE196" s="59">
        <f t="shared" si="148"/>
        <v>171.3469666102674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9.2835040266070745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9.2835040266070745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3.3992364478763198E-14</v>
      </c>
      <c r="CV196" s="13">
        <f t="shared" si="173"/>
        <v>5.790027782444094E-13</v>
      </c>
      <c r="CW196" s="20">
        <f t="shared" si="174"/>
        <v>1.0676332069095257E-12</v>
      </c>
      <c r="CX196" s="59">
        <f t="shared" ref="CX196:CX203" si="196">CW196+(CO196+CP196)*44/12</f>
        <v>290.20450434630959</v>
      </c>
      <c r="CY196" s="59">
        <f ca="1">AVERAGE(OFFSET($CX$3,0,0,'Données projet'!$E$13+1,1))-AVERAGE(OFFSET($H$3,0,0,'Données projet'!$E$13+1,1))</f>
        <v>301.2688576786212</v>
      </c>
      <c r="CZ196" s="59">
        <f t="shared" si="150"/>
        <v>417.62172165132927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8.7097569837142732</v>
      </c>
      <c r="DG196" s="21">
        <f>EXP(-LN(2)/25)*DG195+(1-EXP(-LN(2)/25))/(LN(2)/25)*Calculateur!DB196*Calculateur!DD196*VLOOKUP('Données projet'!$B$13,Paramètres!$A$1:$I$89,3,0)*0.475*44/12</f>
        <v>1.0081134584555775</v>
      </c>
      <c r="DH196" s="21">
        <f>EXP(-LN(2)/2)*DH195+(1-EXP(-LN(2)/2))/(LN(2)/2)*DB196*DE196*VLOOKUP('Données projet'!$B$13,Paramètres!$A$1:$I$89,3,0)*0.475*44/12</f>
        <v>1.2519625367981713E-20</v>
      </c>
      <c r="DI196" s="22">
        <f t="shared" si="175"/>
        <v>9.7178704421698505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167.82976403567059</v>
      </c>
      <c r="T197" s="59">
        <f t="shared" ref="T197:T203" si="204">$T$3</f>
        <v>232.70925470547317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5.148746447123842</v>
      </c>
      <c r="AA197" s="21">
        <f>EXP(-LN(2)/25)*AA196+(1-EXP(-LN(2)/25))/(LN(2)/25)*Calculateur!V197*Calculateur!X197*VLOOKUP('Données projet'!$B$9,Paramètres!$A$1:$I$89,3,0)*0.475*44/12</f>
        <v>0.85956238643049776</v>
      </c>
      <c r="AB197" s="21">
        <f>EXP(-LN(2)/2)*AB196+(1-EXP(-LN(2)/2))/(LN(2)/2)*V197*Y197*VLOOKUP('Données projet'!$B$9,Paramètres!$A$1:$I$89,3,0)*0.475*44/12</f>
        <v>1.954102108337359E-19</v>
      </c>
      <c r="AC197" s="22">
        <f t="shared" si="163"/>
        <v>6.0083088335543398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5.7639226724859328E-14</v>
      </c>
      <c r="AK197" s="13">
        <f t="shared" si="164"/>
        <v>9.2325701996134334E-13</v>
      </c>
      <c r="AL197" s="20">
        <f t="shared" si="165"/>
        <v>1.708394296311803E-12</v>
      </c>
      <c r="AM197" s="59">
        <f t="shared" si="193"/>
        <v>290.25878253422144</v>
      </c>
      <c r="AN197" s="59">
        <f ca="1">AVERAGE(OFFSET($AM$3,0,0,'Données projet'!$E$10+1,1))-AVERAGE(OFFSET($H$3,0,0,'Données projet'!$E$10+1,1))</f>
        <v>542.51810435067659</v>
      </c>
      <c r="AO197" s="59">
        <f t="shared" ref="AO197:AO203" si="205">$AO$3</f>
        <v>325.7263575945085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48.384475915922557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48.384475915922557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5.1431925385259088E-14</v>
      </c>
      <c r="BF197" s="13">
        <f t="shared" si="167"/>
        <v>8.3482866290946129E-13</v>
      </c>
      <c r="BG197" s="20">
        <f t="shared" si="168"/>
        <v>1.5435705246133045E-12</v>
      </c>
      <c r="BH197" s="59">
        <f t="shared" si="194"/>
        <v>290.25878253422127</v>
      </c>
      <c r="BI197" s="59">
        <f ca="1">AVERAGE(OFFSET($BH$3,0,0,'Données projet'!$E$11+1,1))-AVERAGE(OFFSET($H$3,0,0,'Données projet'!$E$11+1,1))</f>
        <v>492.39485179035256</v>
      </c>
      <c r="BJ197" s="59">
        <f t="shared" ref="BJ197:BJ203" si="206">$BJ$3</f>
        <v>297.32483725004124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43.173840048053968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43.173840048053968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-5.4092197387944907E-14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260.51631161522039</v>
      </c>
      <c r="CE197" s="59">
        <f t="shared" ref="CE197:CE203" si="207">$CE$3</f>
        <v>171.3469666102674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9.1014601750236519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9.1014601750236519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3.3992364478763198E-14</v>
      </c>
      <c r="CV197" s="13">
        <f t="shared" si="173"/>
        <v>5.790027782444094E-13</v>
      </c>
      <c r="CW197" s="20">
        <f t="shared" si="174"/>
        <v>1.0676332069095257E-12</v>
      </c>
      <c r="CX197" s="59">
        <f t="shared" si="196"/>
        <v>290.25878253422081</v>
      </c>
      <c r="CY197" s="59">
        <f ca="1">AVERAGE(OFFSET($CX$3,0,0,'Données projet'!$E$13+1,1))-AVERAGE(OFFSET($H$3,0,0,'Données projet'!$E$13+1,1))</f>
        <v>301.2688576786212</v>
      </c>
      <c r="CZ197" s="59">
        <f t="shared" ref="CZ197:CZ203" si="208">$CZ$3</f>
        <v>417.62172165132927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8.5389639616908379</v>
      </c>
      <c r="DG197" s="21">
        <f>EXP(-LN(2)/25)*DG196+(1-EXP(-LN(2)/25))/(LN(2)/25)*Calculateur!DB197*Calculateur!DD197*VLOOKUP('Données projet'!$B$13,Paramètres!$A$1:$I$89,3,0)*0.475*44/12</f>
        <v>0.98054654291972709</v>
      </c>
      <c r="DH197" s="21">
        <f>EXP(-LN(2)/2)*DH196+(1-EXP(-LN(2)/2))/(LN(2)/2)*DB197*DE197*VLOOKUP('Données projet'!$B$13,Paramètres!$A$1:$I$89,3,0)*0.475*44/12</f>
        <v>8.8527119956149944E-21</v>
      </c>
      <c r="DI197" s="22">
        <f t="shared" si="175"/>
        <v>9.5195105046105652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167.82976403567059</v>
      </c>
      <c r="T198" s="59">
        <f t="shared" si="204"/>
        <v>232.70925470547317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5.0477826697209851</v>
      </c>
      <c r="AA198" s="21">
        <f>EXP(-LN(2)/25)*AA197+(1-EXP(-LN(2)/25))/(LN(2)/25)*Calculateur!V198*Calculateur!X198*VLOOKUP('Données projet'!$B$9,Paramètres!$A$1:$I$89,3,0)*0.475*44/12</f>
        <v>0.83605760777113447</v>
      </c>
      <c r="AB198" s="21">
        <f>EXP(-LN(2)/2)*AB197+(1-EXP(-LN(2)/2))/(LN(2)/2)*V198*Y198*VLOOKUP('Données projet'!$B$9,Paramètres!$A$1:$I$89,3,0)*0.475*44/12</f>
        <v>1.3817588519362761E-19</v>
      </c>
      <c r="AC198" s="22">
        <f t="shared" si="163"/>
        <v>5.8838402774921192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5.7639226724859328E-14</v>
      </c>
      <c r="AK198" s="13">
        <f t="shared" si="164"/>
        <v>9.2325701996134334E-13</v>
      </c>
      <c r="AL198" s="20">
        <f t="shared" si="165"/>
        <v>1.708394296311803E-12</v>
      </c>
      <c r="AM198" s="59">
        <f t="shared" si="193"/>
        <v>290.3121191169202</v>
      </c>
      <c r="AN198" s="59">
        <f ca="1">AVERAGE(OFFSET($AM$3,0,0,'Données projet'!$E$10+1,1))-AVERAGE(OFFSET($H$3,0,0,'Données projet'!$E$10+1,1))</f>
        <v>542.51810435067659</v>
      </c>
      <c r="AO198" s="59">
        <f t="shared" si="205"/>
        <v>325.7263575945085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47.435685854827597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47.435685854827597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5.1431925385259088E-14</v>
      </c>
      <c r="BF198" s="13">
        <f t="shared" si="167"/>
        <v>8.3482866290946129E-13</v>
      </c>
      <c r="BG198" s="20">
        <f t="shared" si="168"/>
        <v>1.5435705246133045E-12</v>
      </c>
      <c r="BH198" s="59">
        <f t="shared" si="194"/>
        <v>290.31211911692003</v>
      </c>
      <c r="BI198" s="59">
        <f ca="1">AVERAGE(OFFSET($BH$3,0,0,'Données projet'!$E$11+1,1))-AVERAGE(OFFSET($H$3,0,0,'Données projet'!$E$11+1,1))</f>
        <v>492.39485179035256</v>
      </c>
      <c r="BJ198" s="59">
        <f t="shared" si="206"/>
        <v>297.32483725004124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42.32722737815385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42.32722737815385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-5.4092197387944907E-14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260.51631161522039</v>
      </c>
      <c r="CE198" s="59">
        <f t="shared" si="207"/>
        <v>171.3469666102674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8.9229860923339945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8.9229860923339945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3.3992364478763198E-14</v>
      </c>
      <c r="CV198" s="13">
        <f t="shared" si="173"/>
        <v>5.790027782444094E-13</v>
      </c>
      <c r="CW198" s="20">
        <f t="shared" si="174"/>
        <v>1.0676332069095257E-12</v>
      </c>
      <c r="CX198" s="59">
        <f t="shared" si="196"/>
        <v>290.31211911691958</v>
      </c>
      <c r="CY198" s="59">
        <f ca="1">AVERAGE(OFFSET($CX$3,0,0,'Données projet'!$E$13+1,1))-AVERAGE(OFFSET($H$3,0,0,'Données projet'!$E$13+1,1))</f>
        <v>301.2688576786212</v>
      </c>
      <c r="CZ198" s="59">
        <f t="shared" si="208"/>
        <v>417.62172165132927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8.3715200866558241</v>
      </c>
      <c r="DG198" s="21">
        <f>EXP(-LN(2)/25)*DG197+(1-EXP(-LN(2)/25))/(LN(2)/25)*Calculateur!DB198*Calculateur!DD198*VLOOKUP('Données projet'!$B$13,Paramètres!$A$1:$I$89,3,0)*0.475*44/12</f>
        <v>0.95373344613888555</v>
      </c>
      <c r="DH198" s="21">
        <f>EXP(-LN(2)/2)*DH197+(1-EXP(-LN(2)/2))/(LN(2)/2)*DB198*DE198*VLOOKUP('Données projet'!$B$13,Paramètres!$A$1:$I$89,3,0)*0.475*44/12</f>
        <v>6.2598126839908564E-21</v>
      </c>
      <c r="DI198" s="22">
        <f t="shared" si="175"/>
        <v>9.3252535327947097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167.82976403567059</v>
      </c>
      <c r="T199" s="59">
        <f t="shared" si="204"/>
        <v>232.70925470547317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4.9487987304111742</v>
      </c>
      <c r="AA199" s="21">
        <f>EXP(-LN(2)/25)*AA198+(1-EXP(-LN(2)/25))/(LN(2)/25)*Calculateur!V199*Calculateur!X199*VLOOKUP('Données projet'!$B$9,Paramètres!$A$1:$I$89,3,0)*0.475*44/12</f>
        <v>0.81319556852027408</v>
      </c>
      <c r="AB199" s="21">
        <f>EXP(-LN(2)/2)*AB198+(1-EXP(-LN(2)/2))/(LN(2)/2)*V199*Y199*VLOOKUP('Données projet'!$B$9,Paramètres!$A$1:$I$89,3,0)*0.475*44/12</f>
        <v>9.770510541686795E-20</v>
      </c>
      <c r="AC199" s="22">
        <f t="shared" si="163"/>
        <v>5.7619942989314481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5.7639226724859328E-14</v>
      </c>
      <c r="AK199" s="13">
        <f t="shared" si="164"/>
        <v>9.2325701996134334E-13</v>
      </c>
      <c r="AL199" s="20">
        <f t="shared" si="165"/>
        <v>1.708394296311803E-12</v>
      </c>
      <c r="AM199" s="59">
        <f t="shared" si="193"/>
        <v>290.3645304291519</v>
      </c>
      <c r="AN199" s="59">
        <f ca="1">AVERAGE(OFFSET($AM$3,0,0,'Données projet'!$E$10+1,1))-AVERAGE(OFFSET($H$3,0,0,'Données projet'!$E$10+1,1))</f>
        <v>542.51810435067659</v>
      </c>
      <c r="AO199" s="59">
        <f t="shared" si="205"/>
        <v>325.7263575945085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46.50550098812591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46.50550098812591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5.1431925385259088E-14</v>
      </c>
      <c r="BF199" s="13">
        <f t="shared" si="167"/>
        <v>8.3482866290946129E-13</v>
      </c>
      <c r="BG199" s="20">
        <f t="shared" si="168"/>
        <v>1.5435705246133045E-12</v>
      </c>
      <c r="BH199" s="59">
        <f t="shared" si="194"/>
        <v>290.36453042915173</v>
      </c>
      <c r="BI199" s="59">
        <f ca="1">AVERAGE(OFFSET($BH$3,0,0,'Données projet'!$E$11+1,1))-AVERAGE(OFFSET($H$3,0,0,'Données projet'!$E$11+1,1))</f>
        <v>492.39485179035256</v>
      </c>
      <c r="BJ199" s="59">
        <f t="shared" si="206"/>
        <v>297.32483725004124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41.497216266327733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41.497216266327733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-5.4092197387944907E-14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260.51631161522039</v>
      </c>
      <c r="CE199" s="59">
        <f t="shared" si="207"/>
        <v>171.3469666102674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8.7480117775474397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8.7480117775474397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3.3992364478763198E-14</v>
      </c>
      <c r="CV199" s="13">
        <f t="shared" si="173"/>
        <v>5.790027782444094E-13</v>
      </c>
      <c r="CW199" s="20">
        <f t="shared" si="174"/>
        <v>1.0676332069095257E-12</v>
      </c>
      <c r="CX199" s="59">
        <f t="shared" si="196"/>
        <v>290.36453042915127</v>
      </c>
      <c r="CY199" s="59">
        <f ca="1">AVERAGE(OFFSET($CX$3,0,0,'Données projet'!$E$13+1,1))-AVERAGE(OFFSET($H$3,0,0,'Données projet'!$E$13+1,1))</f>
        <v>301.2688576786212</v>
      </c>
      <c r="CZ199" s="59">
        <f t="shared" si="208"/>
        <v>417.62172165132927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8.2073596838795684</v>
      </c>
      <c r="DG199" s="21">
        <f>EXP(-LN(2)/25)*DG198+(1-EXP(-LN(2)/25))/(LN(2)/25)*Calculateur!DB199*Calculateur!DD199*VLOOKUP('Données projet'!$B$13,Paramètres!$A$1:$I$89,3,0)*0.475*44/12</f>
        <v>0.92765355489955559</v>
      </c>
      <c r="DH199" s="21">
        <f>EXP(-LN(2)/2)*DH198+(1-EXP(-LN(2)/2))/(LN(2)/2)*DB199*DE199*VLOOKUP('Données projet'!$B$13,Paramètres!$A$1:$I$89,3,0)*0.475*44/12</f>
        <v>4.4263559978074972E-21</v>
      </c>
      <c r="DI199" s="22">
        <f t="shared" si="175"/>
        <v>9.1350132387791234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167.82976403567059</v>
      </c>
      <c r="T200" s="59">
        <f t="shared" si="204"/>
        <v>232.70925470547317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4.8517558057769872</v>
      </c>
      <c r="AA200" s="21">
        <f>EXP(-LN(2)/25)*AA199+(1-EXP(-LN(2)/25))/(LN(2)/25)*Calculateur!V200*Calculateur!X200*VLOOKUP('Données projet'!$B$9,Paramètres!$A$1:$I$89,3,0)*0.475*44/12</f>
        <v>0.79095869293499077</v>
      </c>
      <c r="AB200" s="21">
        <f>EXP(-LN(2)/2)*AB199+(1-EXP(-LN(2)/2))/(LN(2)/2)*V200*Y200*VLOOKUP('Données projet'!$B$9,Paramètres!$A$1:$I$89,3,0)*0.475*44/12</f>
        <v>6.9087942596813803E-20</v>
      </c>
      <c r="AC200" s="22">
        <f t="shared" si="163"/>
        <v>5.6427144987119782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5.7639226724859328E-14</v>
      </c>
      <c r="AK200" s="13">
        <f t="shared" si="164"/>
        <v>9.2325701996134334E-13</v>
      </c>
      <c r="AL200" s="20">
        <f t="shared" si="165"/>
        <v>1.708394296311803E-12</v>
      </c>
      <c r="AM200" s="59">
        <f t="shared" si="193"/>
        <v>290.41603252229049</v>
      </c>
      <c r="AN200" s="59">
        <f ca="1">AVERAGE(OFFSET($AM$3,0,0,'Données projet'!$E$10+1,1))-AVERAGE(OFFSET($H$3,0,0,'Données projet'!$E$10+1,1))</f>
        <v>542.51810435067659</v>
      </c>
      <c r="AO200" s="59">
        <f t="shared" si="205"/>
        <v>325.7263575945085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45.593556479303494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45.593556479303494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5.1431925385259088E-14</v>
      </c>
      <c r="BF200" s="13">
        <f t="shared" si="167"/>
        <v>8.3482866290946129E-13</v>
      </c>
      <c r="BG200" s="20">
        <f t="shared" si="168"/>
        <v>1.5435705246133045E-12</v>
      </c>
      <c r="BH200" s="59">
        <f t="shared" si="194"/>
        <v>290.41603252229032</v>
      </c>
      <c r="BI200" s="59">
        <f ca="1">AVERAGE(OFFSET($BH$3,0,0,'Données projet'!$E$11+1,1))-AVERAGE(OFFSET($H$3,0,0,'Données projet'!$E$11+1,1))</f>
        <v>492.39485179035256</v>
      </c>
      <c r="BJ200" s="59">
        <f t="shared" si="206"/>
        <v>297.32483725004124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40.683481166147736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40.683481166147736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-5.4092197387944907E-14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260.51631161522039</v>
      </c>
      <c r="CE200" s="59">
        <f t="shared" si="207"/>
        <v>171.3469666102674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8.5764686023500563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8.5764686023500563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3.3992364478763198E-14</v>
      </c>
      <c r="CV200" s="13">
        <f t="shared" si="173"/>
        <v>5.790027782444094E-13</v>
      </c>
      <c r="CW200" s="20">
        <f t="shared" si="174"/>
        <v>1.0676332069095257E-12</v>
      </c>
      <c r="CX200" s="59">
        <f t="shared" si="196"/>
        <v>290.41603252228987</v>
      </c>
      <c r="CY200" s="59">
        <f ca="1">AVERAGE(OFFSET($CX$3,0,0,'Données projet'!$E$13+1,1))-AVERAGE(OFFSET($H$3,0,0,'Données projet'!$E$13+1,1))</f>
        <v>301.2688576786212</v>
      </c>
      <c r="CZ200" s="59">
        <f t="shared" si="208"/>
        <v>417.62172165132927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8.0464183664737963</v>
      </c>
      <c r="DG200" s="21">
        <f>EXP(-LN(2)/25)*DG199+(1-EXP(-LN(2)/25))/(LN(2)/25)*Calculateur!DB200*Calculateur!DD200*VLOOKUP('Données projet'!$B$13,Paramètres!$A$1:$I$89,3,0)*0.475*44/12</f>
        <v>0.90228681965764701</v>
      </c>
      <c r="DH200" s="21">
        <f>EXP(-LN(2)/2)*DH199+(1-EXP(-LN(2)/2))/(LN(2)/2)*DB200*DE200*VLOOKUP('Données projet'!$B$13,Paramètres!$A$1:$I$89,3,0)*0.475*44/12</f>
        <v>3.1299063419954282E-21</v>
      </c>
      <c r="DI200" s="22">
        <f t="shared" si="175"/>
        <v>8.9487051861314431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167.82976403567059</v>
      </c>
      <c r="T201" s="59">
        <f t="shared" si="204"/>
        <v>232.70925470547317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4.7566158337045374</v>
      </c>
      <c r="AA201" s="21">
        <f>EXP(-LN(2)/25)*AA200+(1-EXP(-LN(2)/25))/(LN(2)/25)*Calculateur!V201*Calculateur!X201*VLOOKUP('Données projet'!$B$9,Paramètres!$A$1:$I$89,3,0)*0.475*44/12</f>
        <v>0.7693298858819736</v>
      </c>
      <c r="AB201" s="21">
        <f>EXP(-LN(2)/2)*AB200+(1-EXP(-LN(2)/2))/(LN(2)/2)*V201*Y201*VLOOKUP('Données projet'!$B$9,Paramètres!$A$1:$I$89,3,0)*0.475*44/12</f>
        <v>4.8852552708433975E-20</v>
      </c>
      <c r="AC201" s="22">
        <f t="shared" si="163"/>
        <v>5.5259457195865114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5.7639226724859328E-14</v>
      </c>
      <c r="AK201" s="13">
        <f t="shared" si="164"/>
        <v>9.2325701996134334E-13</v>
      </c>
      <c r="AL201" s="20">
        <f t="shared" si="165"/>
        <v>1.708394296311803E-12</v>
      </c>
      <c r="AM201" s="59">
        <f t="shared" si="193"/>
        <v>290.46664116925461</v>
      </c>
      <c r="AN201" s="59">
        <f ca="1">AVERAGE(OFFSET($AM$3,0,0,'Données projet'!$E$10+1,1))-AVERAGE(OFFSET($H$3,0,0,'Données projet'!$E$10+1,1))</f>
        <v>542.51810435067659</v>
      </c>
      <c r="AO201" s="59">
        <f t="shared" si="205"/>
        <v>325.7263575945085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44.699494646067862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44.699494646067862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5.1431925385259088E-14</v>
      </c>
      <c r="BF201" s="13">
        <f t="shared" si="167"/>
        <v>8.3482866290946129E-13</v>
      </c>
      <c r="BG201" s="20">
        <f t="shared" si="168"/>
        <v>1.5435705246133045E-12</v>
      </c>
      <c r="BH201" s="59">
        <f t="shared" si="194"/>
        <v>290.46664116925444</v>
      </c>
      <c r="BI201" s="59">
        <f ca="1">AVERAGE(OFFSET($BH$3,0,0,'Données projet'!$E$11+1,1))-AVERAGE(OFFSET($H$3,0,0,'Données projet'!$E$11+1,1))</f>
        <v>492.39485179035256</v>
      </c>
      <c r="BJ201" s="59">
        <f t="shared" si="206"/>
        <v>297.32483725004124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39.885702914952866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39.885702914952866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-5.4092197387944907E-14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260.51631161522039</v>
      </c>
      <c r="CE201" s="59">
        <f t="shared" si="207"/>
        <v>171.3469666102674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8.4082892841872887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8.4082892841872887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3.3992364478763198E-14</v>
      </c>
      <c r="CV201" s="13">
        <f t="shared" si="173"/>
        <v>5.790027782444094E-13</v>
      </c>
      <c r="CW201" s="20">
        <f t="shared" si="174"/>
        <v>1.0676332069095257E-12</v>
      </c>
      <c r="CX201" s="59">
        <f t="shared" si="196"/>
        <v>290.46664116925399</v>
      </c>
      <c r="CY201" s="59">
        <f ca="1">AVERAGE(OFFSET($CX$3,0,0,'Données projet'!$E$13+1,1))-AVERAGE(OFFSET($H$3,0,0,'Données projet'!$E$13+1,1))</f>
        <v>301.2688576786212</v>
      </c>
      <c r="CZ201" s="59">
        <f t="shared" si="208"/>
        <v>417.62172165132927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7.8886330101378404</v>
      </c>
      <c r="DG201" s="21">
        <f>EXP(-LN(2)/25)*DG200+(1-EXP(-LN(2)/25))/(LN(2)/25)*Calculateur!DB201*Calculateur!DD201*VLOOKUP('Données projet'!$B$13,Paramètres!$A$1:$I$89,3,0)*0.475*44/12</f>
        <v>0.87761373912490703</v>
      </c>
      <c r="DH201" s="21">
        <f>EXP(-LN(2)/2)*DH200+(1-EXP(-LN(2)/2))/(LN(2)/2)*DB201*DE201*VLOOKUP('Données projet'!$B$13,Paramètres!$A$1:$I$89,3,0)*0.475*44/12</f>
        <v>2.2131779989037486E-21</v>
      </c>
      <c r="DI201" s="22">
        <f t="shared" si="175"/>
        <v>8.7662467492627467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167.82976403567059</v>
      </c>
      <c r="T202" s="59">
        <f t="shared" si="204"/>
        <v>232.70925470547317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4.6633414984547752</v>
      </c>
      <c r="AA202" s="21">
        <f>EXP(-LN(2)/25)*AA201+(1-EXP(-LN(2)/25))/(LN(2)/25)*Calculateur!V202*Calculateur!X202*VLOOKUP('Données projet'!$B$9,Paramètres!$A$1:$I$89,3,0)*0.475*44/12</f>
        <v>0.7482925196952307</v>
      </c>
      <c r="AB202" s="21">
        <f>EXP(-LN(2)/2)*AB201+(1-EXP(-LN(2)/2))/(LN(2)/2)*V202*Y202*VLOOKUP('Données projet'!$B$9,Paramètres!$A$1:$I$89,3,0)*0.475*44/12</f>
        <v>3.4543971298406902E-20</v>
      </c>
      <c r="AC202" s="22">
        <f t="shared" si="163"/>
        <v>5.4116340181500062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5.7639226724859328E-14</v>
      </c>
      <c r="AK202" s="13">
        <f t="shared" si="164"/>
        <v>9.2325701996134334E-13</v>
      </c>
      <c r="AL202" s="20">
        <f t="shared" si="165"/>
        <v>1.708394296311803E-12</v>
      </c>
      <c r="AM202" s="59">
        <f t="shared" si="193"/>
        <v>290.51637186933783</v>
      </c>
      <c r="AN202" s="59">
        <f ca="1">AVERAGE(OFFSET($AM$3,0,0,'Données projet'!$E$10+1,1))-AVERAGE(OFFSET($H$3,0,0,'Données projet'!$E$10+1,1))</f>
        <v>542.51810435067659</v>
      </c>
      <c r="AO202" s="59">
        <f t="shared" si="205"/>
        <v>325.7263575945085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43.822964820058111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43.822964820058111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5.1431925385259088E-14</v>
      </c>
      <c r="BF202" s="13">
        <f t="shared" si="167"/>
        <v>8.3482866290946129E-13</v>
      </c>
      <c r="BG202" s="20">
        <f t="shared" si="168"/>
        <v>1.5435705246133045E-12</v>
      </c>
      <c r="BH202" s="59">
        <f t="shared" si="194"/>
        <v>290.51637186933766</v>
      </c>
      <c r="BI202" s="59">
        <f ca="1">AVERAGE(OFFSET($BH$3,0,0,'Données projet'!$E$11+1,1))-AVERAGE(OFFSET($H$3,0,0,'Données projet'!$E$11+1,1))</f>
        <v>492.39485179035256</v>
      </c>
      <c r="BJ202" s="59">
        <f t="shared" si="206"/>
        <v>297.32483725004124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39.103568608667238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39.103568608667238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-5.4092197387944907E-14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260.51631161522039</v>
      </c>
      <c r="CE202" s="59">
        <f t="shared" si="207"/>
        <v>171.3469666102674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8.2434078598744378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8.2434078598744378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3.3992364478763198E-14</v>
      </c>
      <c r="CV202" s="13">
        <f t="shared" si="173"/>
        <v>5.790027782444094E-13</v>
      </c>
      <c r="CW202" s="20">
        <f t="shared" si="174"/>
        <v>1.0676332069095257E-12</v>
      </c>
      <c r="CX202" s="59">
        <f t="shared" si="196"/>
        <v>290.51637186933721</v>
      </c>
      <c r="CY202" s="59">
        <f ca="1">AVERAGE(OFFSET($CX$3,0,0,'Données projet'!$E$13+1,1))-AVERAGE(OFFSET($H$3,0,0,'Données projet'!$E$13+1,1))</f>
        <v>301.2688576786212</v>
      </c>
      <c r="CZ202" s="59">
        <f t="shared" si="208"/>
        <v>417.62172165132927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7.733941728400068</v>
      </c>
      <c r="DG202" s="21">
        <f>EXP(-LN(2)/25)*DG201+(1-EXP(-LN(2)/25))/(LN(2)/25)*Calculateur!DB202*Calculateur!DD202*VLOOKUP('Données projet'!$B$13,Paramètres!$A$1:$I$89,3,0)*0.475*44/12</f>
        <v>0.85361534527683569</v>
      </c>
      <c r="DH202" s="21">
        <f>EXP(-LN(2)/2)*DH201+(1-EXP(-LN(2)/2))/(LN(2)/2)*DB202*DE202*VLOOKUP('Données projet'!$B$13,Paramètres!$A$1:$I$89,3,0)*0.475*44/12</f>
        <v>1.5649531709977141E-21</v>
      </c>
      <c r="DI202" s="22">
        <f t="shared" si="175"/>
        <v>8.5875570736769031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167.82976403567059</v>
      </c>
      <c r="T203" s="59">
        <f t="shared" si="204"/>
        <v>232.70925470547317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4.5718962160275343</v>
      </c>
      <c r="AA203" s="21">
        <f>EXP(-LN(2)/25)*AA202+(1-EXP(-LN(2)/25))/(LN(2)/25)*Calculateur!V203*Calculateur!X203*VLOOKUP('Données projet'!$B$9,Paramètres!$A$1:$I$89,3,0)*0.475*44/12</f>
        <v>0.72783042139317122</v>
      </c>
      <c r="AB203" s="21">
        <f>EXP(-LN(2)/2)*AB202+(1-EXP(-LN(2)/2))/(LN(2)/2)*V203*Y203*VLOOKUP('Données projet'!$B$9,Paramètres!$A$1:$I$89,3,0)*0.475*44/12</f>
        <v>2.4426276354216987E-20</v>
      </c>
      <c r="AC203" s="22">
        <f t="shared" si="163"/>
        <v>5.2997266374207053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5.7639226724859328E-14</v>
      </c>
      <c r="AK203" s="13">
        <f t="shared" si="164"/>
        <v>9.2325701996134334E-13</v>
      </c>
      <c r="AL203" s="20">
        <f t="shared" si="165"/>
        <v>1.708394296311803E-12</v>
      </c>
      <c r="AM203" s="59">
        <f t="shared" si="193"/>
        <v>290.56523985295581</v>
      </c>
      <c r="AN203" s="59">
        <f ca="1">AVERAGE(OFFSET($AM$3,0,0,'Données projet'!$E$10+1,1))-AVERAGE(OFFSET($H$3,0,0,'Données projet'!$E$10+1,1))</f>
        <v>542.51810435067659</v>
      </c>
      <c r="AO203" s="59">
        <f t="shared" si="205"/>
        <v>325.7263575945085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42.963623209306007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42.963623209306007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5.1431925385259088E-14</v>
      </c>
      <c r="BF203" s="13">
        <f t="shared" si="167"/>
        <v>8.3482866290946129E-13</v>
      </c>
      <c r="BG203" s="20">
        <f t="shared" si="168"/>
        <v>1.5435705246133045E-12</v>
      </c>
      <c r="BH203" s="59">
        <f t="shared" si="194"/>
        <v>290.56523985295564</v>
      </c>
      <c r="BI203" s="59">
        <f ca="1">AVERAGE(OFFSET($BH$3,0,0,'Données projet'!$E$11+1,1))-AVERAGE(OFFSET($H$3,0,0,'Données projet'!$E$11+1,1))</f>
        <v>492.39485179035256</v>
      </c>
      <c r="BJ203" s="59">
        <f t="shared" si="206"/>
        <v>297.32483725004124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38.33677147907305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38.33677147907305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-5.4092197387944907E-14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260.51631161522039</v>
      </c>
      <c r="CE203" s="59">
        <f t="shared" si="207"/>
        <v>171.3469666102674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8.0817596597246233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8.0817596597246233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3.3992364478763198E-14</v>
      </c>
      <c r="CV203" s="13">
        <f t="shared" si="173"/>
        <v>5.790027782444094E-13</v>
      </c>
      <c r="CW203" s="20">
        <f t="shared" si="174"/>
        <v>1.0676332069095257E-12</v>
      </c>
      <c r="CX203" s="59">
        <f t="shared" si="196"/>
        <v>290.56523985295519</v>
      </c>
      <c r="CY203" s="59">
        <f ca="1">AVERAGE(OFFSET($CX$3,0,0,'Données projet'!$E$13+1,1))-AVERAGE(OFFSET($H$3,0,0,'Données projet'!$E$13+1,1))</f>
        <v>301.2688576786212</v>
      </c>
      <c r="CZ203" s="59">
        <f t="shared" si="208"/>
        <v>417.62172165132927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7.5822838483448081</v>
      </c>
      <c r="DG203" s="21">
        <f>EXP(-LN(2)/25)*DG202+(1-EXP(-LN(2)/25))/(LN(2)/25)*Calculateur!DB203*Calculateur!DD203*VLOOKUP('Données projet'!$B$13,Paramètres!$A$1:$I$89,3,0)*0.475*44/12</f>
        <v>0.83027318877056056</v>
      </c>
      <c r="DH203" s="21">
        <f>EXP(-LN(2)/2)*DH202+(1-EXP(-LN(2)/2))/(LN(2)/2)*DB203*DE203*VLOOKUP('Données projet'!$B$13,Paramètres!$A$1:$I$89,3,0)*0.475*44/12</f>
        <v>1.1065889994518743E-21</v>
      </c>
      <c r="DI203" s="22">
        <f t="shared" si="175"/>
        <v>8.4125570371153682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1.1867200975826817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1.2392705892426346</v>
      </c>
      <c r="BV205" s="82">
        <f>EXP(LN('Données projet'!B114)/'Données projet'!A114)</f>
        <v>1.1457367676485573</v>
      </c>
      <c r="CQ205" s="82">
        <f>EXP(LN('Données projet'!B140)/'Données projet'!A140)</f>
        <v>1.351820999185372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04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0.15000150000000001</v>
      </c>
      <c r="C6" s="147">
        <f ca="1">IF(OR('Données projet'!B9="",'Données projet'!C9="",'Données projet'!C9=0%),0,Calculateur!S3)</f>
        <v>167.82976403567059</v>
      </c>
      <c r="D6" s="147">
        <f>IF(OR('Données projet'!B9="",'Données projet'!C9="",'Données projet'!C9=0%),0,Calculateur!T3)</f>
        <v>232.70925470547317</v>
      </c>
      <c r="E6" s="147">
        <f ca="1">MIN(C6,D6)</f>
        <v>167.82976403567059</v>
      </c>
      <c r="F6" s="147">
        <f ca="1">E6*B6</f>
        <v>25.174716349996643</v>
      </c>
      <c r="G6" s="147">
        <f ca="1">F6*(100%-'Données projet'!$C$24)*(100%-'Données projet'!$C$25)*(100%-'Données projet'!$C$26)*(100%-'Données projet'!$C$27)</f>
        <v>20.391520243497283</v>
      </c>
      <c r="H6" s="148">
        <f>IF(OR('Données projet'!B9="",'Données projet'!C9="",'Données projet'!C9=0%),0,AVERAGE(Calculateur!$AC$3:$AC$33)*B6)</f>
        <v>0.13778920196675765</v>
      </c>
      <c r="I6" s="149">
        <f>H6*(100%-'Données projet'!$C$24)*(100%-'Données projet'!$C$25)*(100%-'Données projet'!$C$26)*(100%-'Données projet'!$C$27)</f>
        <v>0.11160925359307371</v>
      </c>
      <c r="J6" s="150">
        <f>IF(OR('Données projet'!B9="",'Données projet'!C9="",'Données projet'!C9=0%),0,SUM(Calculateur!$V$3:$V$33)*VLOOKUP('Données projet'!$B$9,Paramètres!$A$1:$I$89,9,0)*B6)</f>
        <v>4.5150451499999997</v>
      </c>
      <c r="K6" s="151">
        <f>J6*(100%-'Données projet'!$C$24)*(100%-'Données projet'!$C$25)*(100%-'Données projet'!$C$26)*(100%-'Données projet'!$C$27)</f>
        <v>3.6571865715</v>
      </c>
      <c r="L6" s="152">
        <f ca="1">G6+I6+K6</f>
        <v>24.160316068590355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0.15000150000000001</v>
      </c>
      <c r="C7" s="147">
        <f ca="1">IF(OR('Données projet'!B10="",'Données projet'!C10="",'Données projet'!C10=0%),0,Calculateur!AN3)</f>
        <v>542.51810435067659</v>
      </c>
      <c r="D7" s="147">
        <f>IF(OR('Données projet'!B10="",'Données projet'!C10="",'Données projet'!C10=0%),0,Calculateur!AO3)</f>
        <v>325.7263575945085</v>
      </c>
      <c r="E7" s="147">
        <f t="shared" ref="E7:E15" ca="1" si="0">MIN(C7,D7)</f>
        <v>325.7263575945085</v>
      </c>
      <c r="F7" s="147">
        <f t="shared" ref="F7:F15" ca="1" si="1">E7*B7</f>
        <v>48.859442228712673</v>
      </c>
      <c r="G7" s="147">
        <f ca="1">F7*(100%-'Données projet'!$C$24)*(100%-'Données projet'!$C$25)*(100%-'Données projet'!$C$26)*(100%-'Données projet'!$C$27)</f>
        <v>39.576148205257269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1.0500105</v>
      </c>
      <c r="K7" s="151">
        <f>J7*(100%-'Données projet'!$C$24)*(100%-'Données projet'!$C$25)*(100%-'Données projet'!$C$26)*(100%-'Données projet'!$C$27)</f>
        <v>0.85050850500000008</v>
      </c>
      <c r="L7" s="152">
        <f t="shared" ref="L7:L15" ca="1" si="2">G7+I7+K7</f>
        <v>40.426656710257269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0.9599996999999999</v>
      </c>
      <c r="C8" s="147">
        <f ca="1">IF(OR('Données projet'!B11="",'Données projet'!C11="",'Données projet'!C11=0%),0,Calculateur!BI3)</f>
        <v>492.39485179035256</v>
      </c>
      <c r="D8" s="147">
        <f>IF(OR('Données projet'!B11="",'Données projet'!C11="",'Données projet'!C11=0%),0,Calculateur!BJ3)</f>
        <v>297.32483725004124</v>
      </c>
      <c r="E8" s="147">
        <f t="shared" ca="1" si="0"/>
        <v>297.32483725004124</v>
      </c>
      <c r="F8" s="147">
        <f t="shared" ca="1" si="1"/>
        <v>285.43175456258837</v>
      </c>
      <c r="G8" s="147">
        <f ca="1">F8*(100%-'Données projet'!$C$24)*(100%-'Données projet'!$C$25)*(100%-'Données projet'!$C$26)*(100%-'Données projet'!$C$27)</f>
        <v>231.19972119569658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6.7199978999999992</v>
      </c>
      <c r="K8" s="151">
        <f>J8*(100%-'Données projet'!$C$24)*(100%-'Données projet'!$C$25)*(100%-'Données projet'!$C$26)*(100%-'Données projet'!$C$27)</f>
        <v>5.4431982989999996</v>
      </c>
      <c r="L8" s="152">
        <f t="shared" ca="1" si="2"/>
        <v>236.64291949469657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Charme</v>
      </c>
      <c r="B9" s="154">
        <f>'Données projet'!D12</f>
        <v>0.23999909999999999</v>
      </c>
      <c r="C9" s="147">
        <f ca="1">IF(OR('Données projet'!B12="",'Données projet'!C12="",'Données projet'!C12=0%),0,Calculateur!CD3)</f>
        <v>260.51631161522039</v>
      </c>
      <c r="D9" s="147">
        <f>IF(OR('Données projet'!B12="",'Données projet'!C12="",'Données projet'!C12=0%),0,Calculateur!CE3)</f>
        <v>171.3469666102674</v>
      </c>
      <c r="E9" s="147">
        <f t="shared" ca="1" si="0"/>
        <v>171.3469666102674</v>
      </c>
      <c r="F9" s="147">
        <f t="shared" ca="1" si="1"/>
        <v>41.123117774194228</v>
      </c>
      <c r="G9" s="147">
        <f ca="1">F9*(100%-'Données projet'!$C$24)*(100%-'Données projet'!$C$25)*(100%-'Données projet'!$C$26)*(100%-'Données projet'!$C$27)</f>
        <v>33.309725397097324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33.309725397097324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1.7968499999999998</v>
      </c>
      <c r="C10" s="147">
        <f ca="1">IF(OR('Données projet'!B13="",'Données projet'!C13="",'Données projet'!C13=0%),0,Calculateur!CY3)</f>
        <v>301.2688576786212</v>
      </c>
      <c r="D10" s="147">
        <f>IF(OR('Données projet'!B13="",'Données projet'!C13="",'Données projet'!C13=0%),0,Calculateur!CZ3)</f>
        <v>417.62172165132927</v>
      </c>
      <c r="E10" s="147">
        <f t="shared" ca="1" si="0"/>
        <v>301.2688576786212</v>
      </c>
      <c r="F10" s="147">
        <f t="shared" ca="1" si="1"/>
        <v>541.33494691983049</v>
      </c>
      <c r="G10" s="147">
        <f ca="1">F10*(100%-'Données projet'!$C$24)*(100%-'Données projet'!$C$25)*(100%-'Données projet'!$C$26)*(100%-'Données projet'!$C$27)</f>
        <v>438.48130700506272</v>
      </c>
      <c r="H10" s="155">
        <f>IF(OR('Données projet'!B13="",'Données projet'!C13="",'Données projet'!C13=0%),0,AVERAGE(Calculateur!$DI$3:$DI$33)*B10)</f>
        <v>18.788327119962354</v>
      </c>
      <c r="I10" s="149">
        <f>H10*(100%-'Données projet'!$C$24)*(100%-'Données projet'!$C$25)*(100%-'Données projet'!$C$26)*(100%-'Données projet'!$C$27)</f>
        <v>15.218544967169507</v>
      </c>
      <c r="J10" s="150">
        <f>IF(OR('Données projet'!B13="",'Données projet'!C13="",'Données projet'!C13=0%),0,SUM(Calculateur!$DB$3:$DB$33)*VLOOKUP('Données projet'!$B$13,Paramètres!$A$1:$I$89,9,0)*B10)</f>
        <v>132.89502599999997</v>
      </c>
      <c r="K10" s="151">
        <f>J10*(100%-'Données projet'!$C$24)*(100%-'Données projet'!$C$25)*(100%-'Données projet'!$C$26)*(100%-'Données projet'!$C$27)</f>
        <v>107.64497105999999</v>
      </c>
      <c r="L10" s="152">
        <f t="shared" ca="1" si="2"/>
        <v>561.34482303223217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941.92397783532238</v>
      </c>
      <c r="G16" s="166">
        <f t="shared" ca="1" si="3"/>
        <v>762.95842204661119</v>
      </c>
      <c r="H16" s="167">
        <f t="shared" si="3"/>
        <v>18.926116321929111</v>
      </c>
      <c r="I16" s="167">
        <f t="shared" si="3"/>
        <v>15.33015422076258</v>
      </c>
      <c r="J16" s="168">
        <f t="shared" si="3"/>
        <v>145.18007954999996</v>
      </c>
      <c r="K16" s="168">
        <f t="shared" si="3"/>
        <v>117.59586443549999</v>
      </c>
      <c r="L16" s="169">
        <f t="shared" ca="1" si="3"/>
        <v>895.88444070287369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" zoomScale="89" zoomScaleNormal="89" workbookViewId="0">
      <selection activeCell="F146" sqref="F14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-2578.7062183968119</v>
      </c>
      <c r="U10" s="178">
        <f>'Données projet'!D9</f>
        <v>0.15000150000000001</v>
      </c>
      <c r="V10" s="177">
        <f>U10*T10</f>
        <v>-386.8098008188494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-1913.5511893926518</v>
      </c>
      <c r="U11" s="178">
        <f>'Données projet'!D10</f>
        <v>0.15000150000000001</v>
      </c>
      <c r="V11" s="177">
        <f t="shared" ref="V11" si="0">U11*T11</f>
        <v>-287.03554873568186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sessile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-1582.0311893926519</v>
      </c>
      <c r="U12" s="178">
        <f>'Données projet'!D11</f>
        <v>0.9599996999999999</v>
      </c>
      <c r="V12" s="177">
        <f t="shared" ref="V12:V19" si="1">U12*T12</f>
        <v>-1518.7494672075889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Charme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-3719.6008155605396</v>
      </c>
      <c r="U13" s="178">
        <f>'Données projet'!D12</f>
        <v>0.23999909999999999</v>
      </c>
      <c r="V13" s="177">
        <f t="shared" si="1"/>
        <v>-892.70084809379546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Pin laricio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1273.7021502409239</v>
      </c>
      <c r="U14" s="178">
        <f>'Données projet'!D13</f>
        <v>1.7968499999999998</v>
      </c>
      <c r="V14" s="177">
        <f t="shared" si="1"/>
        <v>2288.651708660404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f>(2562+1526)*1.12</f>
        <v>4578.5600000000004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400*1.12</f>
        <v>448.00000000000006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f>(220+300)*1.12</f>
        <v>582.40000000000009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>(225+400)*1.12</f>
        <v>700.00000000000011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70</v>
      </c>
      <c r="C23" s="193">
        <f>57*'Données projet'!E36+19.4*('Données projet'!F36+'Données projet'!G36)+10*'Données projet'!G36</f>
        <v>30.42</v>
      </c>
      <c r="D23" s="182">
        <f>B23*C23</f>
        <v>2129.4</v>
      </c>
      <c r="E23" s="193"/>
      <c r="F23" s="229"/>
      <c r="H23" s="190">
        <v>3</v>
      </c>
      <c r="I23" s="191">
        <f>(225+450)*1.12</f>
        <v>756.00000000000011</v>
      </c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-8415.7228060868911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40</v>
      </c>
      <c r="B24" s="181">
        <f>'Données projet'!D37</f>
        <v>50</v>
      </c>
      <c r="C24" s="193">
        <f>57*'Données projet'!E37+19.4*('Données projet'!F37+'Données projet'!G37)+10*'Données projet'!G37</f>
        <v>33.779999999999994</v>
      </c>
      <c r="D24" s="182">
        <f t="shared" ref="D24:D42" si="2">B24*C24</f>
        <v>1688.9999999999998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50</v>
      </c>
      <c r="B25" s="181">
        <f>'Données projet'!D38</f>
        <v>50</v>
      </c>
      <c r="C25" s="193">
        <f>57*'Données projet'!E38+19.4*('Données projet'!F38+'Données projet'!G38)+10*'Données projet'!G38</f>
        <v>37.04</v>
      </c>
      <c r="D25" s="182">
        <f t="shared" si="2"/>
        <v>1852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-8415.7228060868911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60</v>
      </c>
      <c r="B26" s="181">
        <f>'Données projet'!D39</f>
        <v>300</v>
      </c>
      <c r="C26" s="193">
        <f>57*'Données projet'!E39+19.4*('Données projet'!F39+'Données projet'!G39)+10*'Données projet'!G39</f>
        <v>43.759999999999991</v>
      </c>
      <c r="D26" s="182">
        <f t="shared" si="2"/>
        <v>13127.999999999996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>
        <f>57*'Données projet'!E40+19.4*('Données projet'!F40+'Données projet'!G40)+10*'Données projet'!G40</f>
        <v>0</v>
      </c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>
        <f>57*'Données projet'!E41+19.4*('Données projet'!F41+'Données projet'!G41)+10*'Données projet'!G41</f>
        <v>0</v>
      </c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>
        <f>57*'Données projet'!E42+19.4*('Données projet'!F42+'Données projet'!G42)+10*'Données projet'!G42</f>
        <v>0</v>
      </c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>
        <f>57*'Données projet'!E43+19.4*('Données projet'!F43+'Données projet'!G43)+10*'Données projet'!G43</f>
        <v>0</v>
      </c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>
        <f>57*'Données projet'!E44+19.4*('Données projet'!F44+'Données projet'!G44)+10*'Données projet'!G44</f>
        <v>0</v>
      </c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>
        <f>57*'Données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>
        <f>57*'Données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>
        <f>57*'Données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>
        <f>57*'Données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>
        <f>57*'Données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>
        <f>57*'Données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>
        <f>57*'Données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>
        <f>57*'Données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>
        <f>57*'Données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>
        <f>57*'Données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>
        <f>57*'Données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f>(2394+1526)*1.12</f>
        <v>4390.4000000000005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225*'Données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225*'Données projet'!E63+13.8*('Données projet'!F63+'Données projet'!G63)+10*'Données projet'!H63</f>
        <v>10</v>
      </c>
      <c r="D55" s="179">
        <f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28</v>
      </c>
      <c r="C56" s="191">
        <f>225*'Données projet'!E64+13.8*('Données projet'!F64+'Données projet'!G64)+10*'Données projet'!H64</f>
        <v>10</v>
      </c>
      <c r="D56" s="179">
        <f t="shared" ref="D56:D73" si="4">B56*C56</f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28</v>
      </c>
      <c r="C57" s="191">
        <f>225*'Données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28</v>
      </c>
      <c r="C58" s="191">
        <f>225*'Données projet'!E66+13.8*('Données projet'!F66+'Données projet'!G66)+10*'Données projet'!H66</f>
        <v>53</v>
      </c>
      <c r="D58" s="179">
        <f t="shared" si="4"/>
        <v>1484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28</v>
      </c>
      <c r="C59" s="191">
        <f>225*'Données projet'!E67+13.8*('Données projet'!F67+'Données projet'!G67)+10*'Données projet'!H67</f>
        <v>53</v>
      </c>
      <c r="D59" s="179">
        <f t="shared" si="4"/>
        <v>1484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28</v>
      </c>
      <c r="C60" s="191">
        <f>225*'Données projet'!E68+13.8*('Données projet'!F68+'Données projet'!G68)+10*'Données projet'!H68</f>
        <v>74.5</v>
      </c>
      <c r="D60" s="179">
        <f t="shared" si="4"/>
        <v>2086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28</v>
      </c>
      <c r="C61" s="191">
        <f>225*'Données projet'!E69+13.8*('Données projet'!F69+'Données projet'!G69)+10*'Données projet'!H69</f>
        <v>74.5</v>
      </c>
      <c r="D61" s="179">
        <f t="shared" si="4"/>
        <v>2086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28</v>
      </c>
      <c r="C62" s="191">
        <f>225*'Données projet'!E70+13.8*('Données projet'!F70+'Données projet'!G70)+10*'Données projet'!H70</f>
        <v>96</v>
      </c>
      <c r="D62" s="179">
        <f t="shared" si="4"/>
        <v>2688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28</v>
      </c>
      <c r="C63" s="191">
        <f>225*'Données projet'!E71+13.8*('Données projet'!F71+'Données projet'!G71)+10*'Données projet'!H71</f>
        <v>96</v>
      </c>
      <c r="D63" s="179">
        <f t="shared" si="4"/>
        <v>2688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28</v>
      </c>
      <c r="C64" s="191">
        <f>225*'Données projet'!E72+13.8*('Données projet'!F72+'Données projet'!G72)+10*'Données projet'!H72</f>
        <v>117.5</v>
      </c>
      <c r="D64" s="179">
        <f t="shared" si="4"/>
        <v>3290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28</v>
      </c>
      <c r="C65" s="191">
        <f>225*'Données projet'!E73+13.8*('Données projet'!F73+'Données projet'!G73)+10*'Données projet'!H73</f>
        <v>117.5</v>
      </c>
      <c r="D65" s="179">
        <f t="shared" si="4"/>
        <v>3290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28</v>
      </c>
      <c r="C66" s="191">
        <f>225*'Données projet'!E74+13.8*('Données projet'!F74+'Données projet'!G74)+10*'Données projet'!H74</f>
        <v>139</v>
      </c>
      <c r="D66" s="179">
        <f t="shared" si="4"/>
        <v>3892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90</v>
      </c>
      <c r="B67" s="181">
        <f>'Données projet'!D75</f>
        <v>56</v>
      </c>
      <c r="C67" s="191">
        <f>225*'Données projet'!E75+13.8*('Données projet'!F75+'Données projet'!G75)+10*'Données projet'!H75</f>
        <v>160.5</v>
      </c>
      <c r="D67" s="179">
        <f t="shared" si="4"/>
        <v>8988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100</v>
      </c>
      <c r="B68" s="181">
        <f>'Données projet'!D76</f>
        <v>56</v>
      </c>
      <c r="C68" s="191">
        <f>225*'Données projet'!E76+13.8*('Données projet'!F76+'Données projet'!G76)+10*'Données projet'!H76</f>
        <v>182</v>
      </c>
      <c r="D68" s="179">
        <f t="shared" si="4"/>
        <v>10192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110</v>
      </c>
      <c r="B69" s="181">
        <f>'Données projet'!D77</f>
        <v>51</v>
      </c>
      <c r="C69" s="191">
        <f>225*'Données projet'!E77+13.8*('Données projet'!F77+'Données projet'!G77)+10*'Données projet'!H77</f>
        <v>182</v>
      </c>
      <c r="D69" s="179">
        <f t="shared" si="4"/>
        <v>9282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120</v>
      </c>
      <c r="B70" s="181">
        <f>'Données projet'!D78</f>
        <v>352</v>
      </c>
      <c r="C70" s="191">
        <f>225*'Données projet'!E78+13.8*('Données projet'!F78+'Données projet'!G78)+10*'Données projet'!H78</f>
        <v>203.5</v>
      </c>
      <c r="D70" s="179">
        <f t="shared" si="4"/>
        <v>71632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225*'Données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225*'Données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225*'Données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f>(1880+1744)*1.12</f>
        <v>4058.8800000000006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f>42*'Données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0</v>
      </c>
      <c r="C86" s="191">
        <f>225*'Données projet'!E89+19.4*('Données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28</v>
      </c>
      <c r="C87" s="191">
        <f>225*'Données projet'!E90+19.4*('Données projet'!F90+'Données projet'!G90)+10*'Données projet'!H90</f>
        <v>10</v>
      </c>
      <c r="D87" s="179">
        <f t="shared" si="6"/>
        <v>280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28</v>
      </c>
      <c r="C88" s="191">
        <f>225*'Données projet'!E91+19.4*('Données projet'!F91+'Données projet'!G91)+10*'Données projet'!H91</f>
        <v>10</v>
      </c>
      <c r="D88" s="179">
        <f t="shared" si="6"/>
        <v>280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28</v>
      </c>
      <c r="C89" s="191">
        <f>225*'Données projet'!E92+19.4*('Données projet'!F92+'Données projet'!G92)+10*'Données projet'!H92</f>
        <v>53</v>
      </c>
      <c r="D89" s="179">
        <f t="shared" si="6"/>
        <v>1484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28</v>
      </c>
      <c r="C90" s="191">
        <f>225*'Données projet'!E93+19.4*('Données projet'!F93+'Données projet'!G93)+10*'Données projet'!H93</f>
        <v>53</v>
      </c>
      <c r="D90" s="179">
        <f t="shared" si="6"/>
        <v>1484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28</v>
      </c>
      <c r="C91" s="191">
        <f>225*'Données projet'!E94+19.4*('Données projet'!F94+'Données projet'!G94)+10*'Données projet'!H94</f>
        <v>74.5</v>
      </c>
      <c r="D91" s="179">
        <f t="shared" si="6"/>
        <v>2086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28</v>
      </c>
      <c r="C92" s="191">
        <f>225*'Données projet'!E95+19.4*('Données projet'!F95+'Données projet'!G95)+10*'Données projet'!H95</f>
        <v>74.5</v>
      </c>
      <c r="D92" s="179">
        <f t="shared" si="6"/>
        <v>2086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28</v>
      </c>
      <c r="C93" s="191">
        <f>225*'Données projet'!E96+19.4*('Données projet'!F96+'Données projet'!G96)+10*'Données projet'!H96</f>
        <v>96</v>
      </c>
      <c r="D93" s="179">
        <f t="shared" si="6"/>
        <v>2688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28</v>
      </c>
      <c r="C94" s="191">
        <f>225*'Données projet'!E97+19.4*('Données projet'!F97+'Données projet'!G97)+10*'Données projet'!H97</f>
        <v>96</v>
      </c>
      <c r="D94" s="179">
        <f t="shared" si="6"/>
        <v>2688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28</v>
      </c>
      <c r="C95" s="191">
        <f>225*'Données projet'!E98+19.4*('Données projet'!F98+'Données projet'!G98)+10*'Données projet'!H98</f>
        <v>117.5</v>
      </c>
      <c r="D95" s="179">
        <f t="shared" si="6"/>
        <v>3290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28</v>
      </c>
      <c r="C96" s="191">
        <f>225*'Données projet'!E99+19.4*('Données projet'!F99+'Données projet'!G99)+10*'Données projet'!H99</f>
        <v>117.5</v>
      </c>
      <c r="D96" s="179">
        <f t="shared" si="6"/>
        <v>3290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28</v>
      </c>
      <c r="C97" s="191">
        <f>225*'Données projet'!E100+19.4*('Données projet'!F100+'Données projet'!G100)+10*'Données projet'!H100</f>
        <v>139</v>
      </c>
      <c r="D97" s="179">
        <f t="shared" si="6"/>
        <v>3892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90</v>
      </c>
      <c r="B98" s="181">
        <f>'Données projet'!D101</f>
        <v>56</v>
      </c>
      <c r="C98" s="191">
        <f>225*'Données projet'!E101+19.4*('Données projet'!F101+'Données projet'!G101)+10*'Données projet'!H101</f>
        <v>160.5</v>
      </c>
      <c r="D98" s="179">
        <f t="shared" si="6"/>
        <v>8988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100</v>
      </c>
      <c r="B99" s="181">
        <f>'Données projet'!D102</f>
        <v>56</v>
      </c>
      <c r="C99" s="191">
        <f>225*'Données projet'!E102+19.4*('Données projet'!F102+'Données projet'!G102)+10*'Données projet'!H102</f>
        <v>182</v>
      </c>
      <c r="D99" s="179">
        <f t="shared" si="6"/>
        <v>10192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110</v>
      </c>
      <c r="B100" s="181">
        <f>'Données projet'!D103</f>
        <v>51</v>
      </c>
      <c r="C100" s="191">
        <f>225*'Données projet'!E103+19.4*('Données projet'!F103+'Données projet'!G103)+10*'Données projet'!H103</f>
        <v>182</v>
      </c>
      <c r="D100" s="179">
        <f t="shared" si="6"/>
        <v>9282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120</v>
      </c>
      <c r="B101" s="181">
        <f>'Données projet'!D104</f>
        <v>352</v>
      </c>
      <c r="C101" s="191">
        <f>225*'Données projet'!E104+19.4*('Données projet'!F104+'Données projet'!G104)+10*'Données projet'!H104</f>
        <v>203.5</v>
      </c>
      <c r="D101" s="179">
        <f t="shared" si="6"/>
        <v>71632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225*'Données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225*'Données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225*'Données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f>(1880+1744)*1.12</f>
        <v>4058.8800000000006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25</v>
      </c>
      <c r="B116" s="181">
        <f>'Données projet'!D114</f>
        <v>0</v>
      </c>
      <c r="C116" s="191">
        <f>40*'Données projet'!E114+19.5*('Données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0</v>
      </c>
      <c r="C117" s="191">
        <f>40*'Données projet'!E115+19.5*('Données projet'!F115+'Données projet'!G115)+10*'Données projet'!H115</f>
        <v>10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35</v>
      </c>
      <c r="B118" s="181">
        <f>'Données projet'!D116</f>
        <v>13</v>
      </c>
      <c r="C118" s="191">
        <f>40*'Données projet'!E116+19.5*('Données projet'!F116+'Données projet'!G116)+10*'Données projet'!H116</f>
        <v>10</v>
      </c>
      <c r="D118" s="179">
        <f t="shared" si="8"/>
        <v>130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14</v>
      </c>
      <c r="C119" s="191">
        <f>40*'Données projet'!E117+19.5*('Données projet'!F117+'Données projet'!G117)+10*'Données projet'!H117</f>
        <v>16</v>
      </c>
      <c r="D119" s="179">
        <f t="shared" si="8"/>
        <v>224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45</v>
      </c>
      <c r="B120" s="181">
        <f>'Données projet'!D118</f>
        <v>14</v>
      </c>
      <c r="C120" s="191">
        <f>40*'Données projet'!E118+19.5*('Données projet'!F118+'Données projet'!G118)+10*'Données projet'!H118</f>
        <v>16</v>
      </c>
      <c r="D120" s="179">
        <f t="shared" si="8"/>
        <v>224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50</v>
      </c>
      <c r="B121" s="181">
        <f>'Données projet'!D119</f>
        <v>14</v>
      </c>
      <c r="C121" s="191">
        <f>40*'Données projet'!E119+19.5*('Données projet'!F119+'Données projet'!G119)+10*'Données projet'!H119</f>
        <v>16</v>
      </c>
      <c r="D121" s="179">
        <f t="shared" si="8"/>
        <v>224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55</v>
      </c>
      <c r="B122" s="181">
        <f>'Données projet'!D120</f>
        <v>14</v>
      </c>
      <c r="C122" s="191">
        <f>40*'Données projet'!E120+19.5*('Données projet'!F120+'Données projet'!G120)+10*'Données projet'!H120</f>
        <v>19</v>
      </c>
      <c r="D122" s="179">
        <f t="shared" si="8"/>
        <v>266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60</v>
      </c>
      <c r="B123" s="181">
        <f>'Données projet'!D121</f>
        <v>14</v>
      </c>
      <c r="C123" s="191">
        <f>40*'Données projet'!E121+19.5*('Données projet'!F121+'Données projet'!G121)+10*'Données projet'!H121</f>
        <v>19</v>
      </c>
      <c r="D123" s="179">
        <f t="shared" si="8"/>
        <v>266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65</v>
      </c>
      <c r="B124" s="181">
        <f>'Données projet'!D122</f>
        <v>14</v>
      </c>
      <c r="C124" s="191">
        <f>40*'Données projet'!E122+19.5*('Données projet'!F122+'Données projet'!G122)+10*'Données projet'!H122</f>
        <v>22</v>
      </c>
      <c r="D124" s="179">
        <f t="shared" si="8"/>
        <v>308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70</v>
      </c>
      <c r="B125" s="181">
        <f>'Données projet'!D123</f>
        <v>14</v>
      </c>
      <c r="C125" s="191">
        <f>40*'Données projet'!E123+19.5*('Données projet'!F123+'Données projet'!G123)+10*'Données projet'!H123</f>
        <v>22</v>
      </c>
      <c r="D125" s="179">
        <f t="shared" si="8"/>
        <v>308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75</v>
      </c>
      <c r="B126" s="181">
        <f>'Données projet'!D124</f>
        <v>14</v>
      </c>
      <c r="C126" s="191">
        <f>40*'Données projet'!E124+19.5*('Données projet'!F124+'Données projet'!G124)+10*'Données projet'!H124</f>
        <v>25</v>
      </c>
      <c r="D126" s="179">
        <f t="shared" si="8"/>
        <v>350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80</v>
      </c>
      <c r="B127" s="181">
        <f>'Données projet'!D125</f>
        <v>14</v>
      </c>
      <c r="C127" s="191">
        <f>40*'Données projet'!E125+19.5*('Données projet'!F125+'Données projet'!G125)+10*'Données projet'!H125</f>
        <v>25</v>
      </c>
      <c r="D127" s="179">
        <f t="shared" si="8"/>
        <v>350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85</v>
      </c>
      <c r="B128" s="181">
        <f>'Données projet'!D126</f>
        <v>14</v>
      </c>
      <c r="C128" s="191">
        <f>40*'Données projet'!E126+19.5*('Données projet'!F126+'Données projet'!G126)+10*'Données projet'!H126</f>
        <v>28</v>
      </c>
      <c r="D128" s="179">
        <f t="shared" si="8"/>
        <v>392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90</v>
      </c>
      <c r="B129" s="181">
        <f>'Données projet'!D127</f>
        <v>207</v>
      </c>
      <c r="C129" s="191">
        <f>40*'Données projet'!E127+19.5*('Données projet'!F127+'Données projet'!G127)+10*'Données projet'!H127</f>
        <v>28</v>
      </c>
      <c r="D129" s="179">
        <f t="shared" si="8"/>
        <v>5796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40*'Données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40*'Données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40*'Données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40*'Données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40*'Données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40*'Données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f>(1202+1526)*1.12</f>
        <v>3055.36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4</v>
      </c>
      <c r="C147" s="191">
        <f>45*'Données projet'!E140+19.8*('Données projet'!F140+'Données projet'!G140)+10*'Données projet'!H140</f>
        <v>24.840000000000003</v>
      </c>
      <c r="D147" s="182">
        <f>B147*C147</f>
        <v>99.360000000000014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56</v>
      </c>
      <c r="C148" s="191">
        <f>45*'Données projet'!E141+19.8*('Données projet'!F141+'Données projet'!G141)+10*'Données projet'!H141</f>
        <v>24.840000000000003</v>
      </c>
      <c r="D148" s="182">
        <f t="shared" ref="D148:D166" si="10">B148*C148</f>
        <v>1391.0400000000002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56</v>
      </c>
      <c r="C149" s="191">
        <f>45*'Données projet'!E142+19.8*('Données projet'!F142+'Données projet'!G142)+10*'Données projet'!H142</f>
        <v>24.840000000000003</v>
      </c>
      <c r="D149" s="182">
        <f t="shared" si="10"/>
        <v>1391.0400000000002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30</v>
      </c>
      <c r="B150" s="175">
        <f>'Données projet'!D143</f>
        <v>56</v>
      </c>
      <c r="C150" s="191">
        <f>45*'Données projet'!E143+19.8*('Données projet'!F143+'Données projet'!G143)+10*'Données projet'!H143</f>
        <v>27.36</v>
      </c>
      <c r="D150" s="182">
        <f t="shared" si="10"/>
        <v>1532.1599999999999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35</v>
      </c>
      <c r="B151" s="175">
        <f>'Données projet'!D144</f>
        <v>56</v>
      </c>
      <c r="C151" s="191">
        <f>45*'Données projet'!E144+19.8*('Données projet'!F144+'Données projet'!G144)+10*'Données projet'!H144</f>
        <v>29.880000000000003</v>
      </c>
      <c r="D151" s="182">
        <f t="shared" si="10"/>
        <v>1673.2800000000002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40</v>
      </c>
      <c r="B152" s="175">
        <f>'Données projet'!D145</f>
        <v>56</v>
      </c>
      <c r="C152" s="191">
        <f>45*'Données projet'!E145+19.8*('Données projet'!F145+'Données projet'!G145)+10*'Données projet'!H145</f>
        <v>32.4</v>
      </c>
      <c r="D152" s="182">
        <f t="shared" si="10"/>
        <v>1814.3999999999999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45</v>
      </c>
      <c r="B153" s="175">
        <f>'Données projet'!D146</f>
        <v>54</v>
      </c>
      <c r="C153" s="191">
        <f>45*'Données projet'!E146+19.8*('Données projet'!F146+'Données projet'!G146)+10*'Données projet'!H146</f>
        <v>34.92</v>
      </c>
      <c r="D153" s="182">
        <f t="shared" si="10"/>
        <v>1885.68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50</v>
      </c>
      <c r="B154" s="175">
        <f>'Données projet'!D147</f>
        <v>458</v>
      </c>
      <c r="C154" s="191">
        <f>45*'Données projet'!E147+19.8*('Données projet'!F147+'Données projet'!G147)+10*'Données projet'!H147</f>
        <v>37.44</v>
      </c>
      <c r="D154" s="182">
        <f t="shared" si="10"/>
        <v>17147.52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45*'Données projet'!E148+19.8*('Données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45*'Données projet'!E149+19.8*('Données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45*'Données projet'!E150+19.8*('Données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45*'Données projet'!E151+19.8*('Données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45*'Données projet'!E152+19.8*('Données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45*'Données projet'!E153+19.8*('Données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45*'Données projet'!E154+19.8*('Données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45*'Données projet'!E155+19.8*('Données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45*'Données projet'!E156+19.8*('Données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45*'Données projet'!E157+19.8*('Données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45*'Données projet'!E158+19.8*('Données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45*'Données projet'!E159+19.8*('Données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2023-07-07T08:53:04Z</dcterms:modified>
</cp:coreProperties>
</file>