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ASO - Zwift 2023 - Tour de France Femmes\CNPF C+for n° 118 Seilhac (A.S.O. n° 14)\5 - Montage technique et administratif du dossier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4" i="1" l="1"/>
  <c r="D94" i="1" s="1"/>
  <c r="B93" i="1"/>
  <c r="D93" i="1" s="1"/>
  <c r="B92" i="1"/>
  <c r="D92" i="1" s="1"/>
  <c r="B91" i="1"/>
  <c r="D91" i="1" s="1"/>
  <c r="D90" i="1"/>
  <c r="B90" i="1"/>
  <c r="D89" i="1"/>
  <c r="B89" i="1"/>
  <c r="B88" i="1"/>
  <c r="D153" i="1" l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D75" i="1"/>
  <c r="B75" i="1"/>
  <c r="B74" i="1"/>
  <c r="D73" i="1"/>
  <c r="B73" i="1"/>
  <c r="B72" i="1"/>
  <c r="B71" i="1"/>
  <c r="B70" i="1"/>
  <c r="D69" i="1"/>
  <c r="D71" i="1" s="1"/>
  <c r="B69" i="1"/>
  <c r="B68" i="1"/>
  <c r="D67" i="1"/>
  <c r="B67" i="1"/>
  <c r="B66" i="1"/>
  <c r="D65" i="1"/>
  <c r="B65" i="1"/>
  <c r="B64" i="1"/>
  <c r="D63" i="1"/>
  <c r="B63" i="1"/>
  <c r="B62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C155" i="2" l="1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<sst xmlns="http://schemas.openxmlformats.org/spreadsheetml/2006/main" count="1174" uniqueCount="324">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</sst>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2160"/>
        <c:axId val="856996720"/>
      </c:scatterChart>
      <c:valAx>
        <c:axId val="857002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996720"/>
        <c:crosses val="autoZero"/>
        <c:crossBetween val="midCat"/>
      </c:valAx>
      <c:valAx>
        <c:axId val="8569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2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9776"/>
        <c:axId val="857001072"/>
      </c:scatterChart>
      <c:valAx>
        <c:axId val="85700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1072"/>
        <c:crosses val="autoZero"/>
        <c:crossBetween val="midCat"/>
      </c:valAx>
      <c:valAx>
        <c:axId val="85700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706.10272969198661</c:v>
                </c:pt>
                <c:pt idx="82">
                  <c:v>714.20495271831248</c:v>
                </c:pt>
                <c:pt idx="83">
                  <c:v>722.3052985482658</c:v>
                </c:pt>
                <c:pt idx="84">
                  <c:v>730.40379119725401</c:v>
                </c:pt>
                <c:pt idx="85">
                  <c:v>738.50045410483654</c:v>
                </c:pt>
                <c:pt idx="86">
                  <c:v>746.59531015482787</c:v>
                </c:pt>
                <c:pt idx="87">
                  <c:v>754.68838169448679</c:v>
                </c:pt>
                <c:pt idx="88">
                  <c:v>762.77969055283802</c:v>
                </c:pt>
                <c:pt idx="89">
                  <c:v>770.86925805817725</c:v>
                </c:pt>
                <c:pt idx="90">
                  <c:v>778.95710505480304</c:v>
                </c:pt>
                <c:pt idx="91">
                  <c:v>672.18040143052724</c:v>
                </c:pt>
                <c:pt idx="92">
                  <c:v>684.77193672549231</c:v>
                </c:pt>
                <c:pt idx="93">
                  <c:v>697.3587237894086</c:v>
                </c:pt>
                <c:pt idx="94">
                  <c:v>709.94086035598684</c:v>
                </c:pt>
                <c:pt idx="95">
                  <c:v>722.51844041418644</c:v>
                </c:pt>
                <c:pt idx="96">
                  <c:v>735.09155441574819</c:v>
                </c:pt>
                <c:pt idx="97">
                  <c:v>747.66028946779909</c:v>
                </c:pt>
                <c:pt idx="98">
                  <c:v>760.22472951184307</c:v>
                </c:pt>
                <c:pt idx="99">
                  <c:v>772.78495549031061</c:v>
                </c:pt>
                <c:pt idx="100">
                  <c:v>785.34104550172617</c:v>
                </c:pt>
                <c:pt idx="101">
                  <c:v>679.65053482644407</c:v>
                </c:pt>
                <c:pt idx="102">
                  <c:v>691.17258507143526</c:v>
                </c:pt>
                <c:pt idx="103">
                  <c:v>702.69069984530927</c:v>
                </c:pt>
                <c:pt idx="104">
                  <c:v>714.20495271831214</c:v>
                </c:pt>
                <c:pt idx="105">
                  <c:v>725.71541469625129</c:v>
                </c:pt>
                <c:pt idx="106">
                  <c:v>737.22215434999634</c:v>
                </c:pt>
                <c:pt idx="107">
                  <c:v>748.72523793647258</c:v>
                </c:pt>
                <c:pt idx="108">
                  <c:v>760.22472951184272</c:v>
                </c:pt>
                <c:pt idx="109">
                  <c:v>771.72069103748652</c:v>
                </c:pt>
                <c:pt idx="110">
                  <c:v>783.21318247934141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674.95522047957547</c:v>
                </c:pt>
                <c:pt idx="122">
                  <c:v>683.9184244821223</c:v>
                </c:pt>
                <c:pt idx="123">
                  <c:v>692.87921896789578</c:v>
                </c:pt>
                <c:pt idx="124">
                  <c:v>701.83763948445903</c:v>
                </c:pt>
                <c:pt idx="125">
                  <c:v>710.79372059813011</c:v>
                </c:pt>
                <c:pt idx="126">
                  <c:v>719.74749593335264</c:v>
                </c:pt>
                <c:pt idx="127">
                  <c:v>728.69899821000763</c:v>
                </c:pt>
                <c:pt idx="128">
                  <c:v>737.64825927879849</c:v>
                </c:pt>
                <c:pt idx="129">
                  <c:v>746.59531015482673</c:v>
                </c:pt>
                <c:pt idx="130">
                  <c:v>755.54018104947966</c:v>
                </c:pt>
                <c:pt idx="131">
                  <c:v>670.25923500176987</c:v>
                </c:pt>
                <c:pt idx="132">
                  <c:v>678.79689098808058</c:v>
                </c:pt>
                <c:pt idx="133">
                  <c:v>687.3323426405899</c:v>
                </c:pt>
                <c:pt idx="134">
                  <c:v>695.86562118765835</c:v>
                </c:pt>
                <c:pt idx="135">
                  <c:v>704.39675702944942</c:v>
                </c:pt>
                <c:pt idx="136">
                  <c:v>712.92577976987411</c:v>
                </c:pt>
                <c:pt idx="137">
                  <c:v>721.45271824692497</c:v>
                </c:pt>
                <c:pt idx="138">
                  <c:v>729.97760056150446</c:v>
                </c:pt>
                <c:pt idx="139">
                  <c:v>738.50045410483551</c:v>
                </c:pt>
                <c:pt idx="140">
                  <c:v>747.02130558454235</c:v>
                </c:pt>
                <c:pt idx="141">
                  <c:v>662.78695256584854</c:v>
                </c:pt>
                <c:pt idx="142">
                  <c:v>670.25923500176987</c:v>
                </c:pt>
                <c:pt idx="143">
                  <c:v>677.7298051889702</c:v>
                </c:pt>
                <c:pt idx="144">
                  <c:v>685.19868466154912</c:v>
                </c:pt>
                <c:pt idx="145">
                  <c:v>692.66589444590579</c:v>
                </c:pt>
                <c:pt idx="146">
                  <c:v>700.13145507817001</c:v>
                </c:pt>
                <c:pt idx="147">
                  <c:v>707.59538662085242</c:v>
                </c:pt>
                <c:pt idx="148">
                  <c:v>715.05770867875538</c:v>
                </c:pt>
                <c:pt idx="149">
                  <c:v>722.51844041418553</c:v>
                </c:pt>
                <c:pt idx="150">
                  <c:v>729.97760056150446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999440"/>
        <c:axId val="857007056"/>
      </c:scatterChart>
      <c:valAx>
        <c:axId val="856999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7056"/>
        <c:crosses val="autoZero"/>
        <c:crossBetween val="midCat"/>
      </c:valAx>
      <c:valAx>
        <c:axId val="85700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999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8144"/>
        <c:axId val="857002704"/>
      </c:scatterChart>
      <c:valAx>
        <c:axId val="857008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2704"/>
        <c:crosses val="autoZero"/>
        <c:crossBetween val="midCat"/>
      </c:valAx>
      <c:valAx>
        <c:axId val="85700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674.21967001771247</c:v>
                </c:pt>
                <c:pt idx="82">
                  <c:v>681.95526333416194</c:v>
                </c:pt>
                <c:pt idx="83">
                  <c:v>689.68905621845386</c:v>
                </c:pt>
                <c:pt idx="84">
                  <c:v>697.42107170393399</c:v>
                </c:pt>
                <c:pt idx="85">
                  <c:v>705.15133227164642</c:v>
                </c:pt>
                <c:pt idx="86">
                  <c:v>712.87985986961849</c:v>
                </c:pt>
                <c:pt idx="87">
                  <c:v>720.60667593126209</c:v>
                </c:pt>
                <c:pt idx="88">
                  <c:v>728.33180139294689</c:v>
                </c:pt>
                <c:pt idx="89">
                  <c:v>736.05525671079067</c:v>
                </c:pt>
                <c:pt idx="90">
                  <c:v>743.77706187670594</c:v>
                </c:pt>
                <c:pt idx="91">
                  <c:v>641.83225318617019</c:v>
                </c:pt>
                <c:pt idx="92">
                  <c:v>653.85406638827374</c:v>
                </c:pt>
                <c:pt idx="93">
                  <c:v>665.87132552880132</c:v>
                </c:pt>
                <c:pt idx="94">
                  <c:v>677.8841243448378</c:v>
                </c:pt>
                <c:pt idx="95">
                  <c:v>689.89255298185083</c:v>
                </c:pt>
                <c:pt idx="96">
                  <c:v>701.89669819273684</c:v>
                </c:pt>
                <c:pt idx="97">
                  <c:v>713.89664352255056</c:v>
                </c:pt>
                <c:pt idx="98">
                  <c:v>725.89246948017444</c:v>
                </c:pt>
                <c:pt idx="99">
                  <c:v>737.88425369805884</c:v>
                </c:pt>
                <c:pt idx="100">
                  <c:v>749.87207108104496</c:v>
                </c:pt>
                <c:pt idx="101">
                  <c:v>648.96439218997534</c:v>
                </c:pt>
                <c:pt idx="102">
                  <c:v>659.96510025530495</c:v>
                </c:pt>
                <c:pt idx="103">
                  <c:v>670.96203378278835</c:v>
                </c:pt>
                <c:pt idx="104">
                  <c:v>681.95526333416149</c:v>
                </c:pt>
                <c:pt idx="105">
                  <c:v>692.94485701159158</c:v>
                </c:pt>
                <c:pt idx="106">
                  <c:v>703.93088058187789</c:v>
                </c:pt>
                <c:pt idx="107">
                  <c:v>714.91339759250093</c:v>
                </c:pt>
                <c:pt idx="108">
                  <c:v>725.89246948017399</c:v>
                </c:pt>
                <c:pt idx="109">
                  <c:v>736.86815567248902</c:v>
                </c:pt>
                <c:pt idx="110">
                  <c:v>747.84051368319581</c:v>
                </c:pt>
                <c:pt idx="111">
                  <c:v>649.16814374322701</c:v>
                </c:pt>
                <c:pt idx="112">
                  <c:v>658.33560563795118</c:v>
                </c:pt>
                <c:pt idx="113">
                  <c:v>667.50043896177965</c:v>
                </c:pt>
                <c:pt idx="114">
                  <c:v>676.66268488632568</c:v>
                </c:pt>
                <c:pt idx="115">
                  <c:v>685.8223833775661</c:v>
                </c:pt>
                <c:pt idx="116">
                  <c:v>694.97957324712013</c:v>
                </c:pt>
                <c:pt idx="117">
                  <c:v>704.1342922006861</c:v>
                </c:pt>
                <c:pt idx="118">
                  <c:v>713.28657688382839</c:v>
                </c:pt>
                <c:pt idx="119">
                  <c:v>722.4364629252932</c:v>
                </c:pt>
                <c:pt idx="120">
                  <c:v>731.58398497801784</c:v>
                </c:pt>
                <c:pt idx="121">
                  <c:v>644.48152336118642</c:v>
                </c:pt>
                <c:pt idx="122">
                  <c:v>653.03917318988636</c:v>
                </c:pt>
                <c:pt idx="123">
                  <c:v>661.59451203421315</c:v>
                </c:pt>
                <c:pt idx="124">
                  <c:v>670.14757398808308</c:v>
                </c:pt>
                <c:pt idx="125">
                  <c:v>678.69839220429276</c:v>
                </c:pt>
                <c:pt idx="126">
                  <c:v>687.24699893228126</c:v>
                </c:pt>
                <c:pt idx="127">
                  <c:v>695.79342555391565</c:v>
                </c:pt>
                <c:pt idx="128">
                  <c:v>704.33770261742723</c:v>
                </c:pt>
                <c:pt idx="129">
                  <c:v>712.87985986961746</c:v>
                </c:pt>
                <c:pt idx="130">
                  <c:v>721.41992628643857</c:v>
                </c:pt>
                <c:pt idx="131">
                  <c:v>639.99801084602666</c:v>
                </c:pt>
                <c:pt idx="132">
                  <c:v>648.14937277791023</c:v>
                </c:pt>
                <c:pt idx="133">
                  <c:v>656.29862051784312</c:v>
                </c:pt>
                <c:pt idx="134">
                  <c:v>664.44578401716308</c:v>
                </c:pt>
                <c:pt idx="135">
                  <c:v>672.5908924328802</c:v>
                </c:pt>
                <c:pt idx="136">
                  <c:v>680.73397415831187</c:v>
                </c:pt>
                <c:pt idx="137">
                  <c:v>688.87505685217866</c:v>
                </c:pt>
                <c:pt idx="138">
                  <c:v>697.01416746625182</c:v>
                </c:pt>
                <c:pt idx="139">
                  <c:v>705.15133227164551</c:v>
                </c:pt>
                <c:pt idx="140">
                  <c:v>713.28657688382816</c:v>
                </c:pt>
                <c:pt idx="141">
                  <c:v>632.86381068293724</c:v>
                </c:pt>
                <c:pt idx="142">
                  <c:v>639.99801084602666</c:v>
                </c:pt>
                <c:pt idx="143">
                  <c:v>647.13056877940369</c:v>
                </c:pt>
                <c:pt idx="144">
                  <c:v>654.26150513657399</c:v>
                </c:pt>
                <c:pt idx="145">
                  <c:v>661.39084008410396</c:v>
                </c:pt>
                <c:pt idx="146">
                  <c:v>668.51859331833884</c:v>
                </c:pt>
                <c:pt idx="147">
                  <c:v>675.64478408137313</c:v>
                </c:pt>
                <c:pt idx="148">
                  <c:v>682.76943117630947</c:v>
                </c:pt>
                <c:pt idx="149">
                  <c:v>689.8925529818498</c:v>
                </c:pt>
                <c:pt idx="150">
                  <c:v>697.01416746625182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11408"/>
        <c:axId val="856998352"/>
      </c:scatterChart>
      <c:valAx>
        <c:axId val="857011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998352"/>
        <c:crosses val="autoZero"/>
        <c:crossBetween val="midCat"/>
      </c:valAx>
      <c:valAx>
        <c:axId val="85699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11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191.59133974610231</c:v>
                </c:pt>
                <c:pt idx="22">
                  <c:v>208.34408122016092</c:v>
                </c:pt>
                <c:pt idx="23">
                  <c:v>225.06572551561021</c:v>
                </c:pt>
                <c:pt idx="24">
                  <c:v>241.75890854864349</c:v>
                </c:pt>
                <c:pt idx="25">
                  <c:v>258.42587225263441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311.05204406793194</c:v>
                </c:pt>
                <c:pt idx="32">
                  <c:v>335.90885371669884</c:v>
                </c:pt>
                <c:pt idx="33">
                  <c:v>360.72516312195717</c:v>
                </c:pt>
                <c:pt idx="34">
                  <c:v>385.50414799512083</c:v>
                </c:pt>
                <c:pt idx="35">
                  <c:v>410.2485426639725</c:v>
                </c:pt>
                <c:pt idx="36">
                  <c:v>307.36589042386976</c:v>
                </c:pt>
                <c:pt idx="37">
                  <c:v>333.1490489500444</c:v>
                </c:pt>
                <c:pt idx="38">
                  <c:v>358.88823411477216</c:v>
                </c:pt>
                <c:pt idx="39">
                  <c:v>384.58704033593949</c:v>
                </c:pt>
                <c:pt idx="40">
                  <c:v>410.24854266397239</c:v>
                </c:pt>
                <c:pt idx="41">
                  <c:v>436.33272253339618</c:v>
                </c:pt>
                <c:pt idx="42">
                  <c:v>462.38345350022161</c:v>
                </c:pt>
                <c:pt idx="43">
                  <c:v>488.40288299445155</c:v>
                </c:pt>
                <c:pt idx="44">
                  <c:v>514.39291118678466</c:v>
                </c:pt>
                <c:pt idx="45">
                  <c:v>540.35523076412767</c:v>
                </c:pt>
                <c:pt idx="46">
                  <c:v>437.70462758915534</c:v>
                </c:pt>
                <c:pt idx="47">
                  <c:v>462.8401985900677</c:v>
                </c:pt>
                <c:pt idx="48">
                  <c:v>487.94666038986725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561.28811451546608</c:v>
                </c:pt>
                <c:pt idx="52">
                  <c:v>584.47725131696131</c:v>
                </c:pt>
                <c:pt idx="53">
                  <c:v>607.64722125113985</c:v>
                </c:pt>
                <c:pt idx="54">
                  <c:v>630.79885717882416</c:v>
                </c:pt>
                <c:pt idx="55">
                  <c:v>653.93292590911062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653.47948098691757</c:v>
                </c:pt>
                <c:pt idx="62">
                  <c:v>673.42499429307338</c:v>
                </c:pt>
                <c:pt idx="63">
                  <c:v>693.35837375801611</c:v>
                </c:pt>
                <c:pt idx="64">
                  <c:v>713.28001696958779</c:v>
                </c:pt>
                <c:pt idx="65">
                  <c:v>733.19029751967912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716.44831231729302</c:v>
                </c:pt>
                <c:pt idx="72">
                  <c:v>733.64267463552369</c:v>
                </c:pt>
                <c:pt idx="73">
                  <c:v>750.82883030840048</c:v>
                </c:pt>
                <c:pt idx="74">
                  <c:v>768.0069934631473</c:v>
                </c:pt>
                <c:pt idx="75">
                  <c:v>785.17736787656111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748.56795517894261</c:v>
                </c:pt>
                <c:pt idx="82">
                  <c:v>757.15854610702615</c:v>
                </c:pt>
                <c:pt idx="83">
                  <c:v>765.74715812293209</c:v>
                </c:pt>
                <c:pt idx="84">
                  <c:v>774.33381654334232</c:v>
                </c:pt>
                <c:pt idx="85">
                  <c:v>782.91854607788719</c:v>
                </c:pt>
                <c:pt idx="86">
                  <c:v>791.50137085033987</c:v>
                </c:pt>
                <c:pt idx="87">
                  <c:v>800.08231441884436</c:v>
                </c:pt>
                <c:pt idx="88">
                  <c:v>808.66139979523052</c:v>
                </c:pt>
                <c:pt idx="89">
                  <c:v>817.23864946346646</c:v>
                </c:pt>
                <c:pt idx="90">
                  <c:v>825.81408539729819</c:v>
                </c:pt>
                <c:pt idx="91">
                  <c:v>712.60105917771659</c:v>
                </c:pt>
                <c:pt idx="92">
                  <c:v>725.95148754575166</c:v>
                </c:pt>
                <c:pt idx="93">
                  <c:v>739.29691040004275</c:v>
                </c:pt>
                <c:pt idx="94">
                  <c:v>752.63743076999742</c:v>
                </c:pt>
                <c:pt idx="95">
                  <c:v>765.97314773736286</c:v>
                </c:pt>
                <c:pt idx="96">
                  <c:v>779.30415665500323</c:v>
                </c:pt>
                <c:pt idx="97">
                  <c:v>792.6305493499417</c:v>
                </c:pt>
                <c:pt idx="98">
                  <c:v>805.9524143120492</c:v>
                </c:pt>
                <c:pt idx="99">
                  <c:v>819.26983686961751</c:v>
                </c:pt>
                <c:pt idx="100">
                  <c:v>832.58289935293715</c:v>
                </c:pt>
                <c:pt idx="101">
                  <c:v>720.52141472893618</c:v>
                </c:pt>
                <c:pt idx="102">
                  <c:v>732.73791471720108</c:v>
                </c:pt>
                <c:pt idx="103">
                  <c:v>744.95026599101573</c:v>
                </c:pt>
                <c:pt idx="104">
                  <c:v>757.1585461070257</c:v>
                </c:pt>
                <c:pt idx="105">
                  <c:v>769.36282991848623</c:v>
                </c:pt>
                <c:pt idx="106">
                  <c:v>781.56318971177598</c:v>
                </c:pt>
                <c:pt idx="107">
                  <c:v>793.75969533394903</c:v>
                </c:pt>
                <c:pt idx="108">
                  <c:v>805.95241431204852</c:v>
                </c:pt>
                <c:pt idx="109">
                  <c:v>818.14141196482899</c:v>
                </c:pt>
                <c:pt idx="110">
                  <c:v>830.3267515074798</c:v>
                </c:pt>
                <c:pt idx="111">
                  <c:v>720.74768439099</c:v>
                </c:pt>
                <c:pt idx="112">
                  <c:v>730.92832656071676</c:v>
                </c:pt>
                <c:pt idx="113">
                  <c:v>741.10607958467165</c:v>
                </c:pt>
                <c:pt idx="114">
                  <c:v>751.2809887158827</c:v>
                </c:pt>
                <c:pt idx="115">
                  <c:v>761.45309788222482</c:v>
                </c:pt>
                <c:pt idx="116">
                  <c:v>771.62244974278201</c:v>
                </c:pt>
                <c:pt idx="117">
                  <c:v>781.7890857410847</c:v>
                </c:pt>
                <c:pt idx="118">
                  <c:v>791.95304615543637</c:v>
                </c:pt>
                <c:pt idx="119">
                  <c:v>802.11437014652449</c:v>
                </c:pt>
                <c:pt idx="120">
                  <c:v>812.27309580249312</c:v>
                </c:pt>
                <c:pt idx="121">
                  <c:v>715.54311433133398</c:v>
                </c:pt>
                <c:pt idx="122">
                  <c:v>725.04653311549419</c:v>
                </c:pt>
                <c:pt idx="123">
                  <c:v>734.54741182331838</c:v>
                </c:pt>
                <c:pt idx="124">
                  <c:v>744.04578792851282</c:v>
                </c:pt>
                <c:pt idx="125">
                  <c:v>753.54169787036972</c:v>
                </c:pt>
                <c:pt idx="126">
                  <c:v>763.03517709527159</c:v>
                </c:pt>
                <c:pt idx="127">
                  <c:v>772.52626009602557</c:v>
                </c:pt>
                <c:pt idx="128">
                  <c:v>782.01498044916309</c:v>
                </c:pt>
                <c:pt idx="129">
                  <c:v>791.5013708503385</c:v>
                </c:pt>
                <c:pt idx="130">
                  <c:v>800.98546314794169</c:v>
                </c:pt>
                <c:pt idx="131">
                  <c:v>710.56410643759409</c:v>
                </c:pt>
                <c:pt idx="132">
                  <c:v>719.61632157321628</c:v>
                </c:pt>
                <c:pt idx="133">
                  <c:v>728.66621293330525</c:v>
                </c:pt>
                <c:pt idx="134">
                  <c:v>737.71381343832797</c:v>
                </c:pt>
                <c:pt idx="135">
                  <c:v>746.75915513568009</c:v>
                </c:pt>
                <c:pt idx="136">
                  <c:v>755.8022692333592</c:v>
                </c:pt>
                <c:pt idx="137">
                  <c:v>764.84318613194307</c:v>
                </c:pt>
                <c:pt idx="138">
                  <c:v>773.88193545498007</c:v>
                </c:pt>
                <c:pt idx="139">
                  <c:v>782.91854607788582</c:v>
                </c:pt>
                <c:pt idx="140">
                  <c:v>791.95304615543603</c:v>
                </c:pt>
                <c:pt idx="141">
                  <c:v>702.64148540072938</c:v>
                </c:pt>
                <c:pt idx="142">
                  <c:v>710.56410643759409</c:v>
                </c:pt>
                <c:pt idx="143">
                  <c:v>718.48492244761428</c:v>
                </c:pt>
                <c:pt idx="144">
                  <c:v>726.40395613171404</c:v>
                </c:pt>
                <c:pt idx="145">
                  <c:v>734.32122965560711</c:v>
                </c:pt>
                <c:pt idx="146">
                  <c:v>742.23676466817244</c:v>
                </c:pt>
                <c:pt idx="147">
                  <c:v>750.15058231900696</c:v>
                </c:pt>
                <c:pt idx="148">
                  <c:v>758.06270327519826</c:v>
                </c:pt>
                <c:pt idx="149">
                  <c:v>765.97314773736196</c:v>
                </c:pt>
                <c:pt idx="150">
                  <c:v>773.88193545498007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6512"/>
        <c:axId val="857003792"/>
      </c:scatterChart>
      <c:valAx>
        <c:axId val="857006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3792"/>
        <c:crosses val="autoZero"/>
        <c:crossBetween val="midCat"/>
      </c:valAx>
      <c:valAx>
        <c:axId val="85700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8688"/>
        <c:axId val="856999984"/>
      </c:scatterChart>
      <c:valAx>
        <c:axId val="85700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999984"/>
        <c:crosses val="autoZero"/>
        <c:crossBetween val="midCat"/>
      </c:valAx>
      <c:valAx>
        <c:axId val="85699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4336"/>
        <c:axId val="857010320"/>
      </c:scatterChart>
      <c:valAx>
        <c:axId val="857004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10320"/>
        <c:crosses val="autoZero"/>
        <c:crossBetween val="midCat"/>
      </c:valAx>
      <c:valAx>
        <c:axId val="85701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4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007600"/>
        <c:axId val="857009232"/>
      </c:scatterChart>
      <c:valAx>
        <c:axId val="857007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9232"/>
        <c:crosses val="autoZero"/>
        <c:crossBetween val="midCat"/>
      </c:valAx>
      <c:valAx>
        <c:axId val="85700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997264"/>
        <c:axId val="857004880"/>
      </c:scatterChart>
      <c:valAx>
        <c:axId val="856997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004880"/>
        <c:crosses val="autoZero"/>
        <c:crossBetween val="midCat"/>
      </c:valAx>
      <c:valAx>
        <c:axId val="8570048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6997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8" zoomScale="85" zoomScaleNormal="85" workbookViewId="0">
      <selection activeCell="B65" sqref="B6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1.518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0.55600000000000005</v>
      </c>
      <c r="D9" s="36">
        <f t="shared" ref="D9:D18" si="0">C9*$C$5</f>
        <v>0.84400800000000009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0.318</v>
      </c>
      <c r="D10" s="36">
        <f t="shared" si="0"/>
        <v>0.48272399999999999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0.10199999999999999</v>
      </c>
      <c r="D11" s="36">
        <f t="shared" si="0"/>
        <v>0.154836</v>
      </c>
      <c r="E11" s="37">
        <v>109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1.7999999999999999E-2</v>
      </c>
      <c r="D12" s="36">
        <f t="shared" si="0"/>
        <v>2.7323999999999998E-2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52</v>
      </c>
      <c r="C13" s="35">
        <v>4.0000000000000001E-3</v>
      </c>
      <c r="D13" s="36">
        <f t="shared" si="0"/>
        <v>6.0720000000000001E-3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0.99800000000000011</v>
      </c>
      <c r="D19" s="41">
        <f>SUM(D9:D18)</f>
        <v>1.514964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f>67+6</f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75+6+28</f>
        <v>109</v>
      </c>
      <c r="C37" s="61">
        <v>1</v>
      </c>
      <c r="D37" s="61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93+28</f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119+28+28</f>
        <v>175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147+28</f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176+28+28</f>
        <v>232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203+28</f>
        <v>231</v>
      </c>
      <c r="C42" s="53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226+28+28</f>
        <v>282</v>
      </c>
      <c r="C43" s="53">
        <v>4</v>
      </c>
      <c r="D43" s="61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1">
        <f>245+28</f>
        <v>273</v>
      </c>
      <c r="C44" s="53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1">
        <f>261+28+28</f>
        <v>317</v>
      </c>
      <c r="C45" s="53">
        <v>5</v>
      </c>
      <c r="D45" s="61">
        <f>D43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1">
        <f>274+28</f>
        <v>302</v>
      </c>
      <c r="C46" s="53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1">
        <f>284+28+28</f>
        <v>340</v>
      </c>
      <c r="C47" s="53">
        <v>6</v>
      </c>
      <c r="D47" s="61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1">
        <f>292+28</f>
        <v>320</v>
      </c>
      <c r="C48" s="53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61">
        <f>302+28+28</f>
        <v>358</v>
      </c>
      <c r="C49" s="53">
        <v>7</v>
      </c>
      <c r="D49" s="61">
        <f>28+28</f>
        <v>56</v>
      </c>
      <c r="E49" s="54"/>
      <c r="F49" s="54"/>
      <c r="G49" s="54"/>
      <c r="H49" s="54"/>
      <c r="I49" s="52">
        <f t="shared" si="1"/>
        <v>3.8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361</v>
      </c>
      <c r="C50" s="53">
        <v>8</v>
      </c>
      <c r="D50" s="53"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352</v>
      </c>
      <c r="C52" s="53">
        <v>10</v>
      </c>
      <c r="D52" s="53"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347</v>
      </c>
      <c r="C53" s="53">
        <v>11</v>
      </c>
      <c r="D53" s="53">
        <v>44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343</v>
      </c>
      <c r="C54" s="53">
        <v>12</v>
      </c>
      <c r="D54" s="53"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335</v>
      </c>
      <c r="C55" s="53">
        <v>13</v>
      </c>
      <c r="D55" s="53">
        <v>335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1">
        <f>67+6</f>
        <v>73</v>
      </c>
      <c r="C62" s="61"/>
      <c r="D62" s="61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1">
        <f>75+6+28</f>
        <v>109</v>
      </c>
      <c r="C63" s="61">
        <v>1</v>
      </c>
      <c r="D63" s="61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1">
        <f>93+28</f>
        <v>121</v>
      </c>
      <c r="C64" s="61"/>
      <c r="D64" s="61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1">
        <f>119+28+28</f>
        <v>175</v>
      </c>
      <c r="C65" s="61">
        <v>2</v>
      </c>
      <c r="D65" s="61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1">
        <f>147+28</f>
        <v>175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1">
        <f>176+28+28</f>
        <v>232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1">
        <f>203+28</f>
        <v>231</v>
      </c>
      <c r="C68" s="53"/>
      <c r="D68" s="61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1">
        <f>226+28+28</f>
        <v>282</v>
      </c>
      <c r="C69" s="53">
        <v>4</v>
      </c>
      <c r="D69" s="61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1">
        <f>245+28</f>
        <v>273</v>
      </c>
      <c r="C70" s="53"/>
      <c r="D70" s="61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1">
        <f>261+28+28</f>
        <v>317</v>
      </c>
      <c r="C71" s="53">
        <v>5</v>
      </c>
      <c r="D71" s="61">
        <f>D69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1">
        <f>274+28</f>
        <v>302</v>
      </c>
      <c r="C72" s="53"/>
      <c r="D72" s="61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1">
        <f>284+28+28</f>
        <v>340</v>
      </c>
      <c r="C73" s="53">
        <v>6</v>
      </c>
      <c r="D73" s="61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1">
        <f>292+28</f>
        <v>320</v>
      </c>
      <c r="C74" s="53"/>
      <c r="D74" s="61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61">
        <f>302+28+28</f>
        <v>358</v>
      </c>
      <c r="C75" s="53">
        <v>7</v>
      </c>
      <c r="D75" s="61">
        <f>28+28</f>
        <v>56</v>
      </c>
      <c r="E75" s="54"/>
      <c r="F75" s="54"/>
      <c r="G75" s="54"/>
      <c r="H75" s="54"/>
      <c r="I75" s="52">
        <f t="shared" si="2"/>
        <v>3.8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361</v>
      </c>
      <c r="C76" s="53">
        <v>8</v>
      </c>
      <c r="D76" s="53">
        <v>55</v>
      </c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360</v>
      </c>
      <c r="C77" s="53">
        <v>9</v>
      </c>
      <c r="D77" s="53">
        <v>53</v>
      </c>
      <c r="E77" s="54"/>
      <c r="F77" s="54"/>
      <c r="G77" s="54"/>
      <c r="H77" s="54"/>
      <c r="I77" s="52">
        <f t="shared" si="2"/>
        <v>5.4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352</v>
      </c>
      <c r="C78" s="53">
        <v>10</v>
      </c>
      <c r="D78" s="53">
        <v>47</v>
      </c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347</v>
      </c>
      <c r="C79" s="53">
        <v>11</v>
      </c>
      <c r="D79" s="53">
        <v>44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343</v>
      </c>
      <c r="C80" s="53">
        <v>12</v>
      </c>
      <c r="D80" s="53">
        <v>43</v>
      </c>
      <c r="E80" s="54"/>
      <c r="F80" s="54"/>
      <c r="G80" s="54"/>
      <c r="H80" s="54"/>
      <c r="I80" s="52">
        <f t="shared" si="2"/>
        <v>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335</v>
      </c>
      <c r="C81" s="53">
        <v>13</v>
      </c>
      <c r="D81" s="53">
        <v>335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1">
        <f>134/1.3</f>
        <v>103.07692307692308</v>
      </c>
      <c r="C88" s="53"/>
      <c r="D88" s="61"/>
      <c r="E88" s="54"/>
      <c r="F88" s="54"/>
      <c r="G88" s="54"/>
      <c r="H88" s="91"/>
      <c r="I88" s="56">
        <f>IFERROR(B88/A88,"")</f>
        <v>3.4358974358974361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51</v>
      </c>
      <c r="B89" s="61">
        <f>418/1.3</f>
        <v>321.53846153846155</v>
      </c>
      <c r="C89" s="53">
        <v>1</v>
      </c>
      <c r="D89" s="61">
        <f>(418-288)/1.3</f>
        <v>100</v>
      </c>
      <c r="E89" s="54"/>
      <c r="F89" s="54"/>
      <c r="G89" s="54"/>
      <c r="H89" s="91"/>
      <c r="I89" s="56">
        <f t="shared" ref="I89:I107" si="3">IF(A89&lt;&gt;0,(B89-(B88-D88))/(A89-A88),"")</f>
        <v>10.402930402930403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63</v>
      </c>
      <c r="B90" s="61">
        <f>456/1.3</f>
        <v>350.76923076923077</v>
      </c>
      <c r="C90" s="53">
        <v>2</v>
      </c>
      <c r="D90" s="61">
        <f>(456-315)/1.3</f>
        <v>108.46153846153845</v>
      </c>
      <c r="E90" s="91"/>
      <c r="F90" s="91"/>
      <c r="G90" s="91"/>
      <c r="H90" s="91"/>
      <c r="I90" s="56">
        <f t="shared" si="3"/>
        <v>10.769230769230768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75</v>
      </c>
      <c r="B91" s="61">
        <f>469/1.3</f>
        <v>360.76923076923077</v>
      </c>
      <c r="C91" s="53">
        <v>3</v>
      </c>
      <c r="D91" s="61">
        <f>B91-(358/1.3)</f>
        <v>85.384615384615415</v>
      </c>
      <c r="E91" s="91"/>
      <c r="F91" s="91"/>
      <c r="G91" s="91"/>
      <c r="H91" s="91"/>
      <c r="I91" s="56">
        <f t="shared" si="3"/>
        <v>9.8717948717948705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87</v>
      </c>
      <c r="B92" s="61">
        <f>498/1.3</f>
        <v>383.07692307692304</v>
      </c>
      <c r="C92" s="53">
        <v>4</v>
      </c>
      <c r="D92" s="61">
        <f>B92-(390/1.3)</f>
        <v>83.076923076923038</v>
      </c>
      <c r="E92" s="91"/>
      <c r="F92" s="91"/>
      <c r="G92" s="91"/>
      <c r="H92" s="91"/>
      <c r="I92" s="56">
        <f t="shared" si="3"/>
        <v>8.9743589743589727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99</v>
      </c>
      <c r="B93" s="61">
        <f>517/1.3</f>
        <v>397.69230769230768</v>
      </c>
      <c r="C93" s="53">
        <v>5</v>
      </c>
      <c r="D93" s="61">
        <f>B93-(259/1.3)</f>
        <v>198.46153846153845</v>
      </c>
      <c r="E93" s="91"/>
      <c r="F93" s="91"/>
      <c r="G93" s="91"/>
      <c r="H93" s="91"/>
      <c r="I93" s="56">
        <f t="shared" si="3"/>
        <v>8.1410256410256405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109</v>
      </c>
      <c r="B94" s="61">
        <f>333/1.3</f>
        <v>256.15384615384613</v>
      </c>
      <c r="C94" s="61">
        <v>6</v>
      </c>
      <c r="D94" s="61">
        <f>B94</f>
        <v>256.15384615384613</v>
      </c>
      <c r="E94" s="91"/>
      <c r="F94" s="91"/>
      <c r="G94" s="91"/>
      <c r="H94" s="91"/>
      <c r="I94" s="56">
        <f t="shared" si="3"/>
        <v>5.6923076923076907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/>
      <c r="B95" s="61"/>
      <c r="C95" s="61"/>
      <c r="D95" s="61"/>
      <c r="E95" s="91"/>
      <c r="F95" s="91"/>
      <c r="G95" s="91"/>
      <c r="H95" s="91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f>67+6</f>
        <v>73</v>
      </c>
      <c r="C114" s="61"/>
      <c r="D114" s="61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75+6+28</f>
        <v>109</v>
      </c>
      <c r="C115" s="61">
        <v>1</v>
      </c>
      <c r="D115" s="61">
        <f>6+28</f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93+28</f>
        <v>121</v>
      </c>
      <c r="C116" s="61"/>
      <c r="D116" s="61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119+28+28</f>
        <v>175</v>
      </c>
      <c r="C117" s="61">
        <v>2</v>
      </c>
      <c r="D117" s="61">
        <f>28+28</f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147+28</f>
        <v>175</v>
      </c>
      <c r="C118" s="61"/>
      <c r="D118" s="61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176+28+28</f>
        <v>232</v>
      </c>
      <c r="C119" s="61">
        <v>3</v>
      </c>
      <c r="D119" s="61">
        <f>28+28</f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203+28</f>
        <v>231</v>
      </c>
      <c r="C120" s="53"/>
      <c r="D120" s="61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226+28+28</f>
        <v>282</v>
      </c>
      <c r="C121" s="53">
        <v>4</v>
      </c>
      <c r="D121" s="61">
        <f>28+28</f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61">
        <f>245+28</f>
        <v>273</v>
      </c>
      <c r="C122" s="53"/>
      <c r="D122" s="61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61">
        <f>261+28+28</f>
        <v>317</v>
      </c>
      <c r="C123" s="53">
        <v>5</v>
      </c>
      <c r="D123" s="61">
        <f>D121</f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61">
        <f>274+28</f>
        <v>302</v>
      </c>
      <c r="C124" s="53"/>
      <c r="D124" s="61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61">
        <f>284+28+28</f>
        <v>340</v>
      </c>
      <c r="C125" s="53">
        <v>6</v>
      </c>
      <c r="D125" s="61">
        <f>28+28</f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61">
        <f>292+28</f>
        <v>320</v>
      </c>
      <c r="C126" s="53"/>
      <c r="D126" s="61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61">
        <f>302+28+28</f>
        <v>358</v>
      </c>
      <c r="C127" s="53">
        <v>7</v>
      </c>
      <c r="D127" s="61">
        <f>28+28</f>
        <v>56</v>
      </c>
      <c r="E127" s="54"/>
      <c r="F127" s="54"/>
      <c r="G127" s="54"/>
      <c r="H127" s="54"/>
      <c r="I127" s="56">
        <f t="shared" si="4"/>
        <v>3.8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361</v>
      </c>
      <c r="C128" s="53">
        <v>8</v>
      </c>
      <c r="D128" s="53">
        <v>55</v>
      </c>
      <c r="E128" s="54"/>
      <c r="F128" s="54"/>
      <c r="G128" s="54"/>
      <c r="H128" s="54"/>
      <c r="I128" s="56">
        <f t="shared" si="4"/>
        <v>5.9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360</v>
      </c>
      <c r="C129" s="53">
        <v>9</v>
      </c>
      <c r="D129" s="53">
        <v>53</v>
      </c>
      <c r="E129" s="54"/>
      <c r="F129" s="54"/>
      <c r="G129" s="54"/>
      <c r="H129" s="54"/>
      <c r="I129" s="56">
        <f t="shared" si="4"/>
        <v>5.4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352</v>
      </c>
      <c r="C130" s="53">
        <v>10</v>
      </c>
      <c r="D130" s="53">
        <v>47</v>
      </c>
      <c r="E130" s="54"/>
      <c r="F130" s="54"/>
      <c r="G130" s="54"/>
      <c r="H130" s="54"/>
      <c r="I130" s="56">
        <f t="shared" si="4"/>
        <v>4.5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347</v>
      </c>
      <c r="C131" s="53">
        <v>11</v>
      </c>
      <c r="D131" s="53">
        <v>44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343</v>
      </c>
      <c r="C132" s="53">
        <v>12</v>
      </c>
      <c r="D132" s="53">
        <v>43</v>
      </c>
      <c r="E132" s="54"/>
      <c r="F132" s="54"/>
      <c r="G132" s="54"/>
      <c r="H132" s="54"/>
      <c r="I132" s="56">
        <f t="shared" si="4"/>
        <v>4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335</v>
      </c>
      <c r="C133" s="53">
        <v>13</v>
      </c>
      <c r="D133" s="53">
        <v>335</v>
      </c>
      <c r="E133" s="54"/>
      <c r="F133" s="54"/>
      <c r="G133" s="54"/>
      <c r="H133" s="54"/>
      <c r="I133" s="56">
        <f t="shared" si="4"/>
        <v>3.5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Cormier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f>67+6</f>
        <v>73</v>
      </c>
      <c r="C140" s="61"/>
      <c r="D140" s="61"/>
      <c r="E140" s="54"/>
      <c r="F140" s="54"/>
      <c r="G140" s="54"/>
      <c r="H140" s="54"/>
      <c r="I140" s="59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75+6+28</f>
        <v>109</v>
      </c>
      <c r="C141" s="61">
        <v>1</v>
      </c>
      <c r="D141" s="61">
        <f>6+28</f>
        <v>34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93+28</f>
        <v>121</v>
      </c>
      <c r="C142" s="61"/>
      <c r="D142" s="61"/>
      <c r="E142" s="54"/>
      <c r="F142" s="54"/>
      <c r="G142" s="54"/>
      <c r="H142" s="54"/>
      <c r="I142" s="59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119+28+28</f>
        <v>175</v>
      </c>
      <c r="C143" s="61">
        <v>2</v>
      </c>
      <c r="D143" s="61">
        <f>28+28</f>
        <v>56</v>
      </c>
      <c r="E143" s="54"/>
      <c r="F143" s="54"/>
      <c r="G143" s="54"/>
      <c r="H143" s="54"/>
      <c r="I143" s="59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147+28</f>
        <v>175</v>
      </c>
      <c r="C144" s="61"/>
      <c r="D144" s="61"/>
      <c r="E144" s="54"/>
      <c r="F144" s="54"/>
      <c r="G144" s="54"/>
      <c r="H144" s="54"/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176+28+28</f>
        <v>232</v>
      </c>
      <c r="C145" s="61">
        <v>3</v>
      </c>
      <c r="D145" s="61">
        <f>28+28</f>
        <v>56</v>
      </c>
      <c r="E145" s="54"/>
      <c r="F145" s="54"/>
      <c r="G145" s="54"/>
      <c r="H145" s="54"/>
      <c r="I145" s="59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203+28</f>
        <v>231</v>
      </c>
      <c r="C146" s="53"/>
      <c r="D146" s="61"/>
      <c r="E146" s="54"/>
      <c r="F146" s="54"/>
      <c r="G146" s="54"/>
      <c r="H146" s="54"/>
      <c r="I146" s="59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226+28+28</f>
        <v>282</v>
      </c>
      <c r="C147" s="53">
        <v>4</v>
      </c>
      <c r="D147" s="61">
        <f>28+28</f>
        <v>56</v>
      </c>
      <c r="E147" s="54"/>
      <c r="F147" s="54"/>
      <c r="G147" s="54"/>
      <c r="H147" s="54"/>
      <c r="I147" s="59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1">
        <f>245+28</f>
        <v>273</v>
      </c>
      <c r="C148" s="53"/>
      <c r="D148" s="61"/>
      <c r="E148" s="54"/>
      <c r="F148" s="54"/>
      <c r="G148" s="54"/>
      <c r="H148" s="54"/>
      <c r="I148" s="59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1">
        <f>261+28+28</f>
        <v>317</v>
      </c>
      <c r="C149" s="53">
        <v>5</v>
      </c>
      <c r="D149" s="61">
        <f>D147</f>
        <v>56</v>
      </c>
      <c r="E149" s="54"/>
      <c r="F149" s="54"/>
      <c r="G149" s="54"/>
      <c r="H149" s="54"/>
      <c r="I149" s="59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1">
        <f>274+28</f>
        <v>302</v>
      </c>
      <c r="C150" s="53"/>
      <c r="D150" s="61"/>
      <c r="E150" s="54"/>
      <c r="F150" s="54"/>
      <c r="G150" s="54"/>
      <c r="H150" s="54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1">
        <f>284+28+28</f>
        <v>340</v>
      </c>
      <c r="C151" s="53">
        <v>6</v>
      </c>
      <c r="D151" s="61">
        <f>28+28</f>
        <v>56</v>
      </c>
      <c r="E151" s="54"/>
      <c r="F151" s="54"/>
      <c r="G151" s="54"/>
      <c r="H151" s="54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1">
        <f>292+28</f>
        <v>320</v>
      </c>
      <c r="C152" s="53"/>
      <c r="D152" s="61"/>
      <c r="E152" s="54"/>
      <c r="F152" s="54"/>
      <c r="G152" s="54"/>
      <c r="H152" s="54"/>
      <c r="I152" s="59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1">
        <f>302+28+28</f>
        <v>358</v>
      </c>
      <c r="C153" s="53">
        <v>7</v>
      </c>
      <c r="D153" s="61">
        <f>28+28</f>
        <v>56</v>
      </c>
      <c r="E153" s="54"/>
      <c r="F153" s="54"/>
      <c r="G153" s="54"/>
      <c r="H153" s="54"/>
      <c r="I153" s="59">
        <f t="shared" si="5"/>
        <v>3.8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361</v>
      </c>
      <c r="C154" s="53">
        <v>8</v>
      </c>
      <c r="D154" s="53">
        <v>55</v>
      </c>
      <c r="E154" s="54"/>
      <c r="F154" s="54"/>
      <c r="G154" s="54"/>
      <c r="H154" s="54"/>
      <c r="I154" s="59">
        <f t="shared" si="5"/>
        <v>5.9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360</v>
      </c>
      <c r="C155" s="53">
        <v>9</v>
      </c>
      <c r="D155" s="53">
        <v>53</v>
      </c>
      <c r="E155" s="54"/>
      <c r="F155" s="54"/>
      <c r="G155" s="54"/>
      <c r="H155" s="54"/>
      <c r="I155" s="59">
        <f t="shared" si="5"/>
        <v>5.4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352</v>
      </c>
      <c r="C156" s="53">
        <v>10</v>
      </c>
      <c r="D156" s="53">
        <v>47</v>
      </c>
      <c r="E156" s="54"/>
      <c r="F156" s="54"/>
      <c r="G156" s="54"/>
      <c r="H156" s="54"/>
      <c r="I156" s="59">
        <f t="shared" si="5"/>
        <v>4.5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347</v>
      </c>
      <c r="C157" s="53">
        <v>11</v>
      </c>
      <c r="D157" s="53">
        <v>44</v>
      </c>
      <c r="E157" s="54"/>
      <c r="F157" s="54"/>
      <c r="G157" s="54"/>
      <c r="H157" s="54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343</v>
      </c>
      <c r="C158" s="53">
        <v>12</v>
      </c>
      <c r="D158" s="53">
        <v>43</v>
      </c>
      <c r="E158" s="54"/>
      <c r="F158" s="54"/>
      <c r="G158" s="54"/>
      <c r="H158" s="54"/>
      <c r="I158" s="59">
        <f t="shared" si="5"/>
        <v>4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335</v>
      </c>
      <c r="C159" s="53">
        <v>13</v>
      </c>
      <c r="D159" s="53">
        <v>335</v>
      </c>
      <c r="E159" s="54"/>
      <c r="F159" s="54"/>
      <c r="G159" s="54"/>
      <c r="H159" s="54"/>
      <c r="I159" s="59">
        <f t="shared" si="5"/>
        <v>3.5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20" sqref="B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Cèdre de l'Atlas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Alisier torminal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Cormier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509.56241660612449</v>
      </c>
      <c r="T3" s="60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565.72091871734051</v>
      </c>
      <c r="AO3" s="60">
        <f>IF('Données projet'!E10&gt;30,$AM$33-$H$33,LOOKUP('Données projet'!$E$10,$A$3:$A$203,AM3:AM203)-LOOKUP('Données projet'!$E$10,$A$3:$A$203,$H$3:$H$203))</f>
        <v>306.61893266146666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246.64907095367749</v>
      </c>
      <c r="BJ3" s="60">
        <f>IF('Données projet'!E11&gt;30,$BH$33-$H$33,LOOKUP('Données projet'!$E$11,$A$3:$A$203,BH3:BH203)-LOOKUP('Données projet'!$E$11,$A$3:$A$203,$H$3:$H$203))</f>
        <v>145.34368562171613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541.66888676162716</v>
      </c>
      <c r="CE3" s="60">
        <f>IF('Données projet'!E12&gt;30,$CC$33-$H$33,LOOKUP('Données projet'!$E$12,$A$3:$A$203,CC3:CC203)-LOOKUP('Données projet'!$E$12,$A$3:$A$203,$H$3:$H$203))</f>
        <v>294.45557293177131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597.75551942969628</v>
      </c>
      <c r="CZ3" s="60">
        <f>IF('Données projet'!E13&gt;30,$CX$33-$H$33,LOOKUP('Données projet'!$E$13,$A$3:$A$203,CX3:CX203)-LOOKUP('Données projet'!$E$13,$A$3:$A$203,$H$3:$H$203))</f>
        <v>322.81767004794284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260.72987866106189</v>
      </c>
      <c r="S4" s="60">
        <f ca="1">AVERAGE(OFFSET($R$3,0,0,'Données projet'!$E$9+1,1))-AVERAGE(OFFSET($H$3,0,0,'Données projet'!$E$9+1,1))</f>
        <v>509.56241660612449</v>
      </c>
      <c r="T4" s="60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0">
        <f t="shared" ref="AM4:AM67" si="5">AL4+(AD4+AE4)*44/12</f>
        <v>261.05964372354305</v>
      </c>
      <c r="AN4" s="60">
        <f ca="1">AVERAGE(OFFSET($AM$3,0,0,'Données projet'!$E$10+1,1))-AVERAGE(OFFSET($H$3,0,0,'Données projet'!$E$10+1,1))</f>
        <v>565.72091871734051</v>
      </c>
      <c r="AO4" s="60">
        <f>$AO$3</f>
        <v>306.61893266146666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3.4358974358974361</v>
      </c>
      <c r="BD4" s="13">
        <f>IF('Données projet'!$A$88&gt;35,BD3+BC4-BL3,IF(A4&lt;'Données projet'!$A$88,$BA$205^A4,IF(A4='Données projet'!$A$88,'Données projet'!$B$88,BD3+BC4-BL3)))</f>
        <v>1.167092777711815</v>
      </c>
      <c r="BE4" s="14">
        <f>BD4*VLOOKUP('Données projet'!$B$11,Paramètres!$A$1:$I$89,3,0)*VLOOKUP('Données projet'!$B$11,Paramètres!$A$1:$I$89,5,0)</f>
        <v>0.54619941996912946</v>
      </c>
      <c r="BF4" s="14">
        <f>EXP(-1.0587+0.8836*LN(BE4)+0.284)</f>
        <v>0.27006954687577245</v>
      </c>
      <c r="BG4" s="22">
        <f t="shared" ref="BG4:BG67" si="7">(BE4+BF4)*0.475*44/12</f>
        <v>1.4216684505882042</v>
      </c>
      <c r="BH4" s="60">
        <f t="shared" ref="BH4:BH67" si="8">BG4+(AY4+AZ4)*44/12</f>
        <v>259.31055733947704</v>
      </c>
      <c r="BI4" s="60">
        <f ca="1">AVERAGE(OFFSET($BH$3,0,0,'Données projet'!$E$11+1,1))-AVERAGE(OFFSET($H$3,0,0,'Données projet'!$E$11+1,1))</f>
        <v>246.64907095367749</v>
      </c>
      <c r="BJ4" s="60">
        <f>$BJ$3</f>
        <v>145.34368562171613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0">
        <f t="shared" ref="CC4:CC67" si="11">CB4+(BT4+BU4)*44/12</f>
        <v>260.91846807295349</v>
      </c>
      <c r="CD4" s="60">
        <f ca="1">AVERAGE(OFFSET($CC$3,0,0,'Données projet'!$E$12+1,1))-AVERAGE(OFFSET($H$3,0,0,'Données projet'!$E$12+1,1))</f>
        <v>541.66888676162716</v>
      </c>
      <c r="CE4" s="60">
        <f>$CE$3</f>
        <v>294.45557293177131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1.3339508622607719</v>
      </c>
      <c r="CV4" s="14">
        <f>EXP(-1.0587+0.8836*LN(CU4)+0.284)</f>
        <v>0.59446408362489378</v>
      </c>
      <c r="CW4" s="22">
        <f t="shared" ref="CW4:CW67" si="13">(CU4+CV4)*0.475*44/12</f>
        <v>3.3586560307508679</v>
      </c>
      <c r="CX4" s="60">
        <f t="shared" ref="CX4:CX67" si="14">CW4+(CO4+CP4)*44/12</f>
        <v>261.24754491963972</v>
      </c>
      <c r="CY4" s="60">
        <f ca="1">AVERAGE(OFFSET($CX$3,0,0,'Données projet'!$E$13+1,1))-AVERAGE(OFFSET($H$3,0,0,'Données projet'!$E$13+1,1))</f>
        <v>597.75551942969628</v>
      </c>
      <c r="CZ4" s="60">
        <f>$CZ$3</f>
        <v>322.81767004794284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262.60472488787678</v>
      </c>
      <c r="S5" s="60">
        <f ca="1">AVERAGE(OFFSET($R$3,0,0,'Données projet'!$E$9+1,1))-AVERAGE(OFFSET($H$3,0,0,'Données projet'!$E$9+1,1))</f>
        <v>509.56241660612449</v>
      </c>
      <c r="T5" s="60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0">
        <f t="shared" si="5"/>
        <v>263.01051811804473</v>
      </c>
      <c r="AN5" s="60">
        <f ca="1">AVERAGE(OFFSET($AM$3,0,0,'Données projet'!$E$10+1,1))-AVERAGE(OFFSET($H$3,0,0,'Données projet'!$E$10+1,1))</f>
        <v>565.72091871734051</v>
      </c>
      <c r="AO5" s="60">
        <f t="shared" ref="AO5:AO68" si="36">$AO$3</f>
        <v>306.61893266146666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3.4358974358974361</v>
      </c>
      <c r="BD5" s="13">
        <f>IF('Données projet'!$A$88&gt;35,BD4+BC5-BL4,IF(A5&lt;'Données projet'!$A$88,$BA$205^A5,IF(A5='Données projet'!$A$88,'Données projet'!$B$88,BD4+BC5-BL4)))</f>
        <v>1.3621055517870799</v>
      </c>
      <c r="BE5" s="14">
        <f>BD5*VLOOKUP('Données projet'!$B$11,Paramètres!$A$1:$I$89,3,0)*VLOOKUP('Données projet'!$B$11,Paramètres!$A$1:$I$89,5,0)</f>
        <v>0.6374653982363534</v>
      </c>
      <c r="BF5" s="14">
        <f t="shared" ref="BF5:BF68" si="37">EXP(-1.0587+0.8836*LN(BE5)+0.284)</f>
        <v>0.30957788644599227</v>
      </c>
      <c r="BG5" s="22">
        <f t="shared" si="7"/>
        <v>1.6494337208217518</v>
      </c>
      <c r="BH5" s="60">
        <f t="shared" si="8"/>
        <v>260.76054483193292</v>
      </c>
      <c r="BI5" s="60">
        <f ca="1">AVERAGE(OFFSET($BH$3,0,0,'Données projet'!$E$11+1,1))-AVERAGE(OFFSET($H$3,0,0,'Données projet'!$E$11+1,1))</f>
        <v>246.64907095367749</v>
      </c>
      <c r="BJ5" s="60">
        <f t="shared" ref="BJ5:BJ68" si="38">$BJ$3</f>
        <v>145.34368562171613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0">
        <f t="shared" si="11"/>
        <v>262.83679073941994</v>
      </c>
      <c r="CD5" s="60">
        <f ca="1">AVERAGE(OFFSET($CC$3,0,0,'Données projet'!$E$12+1,1))-AVERAGE(OFFSET($H$3,0,0,'Données projet'!$E$12+1,1))</f>
        <v>541.66888676162716</v>
      </c>
      <c r="CE5" s="60">
        <f t="shared" ref="CE5:CE68" si="40">$CE$3</f>
        <v>294.45557293177131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1.6531260710946272</v>
      </c>
      <c r="CV5" s="14">
        <f t="shared" ref="CV5:CV68" si="41">EXP(-1.0587+0.8836*LN(CU5)+0.284)</f>
        <v>0.7185338367382873</v>
      </c>
      <c r="CW5" s="22">
        <f t="shared" si="13"/>
        <v>4.1306410061423255</v>
      </c>
      <c r="CX5" s="60">
        <f t="shared" si="14"/>
        <v>263.24175211725344</v>
      </c>
      <c r="CY5" s="60">
        <f ca="1">AVERAGE(OFFSET($CX$3,0,0,'Données projet'!$E$13+1,1))-AVERAGE(OFFSET($H$3,0,0,'Données projet'!$E$13+1,1))</f>
        <v>597.75551942969628</v>
      </c>
      <c r="CZ5" s="60">
        <f t="shared" ref="CZ5:CZ68" si="42">$CZ$3</f>
        <v>322.81767004794284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264.63006022433916</v>
      </c>
      <c r="S6" s="60">
        <f ca="1">AVERAGE(OFFSET($R$3,0,0,'Données projet'!$E$9+1,1))-AVERAGE(OFFSET($H$3,0,0,'Données projet'!$E$9+1,1))</f>
        <v>509.56241660612449</v>
      </c>
      <c r="T6" s="60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0">
        <f t="shared" si="5"/>
        <v>265.12947290764731</v>
      </c>
      <c r="AN6" s="60">
        <f ca="1">AVERAGE(OFFSET($AM$3,0,0,'Données projet'!$E$10+1,1))-AVERAGE(OFFSET($H$3,0,0,'Données projet'!$E$10+1,1))</f>
        <v>565.72091871734051</v>
      </c>
      <c r="AO6" s="60">
        <f t="shared" si="36"/>
        <v>306.61893266146666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3.4358974358974361</v>
      </c>
      <c r="BD6" s="13">
        <f>IF('Données projet'!$A$88&gt;35,BD5+BC6-BL5,IF(A6&lt;'Données projet'!$A$88,$BA$205^A6,IF(A6='Données projet'!$A$88,'Données projet'!$B$88,BD5+BC6-BL5)))</f>
        <v>1.5897035519718676</v>
      </c>
      <c r="BE6" s="14">
        <f>BD6*VLOOKUP('Données projet'!$B$11,Paramètres!$A$1:$I$89,3,0)*VLOOKUP('Données projet'!$B$11,Paramètres!$A$1:$I$89,5,0)</f>
        <v>0.74398126232283412</v>
      </c>
      <c r="BF6" s="14">
        <f t="shared" si="37"/>
        <v>0.35486588134445163</v>
      </c>
      <c r="BG6" s="22">
        <f t="shared" si="7"/>
        <v>1.9138254418871894</v>
      </c>
      <c r="BH6" s="60">
        <f t="shared" si="8"/>
        <v>262.2471587752205</v>
      </c>
      <c r="BI6" s="60">
        <f ca="1">AVERAGE(OFFSET($BH$3,0,0,'Données projet'!$E$11+1,1))-AVERAGE(OFFSET($H$3,0,0,'Données projet'!$E$11+1,1))</f>
        <v>246.64907095367749</v>
      </c>
      <c r="BJ6" s="60">
        <f t="shared" si="38"/>
        <v>145.34368562171613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0">
        <f t="shared" si="11"/>
        <v>264.91566130982284</v>
      </c>
      <c r="CD6" s="60">
        <f ca="1">AVERAGE(OFFSET($CC$3,0,0,'Données projet'!$E$12+1,1))-AVERAGE(OFFSET($H$3,0,0,'Données projet'!$E$12+1,1))</f>
        <v>541.66888676162716</v>
      </c>
      <c r="CE6" s="60">
        <f t="shared" si="40"/>
        <v>294.45557293177131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2.0486705202177999</v>
      </c>
      <c r="CV6" s="14">
        <f t="shared" si="41"/>
        <v>0.86849801150244532</v>
      </c>
      <c r="CW6" s="22">
        <f t="shared" si="13"/>
        <v>5.0807351927460944</v>
      </c>
      <c r="CX6" s="60">
        <f t="shared" si="14"/>
        <v>265.4140685260794</v>
      </c>
      <c r="CY6" s="60">
        <f ca="1">AVERAGE(OFFSET($CX$3,0,0,'Données projet'!$E$13+1,1))-AVERAGE(OFFSET($H$3,0,0,'Données projet'!$E$13+1,1))</f>
        <v>597.75551942969628</v>
      </c>
      <c r="CZ6" s="60">
        <f t="shared" si="42"/>
        <v>322.81767004794284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266.84071003350698</v>
      </c>
      <c r="S7" s="60">
        <f ca="1">AVERAGE(OFFSET($R$3,0,0,'Données projet'!$E$9+1,1))-AVERAGE(OFFSET($H$3,0,0,'Données projet'!$E$9+1,1))</f>
        <v>509.56241660612449</v>
      </c>
      <c r="T7" s="60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0">
        <f t="shared" si="5"/>
        <v>267.45541730352721</v>
      </c>
      <c r="AN7" s="60">
        <f ca="1">AVERAGE(OFFSET($AM$3,0,0,'Données projet'!$E$10+1,1))-AVERAGE(OFFSET($H$3,0,0,'Données projet'!$E$10+1,1))</f>
        <v>565.72091871734051</v>
      </c>
      <c r="AO7" s="60">
        <f t="shared" si="36"/>
        <v>306.61893266146666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3.4358974358974361</v>
      </c>
      <c r="BD7" s="13">
        <f>IF('Données projet'!$A$88&gt;35,BD6+BC7-BL6,IF(A7&lt;'Données projet'!$A$88,$BA$205^A7,IF(A7='Données projet'!$A$88,'Données projet'!$B$88,BD6+BC7-BL6)))</f>
        <v>1.8553315342091854</v>
      </c>
      <c r="BE7" s="14">
        <f>BD7*VLOOKUP('Données projet'!$B$11,Paramètres!$A$1:$I$89,3,0)*VLOOKUP('Données projet'!$B$11,Paramètres!$A$1:$I$89,5,0)</f>
        <v>0.86829515800989876</v>
      </c>
      <c r="BF7" s="14">
        <f t="shared" si="37"/>
        <v>0.4067790344719715</v>
      </c>
      <c r="BG7" s="22">
        <f t="shared" si="7"/>
        <v>2.2207542185725906</v>
      </c>
      <c r="BH7" s="60">
        <f t="shared" si="8"/>
        <v>263.77630977412815</v>
      </c>
      <c r="BI7" s="60">
        <f ca="1">AVERAGE(OFFSET($BH$3,0,0,'Données projet'!$E$11+1,1))-AVERAGE(OFFSET($H$3,0,0,'Données projet'!$E$11+1,1))</f>
        <v>246.64907095367749</v>
      </c>
      <c r="BJ7" s="60">
        <f t="shared" si="38"/>
        <v>145.34368562171613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0">
        <f t="shared" si="11"/>
        <v>267.19224015869912</v>
      </c>
      <c r="CD7" s="60">
        <f ca="1">AVERAGE(OFFSET($CC$3,0,0,'Données projet'!$E$12+1,1))-AVERAGE(OFFSET($H$3,0,0,'Données projet'!$E$12+1,1))</f>
        <v>541.66888676162716</v>
      </c>
      <c r="CE7" s="60">
        <f t="shared" si="40"/>
        <v>294.45557293177131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2.5388571227543277</v>
      </c>
      <c r="CV7" s="14">
        <f t="shared" si="41"/>
        <v>1.0497609958185417</v>
      </c>
      <c r="CW7" s="22">
        <f t="shared" si="13"/>
        <v>6.2501765565144138</v>
      </c>
      <c r="CX7" s="60">
        <f t="shared" si="14"/>
        <v>267.80573211206996</v>
      </c>
      <c r="CY7" s="60">
        <f ca="1">AVERAGE(OFFSET($CX$3,0,0,'Données projet'!$E$13+1,1))-AVERAGE(OFFSET($H$3,0,0,'Données projet'!$E$13+1,1))</f>
        <v>597.75551942969628</v>
      </c>
      <c r="CZ7" s="60">
        <f t="shared" si="42"/>
        <v>322.81767004794284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269.27958561684324</v>
      </c>
      <c r="S8" s="60">
        <f ca="1">AVERAGE(OFFSET($R$3,0,0,'Données projet'!$E$9+1,1))-AVERAGE(OFFSET($H$3,0,0,'Données projet'!$E$9+1,1))</f>
        <v>509.56241660612449</v>
      </c>
      <c r="T8" s="60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0">
        <f t="shared" si="5"/>
        <v>270.03629746362031</v>
      </c>
      <c r="AN8" s="60">
        <f ca="1">AVERAGE(OFFSET($AM$3,0,0,'Données projet'!$E$10+1,1))-AVERAGE(OFFSET($H$3,0,0,'Données projet'!$E$10+1,1))</f>
        <v>565.72091871734051</v>
      </c>
      <c r="AO8" s="60">
        <f t="shared" si="36"/>
        <v>306.61893266146666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3.4358974358974361</v>
      </c>
      <c r="BD8" s="13">
        <f>IF('Données projet'!$A$88&gt;35,BD7+BC8-BL7,IF(A8&lt;'Données projet'!$A$88,$BA$205^A8,IF(A8='Données projet'!$A$88,'Données projet'!$B$88,BD7+BC8-BL7)))</f>
        <v>2.1653440338365213</v>
      </c>
      <c r="BE8" s="14">
        <f>BD8*VLOOKUP('Données projet'!$B$11,Paramètres!$A$1:$I$89,3,0)*VLOOKUP('Données projet'!$B$11,Paramètres!$A$1:$I$89,5,0)</f>
        <v>1.0133810078354919</v>
      </c>
      <c r="BF8" s="14">
        <f t="shared" si="37"/>
        <v>0.46628653692783789</v>
      </c>
      <c r="BG8" s="22">
        <f t="shared" si="7"/>
        <v>2.5770876404627994</v>
      </c>
      <c r="BH8" s="60">
        <f t="shared" si="8"/>
        <v>265.35486541824059</v>
      </c>
      <c r="BI8" s="60">
        <f ca="1">AVERAGE(OFFSET($BH$3,0,0,'Données projet'!$E$11+1,1))-AVERAGE(OFFSET($H$3,0,0,'Données projet'!$E$11+1,1))</f>
        <v>246.64907095367749</v>
      </c>
      <c r="BJ8" s="60">
        <f t="shared" si="38"/>
        <v>145.34368562171613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0">
        <f t="shared" si="11"/>
        <v>269.71231732118514</v>
      </c>
      <c r="CD8" s="60">
        <f ca="1">AVERAGE(OFFSET($CC$3,0,0,'Données projet'!$E$12+1,1))-AVERAGE(OFFSET($H$3,0,0,'Données projet'!$E$12+1,1))</f>
        <v>541.66888676162716</v>
      </c>
      <c r="CE8" s="60">
        <f t="shared" si="40"/>
        <v>294.45557293177131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3.1463309625186153</v>
      </c>
      <c r="CV8" s="14">
        <f t="shared" si="41"/>
        <v>1.2688551196974542</v>
      </c>
      <c r="CW8" s="22">
        <f t="shared" si="13"/>
        <v>7.6897824265263219</v>
      </c>
      <c r="CX8" s="60">
        <f t="shared" si="14"/>
        <v>270.46756020430411</v>
      </c>
      <c r="CY8" s="60">
        <f ca="1">AVERAGE(OFFSET($CX$3,0,0,'Données projet'!$E$13+1,1))-AVERAGE(OFFSET($H$3,0,0,'Données projet'!$E$13+1,1))</f>
        <v>597.75551942969628</v>
      </c>
      <c r="CZ8" s="60">
        <f t="shared" si="42"/>
        <v>322.81767004794284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271.99956744330279</v>
      </c>
      <c r="S9" s="60">
        <f ca="1">AVERAGE(OFFSET($R$3,0,0,'Données projet'!$E$9+1,1))-AVERAGE(OFFSET($H$3,0,0,'Données projet'!$E$9+1,1))</f>
        <v>509.56241660612449</v>
      </c>
      <c r="T9" s="60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0">
        <f t="shared" si="5"/>
        <v>272.93120181514973</v>
      </c>
      <c r="AN9" s="60">
        <f ca="1">AVERAGE(OFFSET($AM$3,0,0,'Données projet'!$E$10+1,1))-AVERAGE(OFFSET($H$3,0,0,'Données projet'!$E$10+1,1))</f>
        <v>565.72091871734051</v>
      </c>
      <c r="AO9" s="60">
        <f t="shared" si="36"/>
        <v>306.61893266146666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3.4358974358974361</v>
      </c>
      <c r="BD9" s="13">
        <f>IF('Données projet'!$A$88&gt;35,BD8+BC9-BL8,IF(A9&lt;'Données projet'!$A$88,$BA$205^A9,IF(A9='Données projet'!$A$88,'Données projet'!$B$88,BD8+BC9-BL8)))</f>
        <v>2.5271573831519722</v>
      </c>
      <c r="BE9" s="14">
        <f>BD9*VLOOKUP('Données projet'!$B$11,Paramètres!$A$1:$I$89,3,0)*VLOOKUP('Données projet'!$B$11,Paramètres!$A$1:$I$89,5,0)</f>
        <v>1.1827096553151231</v>
      </c>
      <c r="BF9" s="14">
        <f t="shared" si="37"/>
        <v>0.53449936229478223</v>
      </c>
      <c r="BG9" s="22">
        <f t="shared" si="7"/>
        <v>2.990805705670585</v>
      </c>
      <c r="BH9" s="60">
        <f t="shared" si="8"/>
        <v>266.9908057056706</v>
      </c>
      <c r="BI9" s="60">
        <f ca="1">AVERAGE(OFFSET($BH$3,0,0,'Données projet'!$E$11+1,1))-AVERAGE(OFFSET($H$3,0,0,'Données projet'!$E$11+1,1))</f>
        <v>246.64907095367749</v>
      </c>
      <c r="BJ9" s="60">
        <f t="shared" si="38"/>
        <v>145.34368562171613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0">
        <f t="shared" si="11"/>
        <v>272.53232269292647</v>
      </c>
      <c r="CD9" s="60">
        <f ca="1">AVERAGE(OFFSET($CC$3,0,0,'Données projet'!$E$12+1,1))-AVERAGE(OFFSET($H$3,0,0,'Données projet'!$E$12+1,1))</f>
        <v>541.66888676162716</v>
      </c>
      <c r="CE9" s="60">
        <f t="shared" si="40"/>
        <v>294.45557293177131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3.8991554258727907</v>
      </c>
      <c r="CV9" s="14">
        <f t="shared" si="41"/>
        <v>1.5336760664526912</v>
      </c>
      <c r="CW9" s="22">
        <f t="shared" si="13"/>
        <v>9.4621815158002143</v>
      </c>
      <c r="CX9" s="60">
        <f t="shared" si="14"/>
        <v>273.46218151580024</v>
      </c>
      <c r="CY9" s="60">
        <f ca="1">AVERAGE(OFFSET($CX$3,0,0,'Données projet'!$E$13+1,1))-AVERAGE(OFFSET($H$3,0,0,'Données projet'!$E$13+1,1))</f>
        <v>597.75551942969628</v>
      </c>
      <c r="CZ9" s="60">
        <f t="shared" si="42"/>
        <v>322.81767004794284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275.06582823164507</v>
      </c>
      <c r="S10" s="60">
        <f ca="1">AVERAGE(OFFSET($R$3,0,0,'Données projet'!$E$9+1,1))-AVERAGE(OFFSET($H$3,0,0,'Données projet'!$E$9+1,1))</f>
        <v>509.56241660612449</v>
      </c>
      <c r="T10" s="60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0">
        <f t="shared" si="5"/>
        <v>276.21295823232487</v>
      </c>
      <c r="AN10" s="60">
        <f ca="1">AVERAGE(OFFSET($AM$3,0,0,'Données projet'!$E$10+1,1))-AVERAGE(OFFSET($H$3,0,0,'Données projet'!$E$10+1,1))</f>
        <v>565.72091871734051</v>
      </c>
      <c r="AO10" s="60">
        <f t="shared" si="36"/>
        <v>306.61893266146666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3.4358974358974361</v>
      </c>
      <c r="BD10" s="13">
        <f>IF('Données projet'!$A$88&gt;35,BD9+BC10-BL9,IF(A10&lt;'Données projet'!$A$88,$BA$205^A10,IF(A10='Données projet'!$A$88,'Données projet'!$B$88,BD9+BC10-BL9)))</f>
        <v>2.9494271300177566</v>
      </c>
      <c r="BE10" s="14">
        <f>BD10*VLOOKUP('Données projet'!$B$11,Paramètres!$A$1:$I$89,3,0)*VLOOKUP('Données projet'!$B$11,Paramètres!$A$1:$I$89,5,0)</f>
        <v>1.38033189684831</v>
      </c>
      <c r="BF10" s="14">
        <f t="shared" si="37"/>
        <v>0.6126910079279041</v>
      </c>
      <c r="BG10" s="22">
        <f t="shared" si="7"/>
        <v>3.4711815591519066</v>
      </c>
      <c r="BH10" s="60">
        <f t="shared" si="8"/>
        <v>268.69340378137412</v>
      </c>
      <c r="BI10" s="60">
        <f ca="1">AVERAGE(OFFSET($BH$3,0,0,'Données projet'!$E$11+1,1))-AVERAGE(OFFSET($H$3,0,0,'Données projet'!$E$11+1,1))</f>
        <v>246.64907095367749</v>
      </c>
      <c r="BJ10" s="60">
        <f t="shared" si="38"/>
        <v>145.34368562171613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0">
        <f t="shared" si="11"/>
        <v>275.72180581119301</v>
      </c>
      <c r="CD10" s="60">
        <f ca="1">AVERAGE(OFFSET($CC$3,0,0,'Données projet'!$E$12+1,1))-AVERAGE(OFFSET($H$3,0,0,'Données projet'!$E$12+1,1))</f>
        <v>541.66888676162716</v>
      </c>
      <c r="CE10" s="60">
        <f t="shared" si="40"/>
        <v>294.45557293177131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4.8321086421699899</v>
      </c>
      <c r="CV10" s="14">
        <f t="shared" si="41"/>
        <v>1.8537674162284574</v>
      </c>
      <c r="CW10" s="22">
        <f t="shared" si="13"/>
        <v>11.644567468377296</v>
      </c>
      <c r="CX10" s="60">
        <f t="shared" si="14"/>
        <v>276.86678969059955</v>
      </c>
      <c r="CY10" s="60">
        <f ca="1">AVERAGE(OFFSET($CX$3,0,0,'Données projet'!$E$13+1,1))-AVERAGE(OFFSET($H$3,0,0,'Données projet'!$E$13+1,1))</f>
        <v>597.75551942969628</v>
      </c>
      <c r="CZ10" s="60">
        <f t="shared" si="42"/>
        <v>322.81767004794284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278.55869888669031</v>
      </c>
      <c r="S11" s="60">
        <f ca="1">AVERAGE(OFFSET($R$3,0,0,'Données projet'!$E$9+1,1))-AVERAGE(OFFSET($H$3,0,0,'Données projet'!$E$9+1,1))</f>
        <v>509.56241660612449</v>
      </c>
      <c r="T11" s="60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0">
        <f t="shared" si="5"/>
        <v>279.97133827485578</v>
      </c>
      <c r="AN11" s="60">
        <f ca="1">AVERAGE(OFFSET($AM$3,0,0,'Données projet'!$E$10+1,1))-AVERAGE(OFFSET($H$3,0,0,'Données projet'!$E$10+1,1))</f>
        <v>565.72091871734051</v>
      </c>
      <c r="AO11" s="60">
        <f t="shared" si="36"/>
        <v>306.61893266146666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3.4358974358974361</v>
      </c>
      <c r="BD11" s="13">
        <f>IF('Données projet'!$A$88&gt;35,BD10+BC11-BL10,IF(A11&lt;'Données projet'!$A$88,$BA$205^A11,IF(A11='Données projet'!$A$88,'Données projet'!$B$88,BD10+BC11-BL10)))</f>
        <v>3.4422551018310097</v>
      </c>
      <c r="BE11" s="14">
        <f>BD11*VLOOKUP('Données projet'!$B$11,Paramètres!$A$1:$I$89,3,0)*VLOOKUP('Données projet'!$B$11,Paramètres!$A$1:$I$89,5,0)</f>
        <v>1.6109753876569124</v>
      </c>
      <c r="BF11" s="14">
        <f t="shared" si="37"/>
        <v>0.70232127047642601</v>
      </c>
      <c r="BG11" s="22">
        <f t="shared" si="7"/>
        <v>4.0289916795822309</v>
      </c>
      <c r="BH11" s="60">
        <f t="shared" si="8"/>
        <v>270.4734361240267</v>
      </c>
      <c r="BI11" s="60">
        <f ca="1">AVERAGE(OFFSET($BH$3,0,0,'Données projet'!$E$11+1,1))-AVERAGE(OFFSET($H$3,0,0,'Données projet'!$E$11+1,1))</f>
        <v>246.64907095367749</v>
      </c>
      <c r="BJ11" s="60">
        <f t="shared" si="38"/>
        <v>145.34368562171613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0">
        <f t="shared" si="11"/>
        <v>279.36649519478675</v>
      </c>
      <c r="CD11" s="60">
        <f ca="1">AVERAGE(OFFSET($CC$3,0,0,'Données projet'!$E$12+1,1))-AVERAGE(OFFSET($H$3,0,0,'Données projet'!$E$12+1,1))</f>
        <v>541.66888676162716</v>
      </c>
      <c r="CE11" s="60">
        <f t="shared" si="40"/>
        <v>294.45557293177131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5.9882901242664301</v>
      </c>
      <c r="CV11" s="14">
        <f t="shared" si="41"/>
        <v>2.2406645762026263</v>
      </c>
      <c r="CW11" s="22">
        <f t="shared" si="13"/>
        <v>14.332096103316941</v>
      </c>
      <c r="CX11" s="60">
        <f t="shared" si="14"/>
        <v>280.77654054776139</v>
      </c>
      <c r="CY11" s="60">
        <f ca="1">AVERAGE(OFFSET($CX$3,0,0,'Données projet'!$E$13+1,1))-AVERAGE(OFFSET($H$3,0,0,'Données projet'!$E$13+1,1))</f>
        <v>597.75551942969628</v>
      </c>
      <c r="CZ11" s="60">
        <f t="shared" si="42"/>
        <v>322.81767004794284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282.5772044671009</v>
      </c>
      <c r="S12" s="60">
        <f ca="1">AVERAGE(OFFSET($R$3,0,0,'Données projet'!$E$9+1,1))-AVERAGE(OFFSET($H$3,0,0,'Données projet'!$E$9+1,1))</f>
        <v>509.56241660612449</v>
      </c>
      <c r="T12" s="60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0">
        <f t="shared" si="5"/>
        <v>284.31701074047817</v>
      </c>
      <c r="AN12" s="60">
        <f ca="1">AVERAGE(OFFSET($AM$3,0,0,'Données projet'!$E$10+1,1))-AVERAGE(OFFSET($H$3,0,0,'Données projet'!$E$10+1,1))</f>
        <v>565.72091871734051</v>
      </c>
      <c r="AO12" s="60">
        <f t="shared" si="36"/>
        <v>306.61893266146666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3.4358974358974361</v>
      </c>
      <c r="BD12" s="13">
        <f>IF('Données projet'!$A$88&gt;35,BD11+BC12-BL11,IF(A12&lt;'Données projet'!$A$88,$BA$205^A12,IF(A12='Données projet'!$A$88,'Données projet'!$B$88,BD11+BC12-BL11)))</f>
        <v>4.0174310683886194</v>
      </c>
      <c r="BE12" s="14">
        <f>BD12*VLOOKUP('Données projet'!$B$11,Paramètres!$A$1:$I$89,3,0)*VLOOKUP('Données projet'!$B$11,Paramètres!$A$1:$I$89,5,0)</f>
        <v>1.8801577400058738</v>
      </c>
      <c r="BF12" s="14">
        <f t="shared" si="37"/>
        <v>0.80506349951468992</v>
      </c>
      <c r="BG12" s="22">
        <f t="shared" si="7"/>
        <v>4.6767603254983152</v>
      </c>
      <c r="BH12" s="60">
        <f t="shared" si="8"/>
        <v>272.34342699216501</v>
      </c>
      <c r="BI12" s="60">
        <f ca="1">AVERAGE(OFFSET($BH$3,0,0,'Données projet'!$E$11+1,1))-AVERAGE(OFFSET($H$3,0,0,'Données projet'!$E$11+1,1))</f>
        <v>246.64907095367749</v>
      </c>
      <c r="BJ12" s="60">
        <f t="shared" si="38"/>
        <v>145.34368562171613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0">
        <f t="shared" si="11"/>
        <v>283.57207303813396</v>
      </c>
      <c r="CD12" s="60">
        <f ca="1">AVERAGE(OFFSET($CC$3,0,0,'Données projet'!$E$12+1,1))-AVERAGE(OFFSET($H$3,0,0,'Données projet'!$E$12+1,1))</f>
        <v>541.66888676162716</v>
      </c>
      <c r="CE12" s="60">
        <f t="shared" si="40"/>
        <v>294.45557293177131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7.4211118308555069</v>
      </c>
      <c r="CV12" s="14">
        <f t="shared" si="41"/>
        <v>2.7083104919730441</v>
      </c>
      <c r="CW12" s="22">
        <f t="shared" si="13"/>
        <v>17.642077212259725</v>
      </c>
      <c r="CX12" s="60">
        <f t="shared" si="14"/>
        <v>285.30874387892641</v>
      </c>
      <c r="CY12" s="60">
        <f ca="1">AVERAGE(OFFSET($CX$3,0,0,'Données projet'!$E$13+1,1))-AVERAGE(OFFSET($H$3,0,0,'Données projet'!$E$13+1,1))</f>
        <v>597.75551942969628</v>
      </c>
      <c r="CZ12" s="60">
        <f t="shared" si="42"/>
        <v>322.81767004794284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287.2434272262301</v>
      </c>
      <c r="S13" s="60">
        <f ca="1">AVERAGE(OFFSET($R$3,0,0,'Données projet'!$E$9+1,1))-AVERAGE(OFFSET($H$3,0,0,'Données projet'!$E$9+1,1))</f>
        <v>509.56241660612449</v>
      </c>
      <c r="T13" s="60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0">
        <f t="shared" si="5"/>
        <v>289.38642019585347</v>
      </c>
      <c r="AN13" s="60">
        <f ca="1">AVERAGE(OFFSET($AM$3,0,0,'Données projet'!$E$10+1,1))-AVERAGE(OFFSET($H$3,0,0,'Données projet'!$E$10+1,1))</f>
        <v>565.72091871734051</v>
      </c>
      <c r="AO13" s="60">
        <f t="shared" si="36"/>
        <v>306.61893266146666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3.4358974358974361</v>
      </c>
      <c r="BD13" s="13">
        <f>IF('Données projet'!$A$88&gt;35,BD12+BC13-BL12,IF(A13&lt;'Données projet'!$A$88,$BA$205^A13,IF(A13='Données projet'!$A$88,'Données projet'!$B$88,BD12+BC13-BL12)))</f>
        <v>4.6887147848714186</v>
      </c>
      <c r="BE13" s="14">
        <f>BD13*VLOOKUP('Données projet'!$B$11,Paramètres!$A$1:$I$89,3,0)*VLOOKUP('Données projet'!$B$11,Paramètres!$A$1:$I$89,5,0)</f>
        <v>2.194318519319824</v>
      </c>
      <c r="BF13" s="14">
        <f t="shared" si="37"/>
        <v>0.9228358380932653</v>
      </c>
      <c r="BG13" s="22">
        <f t="shared" si="7"/>
        <v>5.4290438391611309</v>
      </c>
      <c r="BH13" s="60">
        <f t="shared" si="8"/>
        <v>274.31793272804998</v>
      </c>
      <c r="BI13" s="60">
        <f ca="1">AVERAGE(OFFSET($BH$3,0,0,'Données projet'!$E$11+1,1))-AVERAGE(OFFSET($H$3,0,0,'Données projet'!$E$11+1,1))</f>
        <v>246.64907095367749</v>
      </c>
      <c r="BJ13" s="60">
        <f t="shared" si="38"/>
        <v>145.34368562171613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0">
        <f t="shared" si="11"/>
        <v>288.46883294655356</v>
      </c>
      <c r="CD13" s="60">
        <f ca="1">AVERAGE(OFFSET($CC$3,0,0,'Données projet'!$E$12+1,1))-AVERAGE(OFFSET($H$3,0,0,'Données projet'!$E$12+1,1))</f>
        <v>541.66888676162716</v>
      </c>
      <c r="CE13" s="60">
        <f t="shared" si="40"/>
        <v>294.45557293177131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9.1967656314597903</v>
      </c>
      <c r="CV13" s="14">
        <f t="shared" si="41"/>
        <v>3.2735581214758165</v>
      </c>
      <c r="CW13" s="22">
        <f t="shared" si="13"/>
        <v>21.719147203029511</v>
      </c>
      <c r="CX13" s="60">
        <f t="shared" si="14"/>
        <v>290.60803609191839</v>
      </c>
      <c r="CY13" s="60">
        <f ca="1">AVERAGE(OFFSET($CX$3,0,0,'Données projet'!$E$13+1,1))-AVERAGE(OFFSET($H$3,0,0,'Données projet'!$E$13+1,1))</f>
        <v>597.75551942969628</v>
      </c>
      <c r="CZ13" s="60">
        <f t="shared" si="42"/>
        <v>322.81767004794284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292.70789065900522</v>
      </c>
      <c r="S14" s="60">
        <f ca="1">AVERAGE(OFFSET($R$3,0,0,'Données projet'!$E$9+1,1))-AVERAGE(OFFSET($H$3,0,0,'Données projet'!$E$9+1,1))</f>
        <v>509.56241660612449</v>
      </c>
      <c r="T14" s="60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0">
        <f t="shared" si="5"/>
        <v>295.34780742507621</v>
      </c>
      <c r="AN14" s="60">
        <f ca="1">AVERAGE(OFFSET($AM$3,0,0,'Données projet'!$E$10+1,1))-AVERAGE(OFFSET($H$3,0,0,'Données projet'!$E$10+1,1))</f>
        <v>565.72091871734051</v>
      </c>
      <c r="AO14" s="60">
        <f t="shared" si="36"/>
        <v>306.61893266146666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3.4358974358974361</v>
      </c>
      <c r="BD14" s="13">
        <f>IF('Données projet'!$A$88&gt;35,BD13+BC14-BL13,IF(A14&lt;'Données projet'!$A$88,$BA$205^A14,IF(A14='Données projet'!$A$88,'Données projet'!$B$88,BD13+BC14-BL13)))</f>
        <v>5.472165162174039</v>
      </c>
      <c r="BE14" s="14">
        <f>BD14*VLOOKUP('Données projet'!$B$11,Paramètres!$A$1:$I$89,3,0)*VLOOKUP('Données projet'!$B$11,Paramètres!$A$1:$I$89,5,0)</f>
        <v>2.5609732958974503</v>
      </c>
      <c r="BF14" s="14">
        <f t="shared" si="37"/>
        <v>1.0578370334547251</v>
      </c>
      <c r="BG14" s="22">
        <f t="shared" si="7"/>
        <v>6.3027613236217057</v>
      </c>
      <c r="BH14" s="60">
        <f t="shared" si="8"/>
        <v>276.41387243473287</v>
      </c>
      <c r="BI14" s="60">
        <f ca="1">AVERAGE(OFFSET($BH$3,0,0,'Données projet'!$E$11+1,1))-AVERAGE(OFFSET($H$3,0,0,'Données projet'!$E$11+1,1))</f>
        <v>246.64907095367749</v>
      </c>
      <c r="BJ14" s="60">
        <f t="shared" si="38"/>
        <v>145.34368562171613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0">
        <f t="shared" si="11"/>
        <v>294.21742779674327</v>
      </c>
      <c r="CD14" s="60">
        <f ca="1">AVERAGE(OFFSET($CC$3,0,0,'Données projet'!$E$12+1,1))-AVERAGE(OFFSET($H$3,0,0,'Données projet'!$E$12+1,1))</f>
        <v>541.66888676162716</v>
      </c>
      <c r="CE14" s="60">
        <f t="shared" si="40"/>
        <v>294.45557293177131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11.397281163225587</v>
      </c>
      <c r="CV14" s="14">
        <f t="shared" si="41"/>
        <v>3.9567777795201704</v>
      </c>
      <c r="CW14" s="22">
        <f t="shared" si="13"/>
        <v>26.741652658615525</v>
      </c>
      <c r="CX14" s="60">
        <f t="shared" si="14"/>
        <v>296.85276376972666</v>
      </c>
      <c r="CY14" s="60">
        <f ca="1">AVERAGE(OFFSET($CX$3,0,0,'Données projet'!$E$13+1,1))-AVERAGE(OFFSET($H$3,0,0,'Données projet'!$E$13+1,1))</f>
        <v>597.75551942969628</v>
      </c>
      <c r="CZ14" s="60">
        <f t="shared" si="42"/>
        <v>322.81767004794284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299.15620406350808</v>
      </c>
      <c r="S15" s="60">
        <f ca="1">AVERAGE(OFFSET($R$3,0,0,'Données projet'!$E$9+1,1))-AVERAGE(OFFSET($H$3,0,0,'Données projet'!$E$9+1,1))</f>
        <v>509.56241660612449</v>
      </c>
      <c r="T15" s="60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0">
        <f t="shared" si="5"/>
        <v>302.40863972786531</v>
      </c>
      <c r="AN15" s="60">
        <f ca="1">AVERAGE(OFFSET($AM$3,0,0,'Données projet'!$E$10+1,1))-AVERAGE(OFFSET($H$3,0,0,'Données projet'!$E$10+1,1))</f>
        <v>565.72091871734051</v>
      </c>
      <c r="AO15" s="60">
        <f t="shared" si="36"/>
        <v>306.61893266146666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3.4358974358974361</v>
      </c>
      <c r="BD15" s="13">
        <f>IF('Données projet'!$A$88&gt;35,BD14+BC15-BL14,IF(A15&lt;'Données projet'!$A$88,$BA$205^A15,IF(A15='Données projet'!$A$88,'Données projet'!$B$88,BD14+BC15-BL14)))</f>
        <v>6.3865244392195226</v>
      </c>
      <c r="BE15" s="14">
        <f>BD15*VLOOKUP('Données projet'!$B$11,Paramètres!$A$1:$I$89,3,0)*VLOOKUP('Données projet'!$B$11,Paramètres!$A$1:$I$89,5,0)</f>
        <v>2.9888934375547365</v>
      </c>
      <c r="BF15" s="14">
        <f t="shared" si="37"/>
        <v>1.2125874864812094</v>
      </c>
      <c r="BG15" s="22">
        <f t="shared" si="7"/>
        <v>7.3175792760292708</v>
      </c>
      <c r="BH15" s="60">
        <f t="shared" si="8"/>
        <v>278.65091260936259</v>
      </c>
      <c r="BI15" s="60">
        <f ca="1">AVERAGE(OFFSET($BH$3,0,0,'Données projet'!$E$11+1,1))-AVERAGE(OFFSET($H$3,0,0,'Données projet'!$E$11+1,1))</f>
        <v>246.64907095367749</v>
      </c>
      <c r="BJ15" s="60">
        <f t="shared" si="38"/>
        <v>145.34368562171613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0">
        <f t="shared" si="11"/>
        <v>301.01596347870151</v>
      </c>
      <c r="CD15" s="60">
        <f ca="1">AVERAGE(OFFSET($CC$3,0,0,'Données projet'!$E$12+1,1))-AVERAGE(OFFSET($H$3,0,0,'Données projet'!$E$12+1,1))</f>
        <v>541.66888676162716</v>
      </c>
      <c r="CE15" s="60">
        <f t="shared" si="40"/>
        <v>294.45557293177131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14.124315342914553</v>
      </c>
      <c r="CV15" s="14">
        <f t="shared" si="41"/>
        <v>4.7825912403370845</v>
      </c>
      <c r="CW15" s="22">
        <f t="shared" si="13"/>
        <v>32.929528965829938</v>
      </c>
      <c r="CX15" s="60">
        <f t="shared" si="14"/>
        <v>304.26286229916326</v>
      </c>
      <c r="CY15" s="60">
        <f ca="1">AVERAGE(OFFSET($CX$3,0,0,'Données projet'!$E$13+1,1))-AVERAGE(OFFSET($H$3,0,0,'Données projet'!$E$13+1,1))</f>
        <v>597.75551942969628</v>
      </c>
      <c r="CZ15" s="60">
        <f t="shared" si="42"/>
        <v>322.81767004794284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306.81726343399242</v>
      </c>
      <c r="S16" s="60">
        <f ca="1">AVERAGE(OFFSET($R$3,0,0,'Données projet'!$E$9+1,1))-AVERAGE(OFFSET($H$3,0,0,'Données projet'!$E$9+1,1))</f>
        <v>509.56241660612449</v>
      </c>
      <c r="T16" s="60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0">
        <f t="shared" si="5"/>
        <v>310.82478200263</v>
      </c>
      <c r="AN16" s="60">
        <f ca="1">AVERAGE(OFFSET($AM$3,0,0,'Données projet'!$E$10+1,1))-AVERAGE(OFFSET($H$3,0,0,'Données projet'!$E$10+1,1))</f>
        <v>565.72091871734051</v>
      </c>
      <c r="AO16" s="60">
        <f t="shared" si="36"/>
        <v>306.61893266146666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3.4358974358974361</v>
      </c>
      <c r="BD16" s="13">
        <f>IF('Données projet'!$A$88&gt;35,BD15+BC16-BL15,IF(A16&lt;'Données projet'!$A$88,$BA$205^A16,IF(A16='Données projet'!$A$88,'Données projet'!$B$88,BD15+BC16-BL15)))</f>
        <v>7.4536665476931043</v>
      </c>
      <c r="BE16" s="14">
        <f>BD16*VLOOKUP('Données projet'!$B$11,Paramètres!$A$1:$I$89,3,0)*VLOOKUP('Données projet'!$B$11,Paramètres!$A$1:$I$89,5,0)</f>
        <v>3.4883159443203726</v>
      </c>
      <c r="BF16" s="14">
        <f t="shared" si="37"/>
        <v>1.3899763062452366</v>
      </c>
      <c r="BG16" s="22">
        <f t="shared" si="7"/>
        <v>8.4963590030684362</v>
      </c>
      <c r="BH16" s="60">
        <f t="shared" si="8"/>
        <v>281.05191455862399</v>
      </c>
      <c r="BI16" s="60">
        <f ca="1">AVERAGE(OFFSET($BH$3,0,0,'Données projet'!$E$11+1,1))-AVERAGE(OFFSET($H$3,0,0,'Données projet'!$E$11+1,1))</f>
        <v>246.64907095367749</v>
      </c>
      <c r="BJ16" s="60">
        <f t="shared" si="38"/>
        <v>145.34368562171613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0">
        <f t="shared" si="11"/>
        <v>309.10875441028685</v>
      </c>
      <c r="CD16" s="60">
        <f ca="1">AVERAGE(OFFSET($CC$3,0,0,'Données projet'!$E$12+1,1))-AVERAGE(OFFSET($H$3,0,0,'Données projet'!$E$12+1,1))</f>
        <v>541.66888676162716</v>
      </c>
      <c r="CE16" s="60">
        <f t="shared" si="40"/>
        <v>294.45557293177131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17.5038485976625</v>
      </c>
      <c r="CV16" s="14">
        <f t="shared" si="41"/>
        <v>5.7807590536264062</v>
      </c>
      <c r="CW16" s="22">
        <f t="shared" si="13"/>
        <v>40.55402499266151</v>
      </c>
      <c r="CX16" s="60">
        <f t="shared" si="14"/>
        <v>313.10958054821708</v>
      </c>
      <c r="CY16" s="60">
        <f ca="1">AVERAGE(OFFSET($CX$3,0,0,'Données projet'!$E$13+1,1))-AVERAGE(OFFSET($H$3,0,0,'Données projet'!$E$13+1,1))</f>
        <v>597.75551942969628</v>
      </c>
      <c r="CZ16" s="60">
        <f t="shared" si="42"/>
        <v>322.81767004794284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315.9733740744461</v>
      </c>
      <c r="S17" s="60">
        <f ca="1">AVERAGE(OFFSET($R$3,0,0,'Données projet'!$E$9+1,1))-AVERAGE(OFFSET($H$3,0,0,'Données projet'!$E$9+1,1))</f>
        <v>509.56241660612449</v>
      </c>
      <c r="T17" s="60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0">
        <f t="shared" si="5"/>
        <v>320.91181739683748</v>
      </c>
      <c r="AN17" s="60">
        <f ca="1">AVERAGE(OFFSET($AM$3,0,0,'Données projet'!$E$10+1,1))-AVERAGE(OFFSET($H$3,0,0,'Données projet'!$E$10+1,1))</f>
        <v>565.72091871734051</v>
      </c>
      <c r="AO17" s="60">
        <f t="shared" si="36"/>
        <v>306.61893266146666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3.4358974358974361</v>
      </c>
      <c r="BD17" s="13">
        <f>IF('Données projet'!$A$88&gt;35,BD16+BC17-BL16,IF(A17&lt;'Données projet'!$A$88,$BA$205^A17,IF(A17='Données projet'!$A$88,'Données projet'!$B$88,BD16+BC17-BL16)))</f>
        <v>8.6991203952847798</v>
      </c>
      <c r="BE17" s="14">
        <f>BD17*VLOOKUP('Données projet'!$B$11,Paramètres!$A$1:$I$89,3,0)*VLOOKUP('Données projet'!$B$11,Paramètres!$A$1:$I$89,5,0)</f>
        <v>4.0711883449932769</v>
      </c>
      <c r="BF17" s="14">
        <f t="shared" si="37"/>
        <v>1.5933152481473272</v>
      </c>
      <c r="BG17" s="22">
        <f t="shared" si="7"/>
        <v>9.8656770913865515</v>
      </c>
      <c r="BH17" s="60">
        <f t="shared" si="8"/>
        <v>283.64345486916432</v>
      </c>
      <c r="BI17" s="60">
        <f ca="1">AVERAGE(OFFSET($BH$3,0,0,'Données projet'!$E$11+1,1))-AVERAGE(OFFSET($H$3,0,0,'Données projet'!$E$11+1,1))</f>
        <v>246.64907095367749</v>
      </c>
      <c r="BJ17" s="60">
        <f t="shared" si="38"/>
        <v>145.34368562171613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0">
        <f t="shared" si="11"/>
        <v>318.79713101789298</v>
      </c>
      <c r="CD17" s="60">
        <f ca="1">AVERAGE(OFFSET($CC$3,0,0,'Données projet'!$E$12+1,1))-AVERAGE(OFFSET($H$3,0,0,'Données projet'!$E$12+1,1))</f>
        <v>541.66888676162716</v>
      </c>
      <c r="CE17" s="60">
        <f t="shared" si="40"/>
        <v>294.45557293177131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21.692004765639073</v>
      </c>
      <c r="CV17" s="14">
        <f t="shared" si="41"/>
        <v>6.9872530510737043</v>
      </c>
      <c r="CW17" s="22">
        <f t="shared" si="13"/>
        <v>49.949707364108086</v>
      </c>
      <c r="CX17" s="60">
        <f t="shared" si="14"/>
        <v>323.72748514188584</v>
      </c>
      <c r="CY17" s="60">
        <f ca="1">AVERAGE(OFFSET($CX$3,0,0,'Données projet'!$E$13+1,1))-AVERAGE(OFFSET($H$3,0,0,'Données projet'!$E$13+1,1))</f>
        <v>597.75551942969628</v>
      </c>
      <c r="CZ17" s="60">
        <f t="shared" si="42"/>
        <v>322.81767004794284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326.97274628871452</v>
      </c>
      <c r="S18" s="60">
        <f ca="1">AVERAGE(OFFSET($R$3,0,0,'Données projet'!$E$9+1,1))-AVERAGE(OFFSET($H$3,0,0,'Données projet'!$E$9+1,1))</f>
        <v>509.56241660612449</v>
      </c>
      <c r="T18" s="60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0">
        <f t="shared" si="5"/>
        <v>333.0590225021204</v>
      </c>
      <c r="AN18" s="60">
        <f ca="1">AVERAGE(OFFSET($AM$3,0,0,'Données projet'!$E$10+1,1))-AVERAGE(OFFSET($H$3,0,0,'Données projet'!$E$10+1,1))</f>
        <v>565.72091871734051</v>
      </c>
      <c r="AO18" s="60">
        <f t="shared" si="36"/>
        <v>306.61893266146666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3.4358974358974361</v>
      </c>
      <c r="BD18" s="13">
        <f>IF('Données projet'!$A$88&gt;35,BD17+BC18-BL17,IF(A18&lt;'Données projet'!$A$88,$BA$205^A18,IF(A18='Données projet'!$A$88,'Données projet'!$B$88,BD17+BC18-BL17)))</f>
        <v>10.152680585782415</v>
      </c>
      <c r="BE18" s="14">
        <f>BD18*VLOOKUP('Données projet'!$B$11,Paramètres!$A$1:$I$89,3,0)*VLOOKUP('Données projet'!$B$11,Paramètres!$A$1:$I$89,5,0)</f>
        <v>4.7514545141461699</v>
      </c>
      <c r="BF18" s="14">
        <f t="shared" si="37"/>
        <v>1.8264005426369321</v>
      </c>
      <c r="BG18" s="22">
        <f t="shared" si="7"/>
        <v>11.456430890563903</v>
      </c>
      <c r="BH18" s="60">
        <f t="shared" si="8"/>
        <v>286.45643089056392</v>
      </c>
      <c r="BI18" s="60">
        <f ca="1">AVERAGE(OFFSET($BH$3,0,0,'Données projet'!$E$11+1,1))-AVERAGE(OFFSET($H$3,0,0,'Données projet'!$E$11+1,1))</f>
        <v>246.64907095367749</v>
      </c>
      <c r="BJ18" s="60">
        <f t="shared" si="38"/>
        <v>145.34368562171613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0">
        <f t="shared" si="11"/>
        <v>330.45278118996714</v>
      </c>
      <c r="CD18" s="60">
        <f ca="1">AVERAGE(OFFSET($CC$3,0,0,'Données projet'!$E$12+1,1))-AVERAGE(OFFSET($H$3,0,0,'Données projet'!$E$12+1,1))</f>
        <v>541.66888676162716</v>
      </c>
      <c r="CE18" s="60">
        <f t="shared" si="40"/>
        <v>294.45557293177131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26.882263527767574</v>
      </c>
      <c r="CV18" s="14">
        <f t="shared" si="41"/>
        <v>8.4455526941763424</v>
      </c>
      <c r="CW18" s="22">
        <f t="shared" si="13"/>
        <v>61.52927991988566</v>
      </c>
      <c r="CX18" s="60">
        <f t="shared" si="14"/>
        <v>336.52927991988565</v>
      </c>
      <c r="CY18" s="60">
        <f ca="1">AVERAGE(OFFSET($CX$3,0,0,'Données projet'!$E$13+1,1))-AVERAGE(OFFSET($H$3,0,0,'Données projet'!$E$13+1,1))</f>
        <v>597.75551942969628</v>
      </c>
      <c r="CZ18" s="60">
        <f t="shared" si="42"/>
        <v>322.81767004794284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340.24492173474681</v>
      </c>
      <c r="S19" s="60">
        <f ca="1">AVERAGE(OFFSET($R$3,0,0,'Données projet'!$E$9+1,1))-AVERAGE(OFFSET($H$3,0,0,'Données projet'!$E$9+1,1))</f>
        <v>509.56241660612449</v>
      </c>
      <c r="T19" s="60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0">
        <f t="shared" si="5"/>
        <v>347.74662094621232</v>
      </c>
      <c r="AN19" s="60">
        <f ca="1">AVERAGE(OFFSET($AM$3,0,0,'Données projet'!$E$10+1,1))-AVERAGE(OFFSET($H$3,0,0,'Données projet'!$E$10+1,1))</f>
        <v>565.72091871734051</v>
      </c>
      <c r="AO19" s="60">
        <f t="shared" si="36"/>
        <v>306.61893266146666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3.4358974358974361</v>
      </c>
      <c r="BD19" s="13">
        <f>IF('Données projet'!$A$88&gt;35,BD18+BC19-BL18,IF(A19&lt;'Données projet'!$A$88,$BA$205^A19,IF(A19='Données projet'!$A$88,'Données projet'!$B$88,BD18+BC19-BL18)))</f>
        <v>11.849120186081615</v>
      </c>
      <c r="BE19" s="14">
        <f>BD19*VLOOKUP('Données projet'!$B$11,Paramètres!$A$1:$I$89,3,0)*VLOOKUP('Données projet'!$B$11,Paramètres!$A$1:$I$89,5,0)</f>
        <v>5.545388247086195</v>
      </c>
      <c r="BF19" s="14">
        <f t="shared" si="37"/>
        <v>2.0935837688261665</v>
      </c>
      <c r="BG19" s="22">
        <f t="shared" si="7"/>
        <v>13.304542927714031</v>
      </c>
      <c r="BH19" s="60">
        <f t="shared" si="8"/>
        <v>289.52676514993624</v>
      </c>
      <c r="BI19" s="60">
        <f ca="1">AVERAGE(OFFSET($BH$3,0,0,'Données projet'!$E$11+1,1))-AVERAGE(OFFSET($H$3,0,0,'Données projet'!$E$11+1,1))</f>
        <v>246.64907095367749</v>
      </c>
      <c r="BJ19" s="60">
        <f t="shared" si="38"/>
        <v>145.34368562171613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0">
        <f t="shared" si="11"/>
        <v>344.53422116833968</v>
      </c>
      <c r="CD19" s="60">
        <f ca="1">AVERAGE(OFFSET($CC$3,0,0,'Données projet'!$E$12+1,1))-AVERAGE(OFFSET($H$3,0,0,'Données projet'!$E$12+1,1))</f>
        <v>541.66888676162716</v>
      </c>
      <c r="CE19" s="60">
        <f t="shared" si="40"/>
        <v>294.45557293177131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33.314398562232306</v>
      </c>
      <c r="CV19" s="14">
        <f t="shared" si="41"/>
        <v>10.208211980979948</v>
      </c>
      <c r="CW19" s="22">
        <f t="shared" si="13"/>
        <v>75.801880029428006</v>
      </c>
      <c r="CX19" s="60">
        <f t="shared" si="14"/>
        <v>352.02410225165022</v>
      </c>
      <c r="CY19" s="60">
        <f ca="1">AVERAGE(OFFSET($CX$3,0,0,'Données projet'!$E$13+1,1))-AVERAGE(OFFSET($H$3,0,0,'Données projet'!$E$13+1,1))</f>
        <v>597.75551942969628</v>
      </c>
      <c r="CZ19" s="60">
        <f t="shared" si="42"/>
        <v>322.81767004794284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356.31981931185817</v>
      </c>
      <c r="S20" s="60">
        <f ca="1">AVERAGE(OFFSET($R$3,0,0,'Données projet'!$E$9+1,1))-AVERAGE(OFFSET($H$3,0,0,'Données projet'!$E$9+1,1))</f>
        <v>509.56241660612449</v>
      </c>
      <c r="T20" s="60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0">
        <f t="shared" si="5"/>
        <v>365.56708614435468</v>
      </c>
      <c r="AN20" s="60">
        <f ca="1">AVERAGE(OFFSET($AM$3,0,0,'Données projet'!$E$10+1,1))-AVERAGE(OFFSET($H$3,0,0,'Données projet'!$E$10+1,1))</f>
        <v>565.72091871734051</v>
      </c>
      <c r="AO20" s="60">
        <f t="shared" si="36"/>
        <v>306.61893266146666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3.4358974358974361</v>
      </c>
      <c r="BD20" s="13">
        <f>IF('Données projet'!$A$88&gt;35,BD19+BC20-BL19,IF(A20&lt;'Données projet'!$A$88,$BA$205^A20,IF(A20='Données projet'!$A$88,'Données projet'!$B$88,BD19+BC20-BL19)))</f>
        <v>13.82902259141513</v>
      </c>
      <c r="BE20" s="14">
        <f>BD20*VLOOKUP('Données projet'!$B$11,Paramètres!$A$1:$I$89,3,0)*VLOOKUP('Données projet'!$B$11,Paramètres!$A$1:$I$89,5,0)</f>
        <v>6.4719825727822808</v>
      </c>
      <c r="BF20" s="14">
        <f t="shared" si="37"/>
        <v>2.399853096169215</v>
      </c>
      <c r="BG20" s="22">
        <f t="shared" si="7"/>
        <v>15.45178045675719</v>
      </c>
      <c r="BH20" s="60">
        <f t="shared" si="8"/>
        <v>292.89622490120166</v>
      </c>
      <c r="BI20" s="60">
        <f ca="1">AVERAGE(OFFSET($BH$3,0,0,'Données projet'!$E$11+1,1))-AVERAGE(OFFSET($H$3,0,0,'Données projet'!$E$11+1,1))</f>
        <v>246.64907095367749</v>
      </c>
      <c r="BJ20" s="60">
        <f t="shared" si="38"/>
        <v>145.34368562171613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0">
        <f t="shared" si="11"/>
        <v>361.60713155714888</v>
      </c>
      <c r="CD20" s="60">
        <f ca="1">AVERAGE(OFFSET($CC$3,0,0,'Données projet'!$E$12+1,1))-AVERAGE(OFFSET($H$3,0,0,'Données projet'!$E$12+1,1))</f>
        <v>541.66888676162716</v>
      </c>
      <c r="CE20" s="60">
        <f t="shared" si="40"/>
        <v>294.45557293177131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41.28555433648161</v>
      </c>
      <c r="CV20" s="14">
        <f t="shared" si="41"/>
        <v>12.338753379690502</v>
      </c>
      <c r="CW20" s="22">
        <f t="shared" si="13"/>
        <v>93.39566927233308</v>
      </c>
      <c r="CX20" s="60">
        <f t="shared" si="14"/>
        <v>370.84011371677752</v>
      </c>
      <c r="CY20" s="60">
        <f ca="1">AVERAGE(OFFSET($CX$3,0,0,'Données projet'!$E$13+1,1))-AVERAGE(OFFSET($H$3,0,0,'Données projet'!$E$13+1,1))</f>
        <v>597.75551942969628</v>
      </c>
      <c r="CZ20" s="60">
        <f t="shared" si="42"/>
        <v>322.81767004794284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375.85125169782572</v>
      </c>
      <c r="S21" s="60">
        <f ca="1">AVERAGE(OFFSET($R$3,0,0,'Données projet'!$E$9+1,1))-AVERAGE(OFFSET($H$3,0,0,'Données projet'!$E$9+1,1))</f>
        <v>509.56241660612449</v>
      </c>
      <c r="T21" s="60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0">
        <f t="shared" si="5"/>
        <v>387.25144554241666</v>
      </c>
      <c r="AN21" s="60">
        <f ca="1">AVERAGE(OFFSET($AM$3,0,0,'Données projet'!$E$10+1,1))-AVERAGE(OFFSET($H$3,0,0,'Données projet'!$E$10+1,1))</f>
        <v>565.72091871734051</v>
      </c>
      <c r="AO21" s="60">
        <f t="shared" si="36"/>
        <v>306.61893266146666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3.4358974358974361</v>
      </c>
      <c r="BD21" s="13">
        <f>IF('Données projet'!$A$88&gt;35,BD20+BC21-BL20,IF(A21&lt;'Données projet'!$A$88,$BA$205^A21,IF(A21='Données projet'!$A$88,'Données projet'!$B$88,BD20+BC21-BL20)))</f>
        <v>16.139752389254127</v>
      </c>
      <c r="BE21" s="14">
        <f>BD21*VLOOKUP('Données projet'!$B$11,Paramètres!$A$1:$I$89,3,0)*VLOOKUP('Données projet'!$B$11,Paramètres!$A$1:$I$89,5,0)</f>
        <v>7.5534041181709313</v>
      </c>
      <c r="BF21" s="14">
        <f t="shared" si="37"/>
        <v>2.7509264109465743</v>
      </c>
      <c r="BG21" s="22">
        <f t="shared" si="7"/>
        <v>17.946709004879654</v>
      </c>
      <c r="BH21" s="60">
        <f t="shared" si="8"/>
        <v>296.61337567154635</v>
      </c>
      <c r="BI21" s="60">
        <f ca="1">AVERAGE(OFFSET($BH$3,0,0,'Données projet'!$E$11+1,1))-AVERAGE(OFFSET($H$3,0,0,'Données projet'!$E$11+1,1))</f>
        <v>246.64907095367749</v>
      </c>
      <c r="BJ21" s="60">
        <f t="shared" si="38"/>
        <v>145.34368562171613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0">
        <f t="shared" si="11"/>
        <v>382.36946742104067</v>
      </c>
      <c r="CD21" s="60">
        <f ca="1">AVERAGE(OFFSET($CC$3,0,0,'Données projet'!$E$12+1,1))-AVERAGE(OFFSET($H$3,0,0,'Données projet'!$E$12+1,1))</f>
        <v>541.66888676162716</v>
      </c>
      <c r="CE21" s="60">
        <f t="shared" si="40"/>
        <v>294.45557293177131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51.163973249780369</v>
      </c>
      <c r="CV21" s="14">
        <f t="shared" si="41"/>
        <v>14.913957042476</v>
      </c>
      <c r="CW21" s="22">
        <f t="shared" si="13"/>
        <v>115.08572859234651</v>
      </c>
      <c r="CX21" s="60">
        <f t="shared" si="14"/>
        <v>393.75239525901321</v>
      </c>
      <c r="CY21" s="60">
        <f ca="1">AVERAGE(OFFSET($CX$3,0,0,'Données projet'!$E$13+1,1))-AVERAGE(OFFSET($H$3,0,0,'Données projet'!$E$13+1,1))</f>
        <v>597.75551942969628</v>
      </c>
      <c r="CZ21" s="60">
        <f t="shared" si="42"/>
        <v>322.81767004794284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399.64596418363215</v>
      </c>
      <c r="S22" s="60">
        <f ca="1">AVERAGE(OFFSET($R$3,0,0,'Données projet'!$E$9+1,1))-AVERAGE(OFFSET($H$3,0,0,'Données projet'!$E$9+1,1))</f>
        <v>509.56241660612449</v>
      </c>
      <c r="T22" s="60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0">
        <f t="shared" si="5"/>
        <v>413.70176310276202</v>
      </c>
      <c r="AN22" s="60">
        <f ca="1">AVERAGE(OFFSET($AM$3,0,0,'Données projet'!$E$10+1,1))-AVERAGE(OFFSET($H$3,0,0,'Données projet'!$E$10+1,1))</f>
        <v>565.72091871734051</v>
      </c>
      <c r="AO22" s="60">
        <f t="shared" si="36"/>
        <v>306.61893266146666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3.4358974358974361</v>
      </c>
      <c r="BD22" s="13">
        <f>IF('Données projet'!$A$88&gt;35,BD21+BC22-BL21,IF(A22&lt;'Données projet'!$A$88,$BA$205^A22,IF(A22='Données projet'!$A$88,'Données projet'!$B$88,BD21+BC22-BL21)))</f>
        <v>18.836588447555499</v>
      </c>
      <c r="BE22" s="14">
        <f>BD22*VLOOKUP('Données projet'!$B$11,Paramètres!$A$1:$I$89,3,0)*VLOOKUP('Données projet'!$B$11,Paramètres!$A$1:$I$89,5,0)</f>
        <v>8.8155233934559742</v>
      </c>
      <c r="BF22" s="14">
        <f t="shared" si="37"/>
        <v>3.153358066176315</v>
      </c>
      <c r="BG22" s="22">
        <f t="shared" si="7"/>
        <v>20.845801875526238</v>
      </c>
      <c r="BH22" s="60">
        <f t="shared" si="8"/>
        <v>300.73469076441512</v>
      </c>
      <c r="BI22" s="60">
        <f ca="1">AVERAGE(OFFSET($BH$3,0,0,'Données projet'!$E$11+1,1))-AVERAGE(OFFSET($H$3,0,0,'Données projet'!$E$11+1,1))</f>
        <v>246.64907095367749</v>
      </c>
      <c r="BJ22" s="60">
        <f t="shared" si="38"/>
        <v>145.34368562171613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0">
        <f t="shared" si="11"/>
        <v>407.68246562913936</v>
      </c>
      <c r="CD22" s="60">
        <f ca="1">AVERAGE(OFFSET($CC$3,0,0,'Données projet'!$E$12+1,1))-AVERAGE(OFFSET($H$3,0,0,'Données projet'!$E$12+1,1))</f>
        <v>541.66888676162716</v>
      </c>
      <c r="CE22" s="60">
        <f t="shared" si="40"/>
        <v>294.45557293177131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63.406007277249707</v>
      </c>
      <c r="CV22" s="14">
        <f t="shared" si="41"/>
        <v>18.026627797823672</v>
      </c>
      <c r="CW22" s="22">
        <f t="shared" si="13"/>
        <v>141.82850608908612</v>
      </c>
      <c r="CX22" s="60">
        <f t="shared" si="14"/>
        <v>421.717394977975</v>
      </c>
      <c r="CY22" s="60">
        <f ca="1">AVERAGE(OFFSET($CX$3,0,0,'Données projet'!$E$13+1,1))-AVERAGE(OFFSET($H$3,0,0,'Données projet'!$E$13+1,1))</f>
        <v>597.75551942969628</v>
      </c>
      <c r="CZ22" s="60">
        <f t="shared" si="42"/>
        <v>322.81767004794284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428.69949531545831</v>
      </c>
      <c r="S23" s="60">
        <f ca="1">AVERAGE(OFFSET($R$3,0,0,'Données projet'!$E$9+1,1))-AVERAGE(OFFSET($H$3,0,0,'Données projet'!$E$9+1,1))</f>
        <v>509.56241660612449</v>
      </c>
      <c r="T23" s="60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0">
        <f t="shared" si="5"/>
        <v>446.03125418022853</v>
      </c>
      <c r="AN23" s="60">
        <f ca="1">AVERAGE(OFFSET($AM$3,0,0,'Données projet'!$E$10+1,1))-AVERAGE(OFFSET($H$3,0,0,'Données projet'!$E$10+1,1))</f>
        <v>565.72091871734051</v>
      </c>
      <c r="AO23" s="60">
        <f t="shared" si="36"/>
        <v>306.61893266146666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3.4358974358974361</v>
      </c>
      <c r="BD23" s="13">
        <f>IF('Données projet'!$A$88&gt;35,BD22+BC23-BL22,IF(A23&lt;'Données projet'!$A$88,$BA$205^A23,IF(A23='Données projet'!$A$88,'Données projet'!$B$88,BD22+BC23-BL22)))</f>
        <v>21.984046333871831</v>
      </c>
      <c r="BE23" s="14">
        <f>BD23*VLOOKUP('Données projet'!$B$11,Paramètres!$A$1:$I$89,3,0)*VLOOKUP('Données projet'!$B$11,Paramètres!$A$1:$I$89,5,0)</f>
        <v>10.288533684252016</v>
      </c>
      <c r="BF23" s="14">
        <f t="shared" si="37"/>
        <v>3.6146612479167253</v>
      </c>
      <c r="BG23" s="22">
        <f t="shared" si="7"/>
        <v>24.214731173527223</v>
      </c>
      <c r="BH23" s="60">
        <f t="shared" si="8"/>
        <v>305.32584228463838</v>
      </c>
      <c r="BI23" s="60">
        <f ca="1">AVERAGE(OFFSET($BH$3,0,0,'Données projet'!$E$11+1,1))-AVERAGE(OFFSET($H$3,0,0,'Données projet'!$E$11+1,1))</f>
        <v>246.64907095367749</v>
      </c>
      <c r="BJ23" s="60">
        <f t="shared" si="38"/>
        <v>145.34368562171613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0">
        <f t="shared" si="11"/>
        <v>438.60893734436286</v>
      </c>
      <c r="CD23" s="60">
        <f ca="1">AVERAGE(OFFSET($CC$3,0,0,'Données projet'!$E$12+1,1))-AVERAGE(OFFSET($H$3,0,0,'Données projet'!$E$12+1,1))</f>
        <v>541.66888676162716</v>
      </c>
      <c r="CE23" s="60">
        <f t="shared" si="40"/>
        <v>294.45557293177131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78.577200000000005</v>
      </c>
      <c r="CV23" s="14">
        <f t="shared" si="41"/>
        <v>21.788939637935243</v>
      </c>
      <c r="CW23" s="22">
        <f t="shared" si="13"/>
        <v>174.8043598694039</v>
      </c>
      <c r="CX23" s="60">
        <f t="shared" si="14"/>
        <v>455.91547098051501</v>
      </c>
      <c r="CY23" s="60">
        <f ca="1">AVERAGE(OFFSET($CX$3,0,0,'Données projet'!$E$13+1,1))-AVERAGE(OFFSET($H$3,0,0,'Données projet'!$E$13+1,1))</f>
        <v>597.75551942969628</v>
      </c>
      <c r="CZ23" s="60">
        <f t="shared" si="42"/>
        <v>322.81767004794284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444.08896575162873</v>
      </c>
      <c r="S24" s="60">
        <f ca="1">AVERAGE(OFFSET($R$3,0,0,'Données projet'!$E$9+1,1))-AVERAGE(OFFSET($H$3,0,0,'Données projet'!$E$9+1,1))</f>
        <v>509.56241660612449</v>
      </c>
      <c r="T24" s="60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81.322800000000001</v>
      </c>
      <c r="AK24" s="14">
        <f t="shared" si="35"/>
        <v>22.460306254032997</v>
      </c>
      <c r="AL24" s="22">
        <f t="shared" si="4"/>
        <v>180.75557672577415</v>
      </c>
      <c r="AM24" s="60">
        <f t="shared" si="5"/>
        <v>463.08891005910743</v>
      </c>
      <c r="AN24" s="60">
        <f ca="1">AVERAGE(OFFSET($AM$3,0,0,'Données projet'!$E$10+1,1))-AVERAGE(OFFSET($H$3,0,0,'Données projet'!$E$10+1,1))</f>
        <v>565.72091871734051</v>
      </c>
      <c r="AO24" s="60">
        <f t="shared" si="36"/>
        <v>306.61893266146666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3.4358974358974361</v>
      </c>
      <c r="BD24" s="13">
        <f>IF('Données projet'!$A$88&gt;35,BD23+BC24-BL23,IF(A24&lt;'Données projet'!$A$88,$BA$205^A24,IF(A24='Données projet'!$A$88,'Données projet'!$B$88,BD23+BC24-BL23)))</f>
        <v>25.657421701143715</v>
      </c>
      <c r="BE24" s="14">
        <f>BD24*VLOOKUP('Données projet'!$B$11,Paramètres!$A$1:$I$89,3,0)*VLOOKUP('Données projet'!$B$11,Paramètres!$A$1:$I$89,5,0)</f>
        <v>12.007673356135259</v>
      </c>
      <c r="BF24" s="14">
        <f t="shared" si="37"/>
        <v>4.1434482424744576</v>
      </c>
      <c r="BG24" s="22">
        <f t="shared" si="7"/>
        <v>28.129870117578587</v>
      </c>
      <c r="BH24" s="60">
        <f t="shared" si="8"/>
        <v>310.46320345091192</v>
      </c>
      <c r="BI24" s="60">
        <f ca="1">AVERAGE(OFFSET($BH$3,0,0,'Données projet'!$E$11+1,1))-AVERAGE(OFFSET($H$3,0,0,'Données projet'!$E$11+1,1))</f>
        <v>246.64907095367749</v>
      </c>
      <c r="BJ24" s="60">
        <f t="shared" si="38"/>
        <v>145.34368562171613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77.569440000000014</v>
      </c>
      <c r="CA24" s="14">
        <f t="shared" si="39"/>
        <v>21.541836664136856</v>
      </c>
      <c r="CB24" s="22">
        <f t="shared" si="10"/>
        <v>172.61880685670505</v>
      </c>
      <c r="CC24" s="60">
        <f t="shared" si="11"/>
        <v>454.95214019003834</v>
      </c>
      <c r="CD24" s="60">
        <f ca="1">AVERAGE(OFFSET($CC$3,0,0,'Données projet'!$E$12+1,1))-AVERAGE(OFFSET($H$3,0,0,'Données projet'!$E$12+1,1))</f>
        <v>541.66888676162716</v>
      </c>
      <c r="CE24" s="60">
        <f t="shared" si="40"/>
        <v>294.45557293177131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80.2</v>
      </c>
      <c r="CU24" s="18">
        <f>CT24*VLOOKUP('Données projet'!$B$13,Paramètres!$A$1:$I$89,3,0)*VLOOKUP('Données projet'!$B$13,Paramètres!$A$1:$I$89,5,0)</f>
        <v>86.327280000000002</v>
      </c>
      <c r="CV24" s="14">
        <f t="shared" si="41"/>
        <v>23.677316983408026</v>
      </c>
      <c r="CW24" s="22">
        <f t="shared" si="13"/>
        <v>191.59133974610231</v>
      </c>
      <c r="CX24" s="60">
        <f t="shared" si="14"/>
        <v>473.92467307943559</v>
      </c>
      <c r="CY24" s="60">
        <f ca="1">AVERAGE(OFFSET($CX$3,0,0,'Données projet'!$E$13+1,1))-AVERAGE(OFFSET($H$3,0,0,'Données projet'!$E$13+1,1))</f>
        <v>597.75551942969628</v>
      </c>
      <c r="CZ24" s="60">
        <f t="shared" si="42"/>
        <v>322.81767004794284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459.44906838783072</v>
      </c>
      <c r="S25" s="60">
        <f ca="1">AVERAGE(OFFSET($R$3,0,0,'Données projet'!$E$9+1,1))-AVERAGE(OFFSET($H$3,0,0,'Données projet'!$E$9+1,1))</f>
        <v>509.56241660612449</v>
      </c>
      <c r="T25" s="60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88.62360000000001</v>
      </c>
      <c r="AK25" s="14">
        <f t="shared" si="35"/>
        <v>24.232973298845781</v>
      </c>
      <c r="AL25" s="22">
        <f t="shared" si="4"/>
        <v>196.55853182882308</v>
      </c>
      <c r="AM25" s="60">
        <f t="shared" si="5"/>
        <v>480.11408738437865</v>
      </c>
      <c r="AN25" s="60">
        <f ca="1">AVERAGE(OFFSET($AM$3,0,0,'Données projet'!$E$10+1,1))-AVERAGE(OFFSET($H$3,0,0,'Données projet'!$E$10+1,1))</f>
        <v>565.72091871734051</v>
      </c>
      <c r="AO25" s="60">
        <f t="shared" si="36"/>
        <v>306.61893266146666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3.4358974358974361</v>
      </c>
      <c r="BD25" s="13">
        <f>IF('Données projet'!$A$88&gt;35,BD24+BC25-BL24,IF(A25&lt;'Données projet'!$A$88,$BA$205^A25,IF(A25='Données projet'!$A$88,'Données projet'!$B$88,BD24+BC25-BL24)))</f>
        <v>29.944591562111224</v>
      </c>
      <c r="BE25" s="14">
        <f>BD25*VLOOKUP('Données projet'!$B$11,Paramètres!$A$1:$I$89,3,0)*VLOOKUP('Données projet'!$B$11,Paramètres!$A$1:$I$89,5,0)</f>
        <v>14.014068851068053</v>
      </c>
      <c r="BF25" s="14">
        <f t="shared" si="37"/>
        <v>4.749591223232712</v>
      </c>
      <c r="BG25" s="22">
        <f t="shared" si="7"/>
        <v>32.680041296073831</v>
      </c>
      <c r="BH25" s="60">
        <f t="shared" si="8"/>
        <v>316.2355968516294</v>
      </c>
      <c r="BI25" s="60">
        <f ca="1">AVERAGE(OFFSET($BH$3,0,0,'Données projet'!$E$11+1,1))-AVERAGE(OFFSET($H$3,0,0,'Données projet'!$E$11+1,1))</f>
        <v>246.64907095367749</v>
      </c>
      <c r="BJ25" s="60">
        <f t="shared" si="38"/>
        <v>145.34368562171613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84.533280000000005</v>
      </c>
      <c r="CA25" s="14">
        <f t="shared" si="39"/>
        <v>23.242014012893971</v>
      </c>
      <c r="CB25" s="22">
        <f t="shared" si="10"/>
        <v>187.70863707245701</v>
      </c>
      <c r="CC25" s="60">
        <f t="shared" si="11"/>
        <v>471.26419262801255</v>
      </c>
      <c r="CD25" s="60">
        <f ca="1">AVERAGE(OFFSET($CC$3,0,0,'Données projet'!$E$12+1,1))-AVERAGE(OFFSET($H$3,0,0,'Données projet'!$E$12+1,1))</f>
        <v>541.66888676162716</v>
      </c>
      <c r="CE25" s="60">
        <f t="shared" si="40"/>
        <v>294.45557293177131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87.4</v>
      </c>
      <c r="CU25" s="18">
        <f>CT25*VLOOKUP('Données projet'!$B$13,Paramètres!$A$1:$I$89,3,0)*VLOOKUP('Données projet'!$B$13,Paramètres!$A$1:$I$89,5,0)</f>
        <v>94.077359999999999</v>
      </c>
      <c r="CV25" s="14">
        <f t="shared" si="41"/>
        <v>25.546035915881891</v>
      </c>
      <c r="CW25" s="22">
        <f t="shared" si="13"/>
        <v>208.34408122016092</v>
      </c>
      <c r="CX25" s="60">
        <f t="shared" si="14"/>
        <v>491.89963677571643</v>
      </c>
      <c r="CY25" s="60">
        <f ca="1">AVERAGE(OFFSET($CX$3,0,0,'Données projet'!$E$13+1,1))-AVERAGE(OFFSET($H$3,0,0,'Données projet'!$E$13+1,1))</f>
        <v>597.75551942969628</v>
      </c>
      <c r="CZ25" s="60">
        <f t="shared" si="42"/>
        <v>322.81767004794284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474.78249759155403</v>
      </c>
      <c r="S26" s="60">
        <f ca="1">AVERAGE(OFFSET($R$3,0,0,'Données projet'!$E$9+1,1))-AVERAGE(OFFSET($H$3,0,0,'Données projet'!$E$9+1,1))</f>
        <v>509.56241660612449</v>
      </c>
      <c r="T26" s="60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95.92440000000002</v>
      </c>
      <c r="AK26" s="14">
        <f t="shared" si="35"/>
        <v>25.988703240473907</v>
      </c>
      <c r="AL26" s="22">
        <f t="shared" si="4"/>
        <v>212.33198814382544</v>
      </c>
      <c r="AM26" s="60">
        <f t="shared" si="5"/>
        <v>497.10976592160318</v>
      </c>
      <c r="AN26" s="60">
        <f ca="1">AVERAGE(OFFSET($AM$3,0,0,'Données projet'!$E$10+1,1))-AVERAGE(OFFSET($H$3,0,0,'Données projet'!$E$10+1,1))</f>
        <v>565.72091871734051</v>
      </c>
      <c r="AO26" s="60">
        <f t="shared" si="36"/>
        <v>306.61893266146666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3.4358974358974361</v>
      </c>
      <c r="BD26" s="13">
        <f>IF('Données projet'!$A$88&gt;35,BD25+BC26-BL25,IF(A26&lt;'Données projet'!$A$88,$BA$205^A26,IF(A26='Données projet'!$A$88,'Données projet'!$B$88,BD25+BC26-BL25)))</f>
        <v>34.948116543670167</v>
      </c>
      <c r="BE26" s="14">
        <f>BD26*VLOOKUP('Données projet'!$B$11,Paramètres!$A$1:$I$89,3,0)*VLOOKUP('Données projet'!$B$11,Paramètres!$A$1:$I$89,5,0)</f>
        <v>16.355718542437639</v>
      </c>
      <c r="BF26" s="14">
        <f t="shared" si="37"/>
        <v>5.4444065589044843</v>
      </c>
      <c r="BG26" s="22">
        <f t="shared" si="7"/>
        <v>37.968551218170866</v>
      </c>
      <c r="BH26" s="60">
        <f t="shared" si="8"/>
        <v>322.74632899594866</v>
      </c>
      <c r="BI26" s="60">
        <f ca="1">AVERAGE(OFFSET($BH$3,0,0,'Données projet'!$E$11+1,1))-AVERAGE(OFFSET($H$3,0,0,'Données projet'!$E$11+1,1))</f>
        <v>246.64907095367749</v>
      </c>
      <c r="BJ26" s="60">
        <f t="shared" si="38"/>
        <v>145.34368562171613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91.49712000000001</v>
      </c>
      <c r="CA26" s="14">
        <f t="shared" si="39"/>
        <v>24.925946867642839</v>
      </c>
      <c r="CB26" s="22">
        <f t="shared" si="10"/>
        <v>202.77017479447795</v>
      </c>
      <c r="CC26" s="60">
        <f t="shared" si="11"/>
        <v>487.54795257225572</v>
      </c>
      <c r="CD26" s="60">
        <f ca="1">AVERAGE(OFFSET($CC$3,0,0,'Données projet'!$E$12+1,1))-AVERAGE(OFFSET($H$3,0,0,'Données projet'!$E$12+1,1))</f>
        <v>541.66888676162716</v>
      </c>
      <c r="CE26" s="60">
        <f t="shared" si="40"/>
        <v>294.45557293177131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94.600000000000009</v>
      </c>
      <c r="CU26" s="18">
        <f>CT26*VLOOKUP('Données projet'!$B$13,Paramètres!$A$1:$I$89,3,0)*VLOOKUP('Données projet'!$B$13,Paramètres!$A$1:$I$89,5,0)</f>
        <v>101.82744000000001</v>
      </c>
      <c r="CV26" s="14">
        <f t="shared" si="41"/>
        <v>27.396900008962785</v>
      </c>
      <c r="CW26" s="22">
        <f t="shared" si="13"/>
        <v>225.06572551561021</v>
      </c>
      <c r="CX26" s="60">
        <f t="shared" si="14"/>
        <v>509.84350329338798</v>
      </c>
      <c r="CY26" s="60">
        <f ca="1">AVERAGE(OFFSET($CX$3,0,0,'Données projet'!$E$13+1,1))-AVERAGE(OFFSET($H$3,0,0,'Données projet'!$E$13+1,1))</f>
        <v>597.75551942969628</v>
      </c>
      <c r="CZ26" s="60">
        <f t="shared" si="42"/>
        <v>322.81767004794284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490.09151430529414</v>
      </c>
      <c r="S27" s="60">
        <f ca="1">AVERAGE(OFFSET($R$3,0,0,'Données projet'!$E$9+1,1))-AVERAGE(OFFSET($H$3,0,0,'Données projet'!$E$9+1,1))</f>
        <v>509.56241660612449</v>
      </c>
      <c r="T27" s="60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103.22520000000003</v>
      </c>
      <c r="AK27" s="14">
        <f t="shared" si="35"/>
        <v>27.728931732779014</v>
      </c>
      <c r="AL27" s="22">
        <f t="shared" si="4"/>
        <v>228.07844610125684</v>
      </c>
      <c r="AM27" s="60">
        <f t="shared" si="5"/>
        <v>514.07844610125687</v>
      </c>
      <c r="AN27" s="60">
        <f ca="1">AVERAGE(OFFSET($AM$3,0,0,'Données projet'!$E$10+1,1))-AVERAGE(OFFSET($H$3,0,0,'Données projet'!$E$10+1,1))</f>
        <v>565.72091871734051</v>
      </c>
      <c r="AO27" s="60">
        <f t="shared" si="36"/>
        <v>306.61893266146666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3.4358974358974361</v>
      </c>
      <c r="BD27" s="13">
        <f>IF('Données projet'!$A$88&gt;35,BD26+BC27-BL26,IF(A27&lt;'Données projet'!$A$88,$BA$205^A27,IF(A27='Données projet'!$A$88,'Données projet'!$B$88,BD26+BC27-BL26)))</f>
        <v>40.787694412748245</v>
      </c>
      <c r="BE27" s="14">
        <f>BD27*VLOOKUP('Données projet'!$B$11,Paramètres!$A$1:$I$89,3,0)*VLOOKUP('Données projet'!$B$11,Paramètres!$A$1:$I$89,5,0)</f>
        <v>19.08864098516618</v>
      </c>
      <c r="BF27" s="14">
        <f t="shared" si="37"/>
        <v>6.2408660841484478</v>
      </c>
      <c r="BG27" s="22">
        <f t="shared" si="7"/>
        <v>44.115558145722979</v>
      </c>
      <c r="BH27" s="60">
        <f t="shared" si="8"/>
        <v>330.11555814572296</v>
      </c>
      <c r="BI27" s="60">
        <f ca="1">AVERAGE(OFFSET($BH$3,0,0,'Données projet'!$E$11+1,1))-AVERAGE(OFFSET($H$3,0,0,'Données projet'!$E$11+1,1))</f>
        <v>246.64907095367749</v>
      </c>
      <c r="BJ27" s="60">
        <f t="shared" si="38"/>
        <v>145.34368562171613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98.460960000000014</v>
      </c>
      <c r="CA27" s="14">
        <f t="shared" si="39"/>
        <v>26.595012174033403</v>
      </c>
      <c r="CB27" s="22">
        <f t="shared" si="10"/>
        <v>217.80581820310817</v>
      </c>
      <c r="CC27" s="60">
        <f t="shared" si="11"/>
        <v>503.80581820310817</v>
      </c>
      <c r="CD27" s="60">
        <f ca="1">AVERAGE(OFFSET($CC$3,0,0,'Données projet'!$E$12+1,1))-AVERAGE(OFFSET($H$3,0,0,'Données projet'!$E$12+1,1))</f>
        <v>541.66888676162716</v>
      </c>
      <c r="CE27" s="60">
        <f t="shared" si="40"/>
        <v>294.45557293177131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101.80000000000001</v>
      </c>
      <c r="CU27" s="18">
        <f>CT27*VLOOKUP('Données projet'!$B$13,Paramètres!$A$1:$I$89,3,0)*VLOOKUP('Données projet'!$B$13,Paramètres!$A$1:$I$89,5,0)</f>
        <v>109.57752000000001</v>
      </c>
      <c r="CV27" s="14">
        <f t="shared" si="41"/>
        <v>29.23142270735509</v>
      </c>
      <c r="CW27" s="22">
        <f t="shared" si="13"/>
        <v>241.75890854864349</v>
      </c>
      <c r="CX27" s="60">
        <f t="shared" si="14"/>
        <v>527.75890854864349</v>
      </c>
      <c r="CY27" s="60">
        <f ca="1">AVERAGE(OFFSET($CX$3,0,0,'Données projet'!$E$13+1,1))-AVERAGE(OFFSET($H$3,0,0,'Données projet'!$E$13+1,1))</f>
        <v>597.75551942969628</v>
      </c>
      <c r="CZ27" s="60">
        <f t="shared" si="42"/>
        <v>322.81767004794284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505.37804153496802</v>
      </c>
      <c r="S28" s="60">
        <f ca="1">AVERAGE(OFFSET($R$3,0,0,'Données projet'!$E$9+1,1))-AVERAGE(OFFSET($H$3,0,0,'Données projet'!$E$9+1,1))</f>
        <v>509.56241660612449</v>
      </c>
      <c r="T28" s="60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110.52600000000001</v>
      </c>
      <c r="AK28" s="14">
        <f t="shared" si="35"/>
        <v>29.454879846564946</v>
      </c>
      <c r="AL28" s="22">
        <f t="shared" si="4"/>
        <v>243.80003239943395</v>
      </c>
      <c r="AM28" s="60">
        <f t="shared" si="5"/>
        <v>531.0222546216562</v>
      </c>
      <c r="AN28" s="60">
        <f ca="1">AVERAGE(OFFSET($AM$3,0,0,'Données projet'!$E$10+1,1))-AVERAGE(OFFSET($H$3,0,0,'Données projet'!$E$10+1,1))</f>
        <v>565.72091871734051</v>
      </c>
      <c r="AO28" s="60">
        <f t="shared" si="36"/>
        <v>306.61893266146666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3.4358974358974361</v>
      </c>
      <c r="BD28" s="13">
        <f>IF('Données projet'!$A$88&gt;35,BD27+BC28-BL27,IF(A28&lt;'Données projet'!$A$88,$BA$205^A28,IF(A28='Données projet'!$A$88,'Données projet'!$B$88,BD27+BC28-BL27)))</f>
        <v>47.603023568635017</v>
      </c>
      <c r="BE28" s="14">
        <f>BD28*VLOOKUP('Données projet'!$B$11,Paramètres!$A$1:$I$89,3,0)*VLOOKUP('Données projet'!$B$11,Paramètres!$A$1:$I$89,5,0)</f>
        <v>22.278215030121189</v>
      </c>
      <c r="BF28" s="14">
        <f t="shared" si="37"/>
        <v>7.1538392768580321</v>
      </c>
      <c r="BG28" s="22">
        <f t="shared" si="7"/>
        <v>51.260827917988813</v>
      </c>
      <c r="BH28" s="60">
        <f t="shared" si="8"/>
        <v>338.48305014021105</v>
      </c>
      <c r="BI28" s="60">
        <f ca="1">AVERAGE(OFFSET($BH$3,0,0,'Données projet'!$E$11+1,1))-AVERAGE(OFFSET($H$3,0,0,'Données projet'!$E$11+1,1))</f>
        <v>246.64907095367749</v>
      </c>
      <c r="BJ28" s="60">
        <f t="shared" si="38"/>
        <v>145.34368562171613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105.42480000000002</v>
      </c>
      <c r="CA28" s="14">
        <f t="shared" si="39"/>
        <v>28.250381069605584</v>
      </c>
      <c r="CB28" s="22">
        <f t="shared" si="10"/>
        <v>232.81760702956308</v>
      </c>
      <c r="CC28" s="60">
        <f t="shared" si="11"/>
        <v>520.03982925178525</v>
      </c>
      <c r="CD28" s="60">
        <f ca="1">AVERAGE(OFFSET($CC$3,0,0,'Données projet'!$E$12+1,1))-AVERAGE(OFFSET($H$3,0,0,'Données projet'!$E$12+1,1))</f>
        <v>541.66888676162716</v>
      </c>
      <c r="CE28" s="60">
        <f t="shared" si="40"/>
        <v>294.45557293177131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109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109.00000000000001</v>
      </c>
      <c r="CU28" s="18">
        <f>CT28*VLOOKUP('Données projet'!$B$13,Paramètres!$A$1:$I$89,3,0)*VLOOKUP('Données projet'!$B$13,Paramètres!$A$1:$I$89,5,0)</f>
        <v>117.32760000000002</v>
      </c>
      <c r="CV28" s="14">
        <f t="shared" si="41"/>
        <v>31.050891245531712</v>
      </c>
      <c r="CW28" s="22">
        <f t="shared" si="13"/>
        <v>258.42587225263441</v>
      </c>
      <c r="CX28" s="60">
        <f t="shared" si="14"/>
        <v>545.64809447485663</v>
      </c>
      <c r="CY28" s="60">
        <f ca="1">AVERAGE(OFFSET($CX$3,0,0,'Données projet'!$E$13+1,1))-AVERAGE(OFFSET($H$3,0,0,'Données projet'!$E$13+1,1))</f>
        <v>597.75551942969628</v>
      </c>
      <c r="CZ28" s="60">
        <f t="shared" si="42"/>
        <v>322.81767004794284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458.05789673333743</v>
      </c>
      <c r="S29" s="60">
        <f ca="1">AVERAGE(OFFSET($R$3,0,0,'Données projet'!$E$9+1,1))-AVERAGE(OFFSET($H$3,0,0,'Données projet'!$E$9+1,1))</f>
        <v>509.56241660612449</v>
      </c>
      <c r="T29" s="60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0">
        <f t="shared" si="5"/>
        <v>477.98324711048087</v>
      </c>
      <c r="AN29" s="60">
        <f ca="1">AVERAGE(OFFSET($AM$3,0,0,'Données projet'!$E$10+1,1))-AVERAGE(OFFSET($H$3,0,0,'Données projet'!$E$10+1,1))</f>
        <v>565.72091871734051</v>
      </c>
      <c r="AO29" s="60">
        <f t="shared" si="36"/>
        <v>306.61893266146666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3.4358974358974361</v>
      </c>
      <c r="BD29" s="13">
        <f>IF('Données projet'!$A$88&gt;35,BD28+BC29-BL28,IF(A29&lt;'Données projet'!$A$88,$BA$205^A29,IF(A29='Données projet'!$A$88,'Données projet'!$B$88,BD28+BC29-BL28)))</f>
        <v>55.557145004199242</v>
      </c>
      <c r="BE29" s="14">
        <f>BD29*VLOOKUP('Données projet'!$B$11,Paramètres!$A$1:$I$89,3,0)*VLOOKUP('Données projet'!$B$11,Paramètres!$A$1:$I$89,5,0)</f>
        <v>26.000743861965244</v>
      </c>
      <c r="BF29" s="14">
        <f t="shared" si="37"/>
        <v>8.2003708634455794</v>
      </c>
      <c r="BG29" s="22">
        <f t="shared" si="7"/>
        <v>59.56694148009052</v>
      </c>
      <c r="BH29" s="60">
        <f t="shared" si="8"/>
        <v>348.01138592453498</v>
      </c>
      <c r="BI29" s="60">
        <f ca="1">AVERAGE(OFFSET($BH$3,0,0,'Données projet'!$E$11+1,1))-AVERAGE(OFFSET($H$3,0,0,'Données projet'!$E$11+1,1))</f>
        <v>246.64907095367749</v>
      </c>
      <c r="BJ29" s="60">
        <f t="shared" si="38"/>
        <v>145.34368562171613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0">
        <f t="shared" si="11"/>
        <v>469.45014109172814</v>
      </c>
      <c r="CD29" s="60">
        <f ca="1">AVERAGE(OFFSET($CC$3,0,0,'Données projet'!$E$12+1,1))-AVERAGE(OFFSET($H$3,0,0,'Données projet'!$E$12+1,1))</f>
        <v>541.66888676162716</v>
      </c>
      <c r="CE29" s="60">
        <f t="shared" si="40"/>
        <v>294.45557293177131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90.632880000000014</v>
      </c>
      <c r="CV29" s="14">
        <f t="shared" si="41"/>
        <v>24.717798105117861</v>
      </c>
      <c r="CW29" s="22">
        <f t="shared" si="13"/>
        <v>200.90243103308026</v>
      </c>
      <c r="CX29" s="60">
        <f t="shared" si="14"/>
        <v>489.34687547752469</v>
      </c>
      <c r="CY29" s="60">
        <f ca="1">AVERAGE(OFFSET($CX$3,0,0,'Données projet'!$E$13+1,1))-AVERAGE(OFFSET($H$3,0,0,'Données projet'!$E$13+1,1))</f>
        <v>597.75551942969628</v>
      </c>
      <c r="CZ29" s="60">
        <f t="shared" si="42"/>
        <v>322.81767004794284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477.32127040383227</v>
      </c>
      <c r="S30" s="60">
        <f ca="1">AVERAGE(OFFSET($R$3,0,0,'Données projet'!$E$9+1,1))-AVERAGE(OFFSET($H$3,0,0,'Données projet'!$E$9+1,1))</f>
        <v>509.56241660612449</v>
      </c>
      <c r="T30" s="60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0">
        <f t="shared" si="5"/>
        <v>499.37168273097859</v>
      </c>
      <c r="AN30" s="60">
        <f ca="1">AVERAGE(OFFSET($AM$3,0,0,'Données projet'!$E$10+1,1))-AVERAGE(OFFSET($H$3,0,0,'Données projet'!$E$10+1,1))</f>
        <v>565.72091871734051</v>
      </c>
      <c r="AO30" s="60">
        <f t="shared" si="36"/>
        <v>306.61893266146666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3.4358974358974361</v>
      </c>
      <c r="BD30" s="13">
        <f>IF('Données projet'!$A$88&gt;35,BD29+BC30-BL29,IF(A30&lt;'Données projet'!$A$88,$BA$205^A30,IF(A30='Données projet'!$A$88,'Données projet'!$B$88,BD29+BC30-BL29)))</f>
        <v>64.840342684688977</v>
      </c>
      <c r="BE30" s="14">
        <f>BD30*VLOOKUP('Données projet'!$B$11,Paramètres!$A$1:$I$89,3,0)*VLOOKUP('Données projet'!$B$11,Paramètres!$A$1:$I$89,5,0)</f>
        <v>30.345280376434442</v>
      </c>
      <c r="BF30" s="14">
        <f t="shared" si="37"/>
        <v>9.3999990348653313</v>
      </c>
      <c r="BG30" s="22">
        <f t="shared" si="7"/>
        <v>69.223028308013781</v>
      </c>
      <c r="BH30" s="60">
        <f t="shared" si="8"/>
        <v>358.88969497468048</v>
      </c>
      <c r="BI30" s="60">
        <f ca="1">AVERAGE(OFFSET($BH$3,0,0,'Données projet'!$E$11+1,1))-AVERAGE(OFFSET($H$3,0,0,'Données projet'!$E$11+1,1))</f>
        <v>246.64907095367749</v>
      </c>
      <c r="BJ30" s="60">
        <f t="shared" si="38"/>
        <v>145.34368562171613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0">
        <f t="shared" si="11"/>
        <v>489.9284432581693</v>
      </c>
      <c r="CD30" s="60">
        <f ca="1">AVERAGE(OFFSET($CC$3,0,0,'Données projet'!$E$12+1,1))-AVERAGE(OFFSET($H$3,0,0,'Données projet'!$E$12+1,1))</f>
        <v>541.66888676162716</v>
      </c>
      <c r="CE30" s="60">
        <f t="shared" si="40"/>
        <v>294.45557293177131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100.53576000000002</v>
      </c>
      <c r="CV30" s="14">
        <f t="shared" si="41"/>
        <v>27.08959526060206</v>
      </c>
      <c r="CW30" s="22">
        <f t="shared" si="13"/>
        <v>222.28082707888197</v>
      </c>
      <c r="CX30" s="60">
        <f t="shared" si="14"/>
        <v>511.94749374554863</v>
      </c>
      <c r="CY30" s="60">
        <f ca="1">AVERAGE(OFFSET($CX$3,0,0,'Données projet'!$E$13+1,1))-AVERAGE(OFFSET($H$3,0,0,'Données projet'!$E$13+1,1))</f>
        <v>597.75551942969628</v>
      </c>
      <c r="CZ30" s="60">
        <f t="shared" si="42"/>
        <v>322.81767004794284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496.54418197683344</v>
      </c>
      <c r="S31" s="60">
        <f ca="1">AVERAGE(OFFSET($R$3,0,0,'Données projet'!$E$9+1,1))-AVERAGE(OFFSET($H$3,0,0,'Données projet'!$E$9+1,1))</f>
        <v>509.56241660612449</v>
      </c>
      <c r="T31" s="60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0">
        <f t="shared" si="5"/>
        <v>520.71537034842709</v>
      </c>
      <c r="AN31" s="60">
        <f ca="1">AVERAGE(OFFSET($AM$3,0,0,'Données projet'!$E$10+1,1))-AVERAGE(OFFSET($H$3,0,0,'Données projet'!$E$10+1,1))</f>
        <v>565.72091871734051</v>
      </c>
      <c r="AO31" s="60">
        <f t="shared" si="36"/>
        <v>306.61893266146666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3.4358974358974361</v>
      </c>
      <c r="BD31" s="13">
        <f>IF('Données projet'!$A$88&gt;35,BD30+BC31-BL30,IF(A31&lt;'Données projet'!$A$88,$BA$205^A31,IF(A31='Données projet'!$A$88,'Données projet'!$B$88,BD30+BC31-BL30)))</f>
        <v>75.674695651659619</v>
      </c>
      <c r="BE31" s="14">
        <f>BD31*VLOOKUP('Données projet'!$B$11,Paramètres!$A$1:$I$89,3,0)*VLOOKUP('Données projet'!$B$11,Paramètres!$A$1:$I$89,5,0)</f>
        <v>35.415757564976701</v>
      </c>
      <c r="BF31" s="14">
        <f t="shared" si="37"/>
        <v>10.775120214299996</v>
      </c>
      <c r="BG31" s="22">
        <f t="shared" si="7"/>
        <v>80.449112132240245</v>
      </c>
      <c r="BH31" s="60">
        <f t="shared" si="8"/>
        <v>371.33800102112912</v>
      </c>
      <c r="BI31" s="60">
        <f ca="1">AVERAGE(OFFSET($BH$3,0,0,'Données projet'!$E$11+1,1))-AVERAGE(OFFSET($H$3,0,0,'Données projet'!$E$11+1,1))</f>
        <v>246.64907095367749</v>
      </c>
      <c r="BJ31" s="60">
        <f t="shared" si="38"/>
        <v>145.34368562171613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0">
        <f t="shared" si="11"/>
        <v>510.36382730222039</v>
      </c>
      <c r="CD31" s="60">
        <f ca="1">AVERAGE(OFFSET($CC$3,0,0,'Données projet'!$E$12+1,1))-AVERAGE(OFFSET($H$3,0,0,'Données projet'!$E$12+1,1))</f>
        <v>541.66888676162716</v>
      </c>
      <c r="CE31" s="60">
        <f t="shared" si="40"/>
        <v>294.45557293177131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110.43864000000002</v>
      </c>
      <c r="CV31" s="14">
        <f t="shared" si="41"/>
        <v>29.434307628523538</v>
      </c>
      <c r="CW31" s="22">
        <f t="shared" si="13"/>
        <v>243.61205045301185</v>
      </c>
      <c r="CX31" s="60">
        <f t="shared" si="14"/>
        <v>534.50093934190068</v>
      </c>
      <c r="CY31" s="60">
        <f ca="1">AVERAGE(OFFSET($CX$3,0,0,'Données projet'!$E$13+1,1))-AVERAGE(OFFSET($H$3,0,0,'Données projet'!$E$13+1,1))</f>
        <v>597.75551942969628</v>
      </c>
      <c r="CZ31" s="60">
        <f t="shared" si="42"/>
        <v>322.81767004794284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515.73067222186751</v>
      </c>
      <c r="S32" s="60">
        <f ca="1">AVERAGE(OFFSET($R$3,0,0,'Données projet'!$E$9+1,1))-AVERAGE(OFFSET($H$3,0,0,'Données projet'!$E$9+1,1))</f>
        <v>509.56241660612449</v>
      </c>
      <c r="T32" s="60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0">
        <f t="shared" si="5"/>
        <v>542.01877874665877</v>
      </c>
      <c r="AN32" s="60">
        <f ca="1">AVERAGE(OFFSET($AM$3,0,0,'Données projet'!$E$10+1,1))-AVERAGE(OFFSET($H$3,0,0,'Données projet'!$E$10+1,1))</f>
        <v>565.72091871734051</v>
      </c>
      <c r="AO32" s="60">
        <f t="shared" si="36"/>
        <v>306.61893266146666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3.4358974358974361</v>
      </c>
      <c r="BD32" s="13">
        <f>IF('Données projet'!$A$88&gt;35,BD31+BC32-BL31,IF(A32&lt;'Données projet'!$A$88,$BA$205^A32,IF(A32='Données projet'!$A$88,'Données projet'!$B$88,BD31+BC32-BL31)))</f>
        <v>88.319390750591623</v>
      </c>
      <c r="BE32" s="14">
        <f>BD32*VLOOKUP('Données projet'!$B$11,Paramètres!$A$1:$I$89,3,0)*VLOOKUP('Données projet'!$B$11,Paramètres!$A$1:$I$89,5,0)</f>
        <v>41.333474871276877</v>
      </c>
      <c r="BF32" s="14">
        <f t="shared" si="37"/>
        <v>12.351407186530604</v>
      </c>
      <c r="BG32" s="22">
        <f t="shared" si="7"/>
        <v>93.501169584014704</v>
      </c>
      <c r="BH32" s="60">
        <f t="shared" si="8"/>
        <v>385.61228069512583</v>
      </c>
      <c r="BI32" s="60">
        <f ca="1">AVERAGE(OFFSET($BH$3,0,0,'Données projet'!$E$11+1,1))-AVERAGE(OFFSET($H$3,0,0,'Données projet'!$E$11+1,1))</f>
        <v>246.64907095367749</v>
      </c>
      <c r="BJ32" s="60">
        <f t="shared" si="38"/>
        <v>145.34368562171613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0">
        <f t="shared" si="11"/>
        <v>530.76057926567933</v>
      </c>
      <c r="CD32" s="60">
        <f ca="1">AVERAGE(OFFSET($CC$3,0,0,'Données projet'!$E$12+1,1))-AVERAGE(OFFSET($H$3,0,0,'Données projet'!$E$12+1,1))</f>
        <v>541.66888676162716</v>
      </c>
      <c r="CE32" s="60">
        <f t="shared" si="40"/>
        <v>294.45557293177131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120.34152000000002</v>
      </c>
      <c r="CV32" s="14">
        <f t="shared" si="41"/>
        <v>31.754640046026051</v>
      </c>
      <c r="CW32" s="22">
        <f t="shared" si="13"/>
        <v>264.90081208016204</v>
      </c>
      <c r="CX32" s="60">
        <f t="shared" si="14"/>
        <v>557.01192319127313</v>
      </c>
      <c r="CY32" s="60">
        <f ca="1">AVERAGE(OFFSET($CX$3,0,0,'Données projet'!$E$13+1,1))-AVERAGE(OFFSET($H$3,0,0,'Données projet'!$E$13+1,1))</f>
        <v>597.75551942969628</v>
      </c>
      <c r="CZ32" s="60">
        <f t="shared" si="42"/>
        <v>322.81767004794284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534.88407898366597</v>
      </c>
      <c r="S33" s="60">
        <f ca="1">AVERAGE(OFFSET($R$3,0,0,'Données projet'!$E$9+1,1))-AVERAGE(OFFSET($H$3,0,0,'Données projet'!$E$9+1,1))</f>
        <v>509.56241660612449</v>
      </c>
      <c r="T33" s="60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0">
        <f t="shared" si="5"/>
        <v>563.28559932813334</v>
      </c>
      <c r="AN33" s="60">
        <f ca="1">AVERAGE(OFFSET($AM$3,0,0,'Données projet'!$E$10+1,1))-AVERAGE(OFFSET($H$3,0,0,'Données projet'!$E$10+1,1))</f>
        <v>565.72091871734051</v>
      </c>
      <c r="AO33" s="60">
        <f t="shared" si="36"/>
        <v>306.61893266146666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103.07692307692308</v>
      </c>
      <c r="BB33" s="13">
        <f>VLOOKUP(A33,'Données projet'!$A$87:$I$107,9,0)</f>
        <v>3.4358974358974361</v>
      </c>
      <c r="BC33" s="13">
        <f t="array" ref="BC33">INDEX(BB:BB,MIN(IF(ISNUMBER(BB33:BB229),ROW(BB33:BB229),"")))</f>
        <v>3.4358974358974361</v>
      </c>
      <c r="BD33" s="13">
        <f>IF('Données projet'!$A$88&gt;35,BD32+BC33-BL32,IF(A33&lt;'Données projet'!$A$88,$BA$205^A33,IF(A33='Données projet'!$A$88,'Données projet'!$B$88,BD32+BC33-BL32)))</f>
        <v>103.07692307692308</v>
      </c>
      <c r="BE33" s="14">
        <f>BD33*VLOOKUP('Données projet'!$B$11,Paramètres!$A$1:$I$89,3,0)*VLOOKUP('Données projet'!$B$11,Paramètres!$A$1:$I$89,5,0)</f>
        <v>48.240000000000009</v>
      </c>
      <c r="BF33" s="14">
        <f t="shared" si="37"/>
        <v>14.15828839524373</v>
      </c>
      <c r="BG33" s="22">
        <f t="shared" si="7"/>
        <v>108.6770189550495</v>
      </c>
      <c r="BH33" s="60">
        <f t="shared" si="8"/>
        <v>402.01035228838282</v>
      </c>
      <c r="BI33" s="60">
        <f ca="1">AVERAGE(OFFSET($BH$3,0,0,'Données projet'!$E$11+1,1))-AVERAGE(OFFSET($H$3,0,0,'Données projet'!$E$11+1,1))</f>
        <v>246.64907095367749</v>
      </c>
      <c r="BJ33" s="60">
        <f t="shared" si="38"/>
        <v>145.34368562171613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0">
        <f t="shared" si="11"/>
        <v>551.122239598438</v>
      </c>
      <c r="CD33" s="60">
        <f ca="1">AVERAGE(OFFSET($CC$3,0,0,'Données projet'!$E$12+1,1))-AVERAGE(OFFSET($H$3,0,0,'Données projet'!$E$12+1,1))</f>
        <v>541.66888676162716</v>
      </c>
      <c r="CE33" s="60">
        <f t="shared" si="40"/>
        <v>294.45557293177131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130.24440000000001</v>
      </c>
      <c r="CV33" s="14">
        <f t="shared" si="41"/>
        <v>34.052826821785409</v>
      </c>
      <c r="CW33" s="22">
        <f t="shared" si="13"/>
        <v>286.15100338127621</v>
      </c>
      <c r="CX33" s="60">
        <f t="shared" si="14"/>
        <v>579.48433671460953</v>
      </c>
      <c r="CY33" s="60">
        <f ca="1">AVERAGE(OFFSET($CX$3,0,0,'Données projet'!$E$13+1,1))-AVERAGE(OFFSET($H$3,0,0,'Données projet'!$E$13+1,1))</f>
        <v>597.75551942969628</v>
      </c>
      <c r="CZ33" s="60">
        <f t="shared" si="42"/>
        <v>322.81767004794284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555.8952725195021</v>
      </c>
      <c r="S34" s="60">
        <f ca="1">AVERAGE(OFFSET($R$3,0,0,'Données projet'!$E$9+1,1))-AVERAGE(OFFSET($H$3,0,0,'Données projet'!$E$9+1,1))</f>
        <v>509.56241660612449</v>
      </c>
      <c r="T34" s="60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133.64520000000005</v>
      </c>
      <c r="AK34" s="14">
        <f t="shared" si="35"/>
        <v>34.837297589797402</v>
      </c>
      <c r="AL34" s="22">
        <f t="shared" si="4"/>
        <v>293.44034996889724</v>
      </c>
      <c r="AM34" s="60">
        <f t="shared" si="5"/>
        <v>586.77368330223055</v>
      </c>
      <c r="AN34" s="60">
        <f ca="1">AVERAGE(OFFSET($AM$3,0,0,'Données projet'!$E$10+1,1))-AVERAGE(OFFSET($H$3,0,0,'Données projet'!$E$10+1,1))</f>
        <v>565.72091871734051</v>
      </c>
      <c r="AO34" s="60">
        <f t="shared" si="36"/>
        <v>306.61893266146666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10.402930402930403</v>
      </c>
      <c r="BD34" s="13">
        <f>IF('Données projet'!$A$88&gt;35,BD33+BC34-BL33,IF(A34&lt;'Données projet'!$A$88,$BA$205^A34,IF(A34='Données projet'!$A$88,'Données projet'!$B$88,BD33+BC34-BL33)))</f>
        <v>113.47985347985349</v>
      </c>
      <c r="BE34" s="14">
        <f>BD34*VLOOKUP('Données projet'!$B$11,Paramètres!$A$1:$I$89,3,0)*VLOOKUP('Données projet'!$B$11,Paramètres!$A$1:$I$89,5,0)</f>
        <v>53.108571428571437</v>
      </c>
      <c r="BF34" s="14">
        <f t="shared" si="37"/>
        <v>15.413722027781299</v>
      </c>
      <c r="BG34" s="22">
        <f t="shared" si="7"/>
        <v>119.34299443648099</v>
      </c>
      <c r="BH34" s="60">
        <f t="shared" si="8"/>
        <v>412.67632776981429</v>
      </c>
      <c r="BI34" s="60">
        <f ca="1">AVERAGE(OFFSET($BH$3,0,0,'Données projet'!$E$11+1,1))-AVERAGE(OFFSET($H$3,0,0,'Données projet'!$E$11+1,1))</f>
        <v>246.64907095367749</v>
      </c>
      <c r="BJ34" s="60">
        <f t="shared" si="38"/>
        <v>145.34368562171613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127.47696000000003</v>
      </c>
      <c r="CA34" s="14">
        <f t="shared" si="39"/>
        <v>33.412695535466739</v>
      </c>
      <c r="CB34" s="22">
        <f t="shared" si="10"/>
        <v>280.21615005760458</v>
      </c>
      <c r="CC34" s="60">
        <f t="shared" si="11"/>
        <v>573.54948339093789</v>
      </c>
      <c r="CD34" s="60">
        <f ca="1">AVERAGE(OFFSET($CC$3,0,0,'Données projet'!$E$12+1,1))-AVERAGE(OFFSET($H$3,0,0,'Données projet'!$E$12+1,1))</f>
        <v>541.66888676162716</v>
      </c>
      <c r="CE34" s="60">
        <f t="shared" si="40"/>
        <v>294.45557293177131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131.80000000000004</v>
      </c>
      <c r="CU34" s="18">
        <f>CT34*VLOOKUP('Données projet'!$B$13,Paramètres!$A$1:$I$89,3,0)*VLOOKUP('Données projet'!$B$13,Paramètres!$A$1:$I$89,5,0)</f>
        <v>141.86952000000005</v>
      </c>
      <c r="CV34" s="14">
        <f t="shared" si="41"/>
        <v>36.724955062927386</v>
      </c>
      <c r="CW34" s="22">
        <f t="shared" si="13"/>
        <v>311.05204406793194</v>
      </c>
      <c r="CX34" s="60">
        <f t="shared" si="14"/>
        <v>604.38537740126526</v>
      </c>
      <c r="CY34" s="60">
        <f ca="1">AVERAGE(OFFSET($CX$3,0,0,'Données projet'!$E$13+1,1))-AVERAGE(OFFSET($H$3,0,0,'Données projet'!$E$13+1,1))</f>
        <v>597.75551942969628</v>
      </c>
      <c r="CZ34" s="60">
        <f t="shared" si="42"/>
        <v>322.81767004794284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576.86852712790665</v>
      </c>
      <c r="S35" s="60">
        <f ca="1">AVERAGE(OFFSET($R$3,0,0,'Données projet'!$E$9+1,1))-AVERAGE(OFFSET($H$3,0,0,'Données projet'!$E$9+1,1))</f>
        <v>509.56241660612449</v>
      </c>
      <c r="T35" s="60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144.59640000000007</v>
      </c>
      <c r="AK35" s="14">
        <f t="shared" si="35"/>
        <v>37.347988348805558</v>
      </c>
      <c r="AL35" s="22">
        <f t="shared" si="4"/>
        <v>316.88647637416977</v>
      </c>
      <c r="AM35" s="60">
        <f t="shared" si="5"/>
        <v>610.21980970750315</v>
      </c>
      <c r="AN35" s="60">
        <f ca="1">AVERAGE(OFFSET($AM$3,0,0,'Données projet'!$E$10+1,1))-AVERAGE(OFFSET($H$3,0,0,'Données projet'!$E$10+1,1))</f>
        <v>565.72091871734051</v>
      </c>
      <c r="AO35" s="60">
        <f t="shared" si="36"/>
        <v>306.61893266146666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10.402930402930403</v>
      </c>
      <c r="BD35" s="13">
        <f>IF('Données projet'!$A$88&gt;35,BD34+BC35-BL34,IF(A35&lt;'Données projet'!$A$88,$BA$205^A35,IF(A35='Données projet'!$A$88,'Données projet'!$B$88,BD34+BC35-BL34)))</f>
        <v>123.8827838827839</v>
      </c>
      <c r="BE35" s="14">
        <f>BD35*VLOOKUP('Données projet'!$B$11,Paramètres!$A$1:$I$89,3,0)*VLOOKUP('Données projet'!$B$11,Paramètres!$A$1:$I$89,5,0)</f>
        <v>57.977142857142866</v>
      </c>
      <c r="BF35" s="14">
        <f t="shared" si="37"/>
        <v>16.655810903261287</v>
      </c>
      <c r="BG35" s="22">
        <f t="shared" si="7"/>
        <v>129.98572779937055</v>
      </c>
      <c r="BH35" s="60">
        <f t="shared" si="8"/>
        <v>423.31906113270384</v>
      </c>
      <c r="BI35" s="60">
        <f ca="1">AVERAGE(OFFSET($BH$3,0,0,'Données projet'!$E$11+1,1))-AVERAGE(OFFSET($H$3,0,0,'Données projet'!$E$11+1,1))</f>
        <v>246.64907095367749</v>
      </c>
      <c r="BJ35" s="60">
        <f t="shared" si="38"/>
        <v>145.34368562171613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137.92272000000006</v>
      </c>
      <c r="CA35" s="14">
        <f t="shared" si="39"/>
        <v>35.82071658526872</v>
      </c>
      <c r="CB35" s="22">
        <f t="shared" si="10"/>
        <v>302.60315205267642</v>
      </c>
      <c r="CC35" s="60">
        <f t="shared" si="11"/>
        <v>595.93648538600974</v>
      </c>
      <c r="CD35" s="60">
        <f ca="1">AVERAGE(OFFSET($CC$3,0,0,'Données projet'!$E$12+1,1))-AVERAGE(OFFSET($H$3,0,0,'Données projet'!$E$12+1,1))</f>
        <v>541.66888676162716</v>
      </c>
      <c r="CE35" s="60">
        <f t="shared" si="40"/>
        <v>294.45557293177131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142.60000000000005</v>
      </c>
      <c r="CU35" s="18">
        <f>CT35*VLOOKUP('Données projet'!$B$13,Paramètres!$A$1:$I$89,3,0)*VLOOKUP('Données projet'!$B$13,Paramètres!$A$1:$I$89,5,0)</f>
        <v>153.49464000000006</v>
      </c>
      <c r="CV35" s="14">
        <f t="shared" si="41"/>
        <v>39.371687492841382</v>
      </c>
      <c r="CW35" s="22">
        <f t="shared" si="13"/>
        <v>335.90885371669884</v>
      </c>
      <c r="CX35" s="60">
        <f t="shared" si="14"/>
        <v>629.24218705003216</v>
      </c>
      <c r="CY35" s="60">
        <f ca="1">AVERAGE(OFFSET($CX$3,0,0,'Données projet'!$E$13+1,1))-AVERAGE(OFFSET($H$3,0,0,'Données projet'!$E$13+1,1))</f>
        <v>597.75551942969628</v>
      </c>
      <c r="CZ35" s="60">
        <f t="shared" si="42"/>
        <v>322.81767004794284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597.80704287706772</v>
      </c>
      <c r="S36" s="60">
        <f ca="1">AVERAGE(OFFSET($R$3,0,0,'Données projet'!$E$9+1,1))-AVERAGE(OFFSET($H$3,0,0,'Données projet'!$E$9+1,1))</f>
        <v>509.56241660612449</v>
      </c>
      <c r="T36" s="60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155.54760000000007</v>
      </c>
      <c r="AK36" s="14">
        <f t="shared" si="35"/>
        <v>39.836620617816237</v>
      </c>
      <c r="AL36" s="22">
        <f t="shared" si="4"/>
        <v>340.2941842426967</v>
      </c>
      <c r="AM36" s="60">
        <f t="shared" si="5"/>
        <v>633.62751757602996</v>
      </c>
      <c r="AN36" s="60">
        <f ca="1">AVERAGE(OFFSET($AM$3,0,0,'Données projet'!$E$10+1,1))-AVERAGE(OFFSET($H$3,0,0,'Données projet'!$E$10+1,1))</f>
        <v>565.72091871734051</v>
      </c>
      <c r="AO36" s="60">
        <f t="shared" si="36"/>
        <v>306.61893266146666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10.402930402930403</v>
      </c>
      <c r="BD36" s="13">
        <f>IF('Données projet'!$A$88&gt;35,BD35+BC36-BL35,IF(A36&lt;'Données projet'!$A$88,$BA$205^A36,IF(A36='Données projet'!$A$88,'Données projet'!$B$88,BD35+BC36-BL35)))</f>
        <v>134.28571428571431</v>
      </c>
      <c r="BE36" s="14">
        <f>BD36*VLOOKUP('Données projet'!$B$11,Paramètres!$A$1:$I$89,3,0)*VLOOKUP('Données projet'!$B$11,Paramètres!$A$1:$I$89,5,0)</f>
        <v>62.845714285714294</v>
      </c>
      <c r="BF36" s="14">
        <f t="shared" si="37"/>
        <v>17.885803038990584</v>
      </c>
      <c r="BG36" s="22">
        <f t="shared" si="7"/>
        <v>140.60739267386097</v>
      </c>
      <c r="BH36" s="60">
        <f t="shared" si="8"/>
        <v>433.94072600719426</v>
      </c>
      <c r="BI36" s="60">
        <f ca="1">AVERAGE(OFFSET($BH$3,0,0,'Données projet'!$E$11+1,1))-AVERAGE(OFFSET($H$3,0,0,'Données projet'!$E$11+1,1))</f>
        <v>246.64907095367749</v>
      </c>
      <c r="BJ36" s="60">
        <f t="shared" si="38"/>
        <v>145.34368562171613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148.36848000000006</v>
      </c>
      <c r="CA36" s="14">
        <f t="shared" si="39"/>
        <v>38.207581183185937</v>
      </c>
      <c r="CB36" s="22">
        <f t="shared" si="10"/>
        <v>324.95330656071559</v>
      </c>
      <c r="CC36" s="60">
        <f t="shared" si="11"/>
        <v>618.2866398940489</v>
      </c>
      <c r="CD36" s="60">
        <f ca="1">AVERAGE(OFFSET($CC$3,0,0,'Données projet'!$E$12+1,1))-AVERAGE(OFFSET($H$3,0,0,'Données projet'!$E$12+1,1))</f>
        <v>541.66888676162716</v>
      </c>
      <c r="CE36" s="60">
        <f t="shared" si="40"/>
        <v>294.45557293177131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153.40000000000006</v>
      </c>
      <c r="CU36" s="18">
        <f>CT36*VLOOKUP('Données projet'!$B$13,Paramètres!$A$1:$I$89,3,0)*VLOOKUP('Données projet'!$B$13,Paramètres!$A$1:$I$89,5,0)</f>
        <v>165.11976000000004</v>
      </c>
      <c r="CV36" s="14">
        <f t="shared" si="41"/>
        <v>41.995166194425131</v>
      </c>
      <c r="CW36" s="22">
        <f t="shared" si="13"/>
        <v>360.72516312195717</v>
      </c>
      <c r="CX36" s="60">
        <f t="shared" si="14"/>
        <v>654.05849645529042</v>
      </c>
      <c r="CY36" s="60">
        <f ca="1">AVERAGE(OFFSET($CX$3,0,0,'Données projet'!$E$13+1,1))-AVERAGE(OFFSET($H$3,0,0,'Données projet'!$E$13+1,1))</f>
        <v>597.75551942969628</v>
      </c>
      <c r="CZ36" s="60">
        <f t="shared" si="42"/>
        <v>322.81767004794284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618.71354371583652</v>
      </c>
      <c r="S37" s="60">
        <f ca="1">AVERAGE(OFFSET($R$3,0,0,'Données projet'!$E$9+1,1))-AVERAGE(OFFSET($H$3,0,0,'Données projet'!$E$9+1,1))</f>
        <v>509.56241660612449</v>
      </c>
      <c r="T37" s="60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166.49880000000007</v>
      </c>
      <c r="AK37" s="14">
        <f t="shared" si="35"/>
        <v>42.304924050589179</v>
      </c>
      <c r="AL37" s="22">
        <f t="shared" si="4"/>
        <v>363.66648605477627</v>
      </c>
      <c r="AM37" s="60">
        <f t="shared" si="5"/>
        <v>656.99981938810959</v>
      </c>
      <c r="AN37" s="60">
        <f ca="1">AVERAGE(OFFSET($AM$3,0,0,'Données projet'!$E$10+1,1))-AVERAGE(OFFSET($H$3,0,0,'Données projet'!$E$10+1,1))</f>
        <v>565.72091871734051</v>
      </c>
      <c r="AO37" s="60">
        <f t="shared" si="36"/>
        <v>306.61893266146666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10.402930402930403</v>
      </c>
      <c r="BD37" s="13">
        <f>IF('Données projet'!$A$88&gt;35,BD36+BC37-BL36,IF(A37&lt;'Données projet'!$A$88,$BA$205^A37,IF(A37='Données projet'!$A$88,'Données projet'!$B$88,BD36+BC37-BL36)))</f>
        <v>144.6886446886447</v>
      </c>
      <c r="BE37" s="14">
        <f>BD37*VLOOKUP('Données projet'!$B$11,Paramètres!$A$1:$I$89,3,0)*VLOOKUP('Données projet'!$B$11,Paramètres!$A$1:$I$89,5,0)</f>
        <v>67.714285714285722</v>
      </c>
      <c r="BF37" s="14">
        <f t="shared" si="37"/>
        <v>19.104742100396511</v>
      </c>
      <c r="BG37" s="22">
        <f t="shared" si="7"/>
        <v>151.20980677723819</v>
      </c>
      <c r="BH37" s="60">
        <f t="shared" si="8"/>
        <v>444.54314011057147</v>
      </c>
      <c r="BI37" s="60">
        <f ca="1">AVERAGE(OFFSET($BH$3,0,0,'Données projet'!$E$11+1,1))-AVERAGE(OFFSET($H$3,0,0,'Données projet'!$E$11+1,1))</f>
        <v>246.64907095367749</v>
      </c>
      <c r="BJ37" s="60">
        <f t="shared" si="38"/>
        <v>145.34368562171613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158.81424000000007</v>
      </c>
      <c r="CA37" s="14">
        <f t="shared" si="39"/>
        <v>40.574948252224658</v>
      </c>
      <c r="CB37" s="22">
        <f t="shared" si="10"/>
        <v>347.26950287262474</v>
      </c>
      <c r="CC37" s="60">
        <f t="shared" si="11"/>
        <v>640.60283620595806</v>
      </c>
      <c r="CD37" s="60">
        <f ca="1">AVERAGE(OFFSET($CC$3,0,0,'Données projet'!$E$12+1,1))-AVERAGE(OFFSET($H$3,0,0,'Données projet'!$E$12+1,1))</f>
        <v>541.66888676162716</v>
      </c>
      <c r="CE37" s="60">
        <f t="shared" si="40"/>
        <v>294.45557293177131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164.20000000000007</v>
      </c>
      <c r="CU37" s="18">
        <f>CT37*VLOOKUP('Données projet'!$B$13,Paramètres!$A$1:$I$89,3,0)*VLOOKUP('Données projet'!$B$13,Paramètres!$A$1:$I$89,5,0)</f>
        <v>176.74488000000008</v>
      </c>
      <c r="CV37" s="14">
        <f t="shared" si="41"/>
        <v>44.597214542653063</v>
      </c>
      <c r="CW37" s="22">
        <f t="shared" si="13"/>
        <v>385.50414799512083</v>
      </c>
      <c r="CX37" s="60">
        <f t="shared" si="14"/>
        <v>678.83748132845415</v>
      </c>
      <c r="CY37" s="60">
        <f ca="1">AVERAGE(OFFSET($CX$3,0,0,'Données projet'!$E$13+1,1))-AVERAGE(OFFSET($H$3,0,0,'Données projet'!$E$13+1,1))</f>
        <v>597.75551942969628</v>
      </c>
      <c r="CZ37" s="60">
        <f t="shared" si="42"/>
        <v>322.81767004794284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639.59037499870374</v>
      </c>
      <c r="S38" s="60">
        <f ca="1">AVERAGE(OFFSET($R$3,0,0,'Données projet'!$E$9+1,1))-AVERAGE(OFFSET($H$3,0,0,'Données projet'!$E$9+1,1))</f>
        <v>509.56241660612449</v>
      </c>
      <c r="T38" s="60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177.4500000000001</v>
      </c>
      <c r="AK38" s="14">
        <f t="shared" si="35"/>
        <v>44.754387900936791</v>
      </c>
      <c r="AL38" s="22">
        <f t="shared" si="4"/>
        <v>387.00597559413177</v>
      </c>
      <c r="AM38" s="60">
        <f t="shared" si="5"/>
        <v>680.33930892746503</v>
      </c>
      <c r="AN38" s="60">
        <f ca="1">AVERAGE(OFFSET($AM$3,0,0,'Données projet'!$E$10+1,1))-AVERAGE(OFFSET($H$3,0,0,'Données projet'!$E$10+1,1))</f>
        <v>565.72091871734051</v>
      </c>
      <c r="AO38" s="60">
        <f t="shared" si="36"/>
        <v>306.61893266146666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10.402930402930403</v>
      </c>
      <c r="BD38" s="13">
        <f>IF('Données projet'!$A$88&gt;35,BD37+BC38-BL37,IF(A38&lt;'Données projet'!$A$88,$BA$205^A38,IF(A38='Données projet'!$A$88,'Données projet'!$B$88,BD37+BC38-BL37)))</f>
        <v>155.09157509157509</v>
      </c>
      <c r="BE38" s="14">
        <f>BD38*VLOOKUP('Données projet'!$B$11,Paramètres!$A$1:$I$89,3,0)*VLOOKUP('Données projet'!$B$11,Paramètres!$A$1:$I$89,5,0)</f>
        <v>72.582857142857151</v>
      </c>
      <c r="BF38" s="14">
        <f t="shared" si="37"/>
        <v>20.31351317084026</v>
      </c>
      <c r="BG38" s="22">
        <f t="shared" si="7"/>
        <v>161.79451162968965</v>
      </c>
      <c r="BH38" s="60">
        <f t="shared" si="8"/>
        <v>455.12784496302299</v>
      </c>
      <c r="BI38" s="60">
        <f ca="1">AVERAGE(OFFSET($BH$3,0,0,'Données projet'!$E$11+1,1))-AVERAGE(OFFSET($H$3,0,0,'Données projet'!$E$11+1,1))</f>
        <v>246.64907095367749</v>
      </c>
      <c r="BJ38" s="60">
        <f t="shared" si="38"/>
        <v>145.34368562171613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169.2600000000001</v>
      </c>
      <c r="CA38" s="14">
        <f t="shared" si="39"/>
        <v>42.924246146122314</v>
      </c>
      <c r="CB38" s="22">
        <f t="shared" si="10"/>
        <v>369.55422870449644</v>
      </c>
      <c r="CC38" s="60">
        <f t="shared" si="11"/>
        <v>662.88756203782975</v>
      </c>
      <c r="CD38" s="60">
        <f ca="1">AVERAGE(OFFSET($CC$3,0,0,'Données projet'!$E$12+1,1))-AVERAGE(OFFSET($H$3,0,0,'Données projet'!$E$12+1,1))</f>
        <v>541.66888676162716</v>
      </c>
      <c r="CE38" s="60">
        <f t="shared" si="40"/>
        <v>294.45557293177131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175.00000000000009</v>
      </c>
      <c r="CU38" s="18">
        <f>CT38*VLOOKUP('Données projet'!$B$13,Paramètres!$A$1:$I$89,3,0)*VLOOKUP('Données projet'!$B$13,Paramètres!$A$1:$I$89,5,0)</f>
        <v>188.37000000000006</v>
      </c>
      <c r="CV38" s="14">
        <f t="shared" si="41"/>
        <v>47.179402486491298</v>
      </c>
      <c r="CW38" s="22">
        <f t="shared" si="13"/>
        <v>410.2485426639725</v>
      </c>
      <c r="CX38" s="60">
        <f t="shared" si="14"/>
        <v>703.58187599730581</v>
      </c>
      <c r="CY38" s="60">
        <f ca="1">AVERAGE(OFFSET($CX$3,0,0,'Données projet'!$E$13+1,1))-AVERAGE(OFFSET($H$3,0,0,'Données projet'!$E$13+1,1))</f>
        <v>597.75551942969628</v>
      </c>
      <c r="CZ38" s="60">
        <f t="shared" si="42"/>
        <v>322.81767004794284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552.78498149130326</v>
      </c>
      <c r="S39" s="60">
        <f ca="1">AVERAGE(OFFSET($R$3,0,0,'Données projet'!$E$9+1,1))-AVERAGE(OFFSET($H$3,0,0,'Données projet'!$E$9+1,1))</f>
        <v>509.56241660612449</v>
      </c>
      <c r="T39" s="60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0">
        <f t="shared" si="5"/>
        <v>583.29670806273748</v>
      </c>
      <c r="AN39" s="60">
        <f ca="1">AVERAGE(OFFSET($AM$3,0,0,'Données projet'!$E$10+1,1))-AVERAGE(OFFSET($H$3,0,0,'Données projet'!$E$10+1,1))</f>
        <v>565.72091871734051</v>
      </c>
      <c r="AO39" s="60">
        <f t="shared" si="36"/>
        <v>306.61893266146666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10.402930402930403</v>
      </c>
      <c r="BD39" s="13">
        <f>IF('Données projet'!$A$88&gt;35,BD38+BC39-BL38,IF(A39&lt;'Données projet'!$A$88,$BA$205^A39,IF(A39='Données projet'!$A$88,'Données projet'!$B$88,BD38+BC39-BL38)))</f>
        <v>165.49450549450549</v>
      </c>
      <c r="BE39" s="14">
        <f>BD39*VLOOKUP('Données projet'!$B$11,Paramètres!$A$1:$I$89,3,0)*VLOOKUP('Données projet'!$B$11,Paramètres!$A$1:$I$89,5,0)</f>
        <v>77.451428571428565</v>
      </c>
      <c r="BF39" s="14">
        <f t="shared" si="37"/>
        <v>21.512875879677669</v>
      </c>
      <c r="BG39" s="22">
        <f t="shared" si="7"/>
        <v>172.36283025234334</v>
      </c>
      <c r="BH39" s="60">
        <f t="shared" si="8"/>
        <v>465.69616358567669</v>
      </c>
      <c r="BI39" s="60">
        <f ca="1">AVERAGE(OFFSET($BH$3,0,0,'Données projet'!$E$11+1,1))-AVERAGE(OFFSET($H$3,0,0,'Données projet'!$E$11+1,1))</f>
        <v>246.64907095367749</v>
      </c>
      <c r="BJ39" s="60">
        <f t="shared" si="38"/>
        <v>145.34368562171613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125.92944000000007</v>
      </c>
      <c r="CA39" s="14">
        <f t="shared" si="39"/>
        <v>33.054038034052077</v>
      </c>
      <c r="CB39" s="22">
        <f t="shared" si="10"/>
        <v>276.89622424264081</v>
      </c>
      <c r="CC39" s="60">
        <f t="shared" si="11"/>
        <v>570.22955757597413</v>
      </c>
      <c r="CD39" s="60">
        <f ca="1">AVERAGE(OFFSET($CC$3,0,0,'Données projet'!$E$12+1,1))-AVERAGE(OFFSET($H$3,0,0,'Données projet'!$E$12+1,1))</f>
        <v>541.66888676162716</v>
      </c>
      <c r="CE39" s="60">
        <f t="shared" si="40"/>
        <v>294.45557293177131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130.20000000000007</v>
      </c>
      <c r="CU39" s="18">
        <f>CT39*VLOOKUP('Données projet'!$B$13,Paramètres!$A$1:$I$89,3,0)*VLOOKUP('Données projet'!$B$13,Paramètres!$A$1:$I$89,5,0)</f>
        <v>140.14728000000008</v>
      </c>
      <c r="CV39" s="14">
        <f t="shared" si="41"/>
        <v>36.330743209877284</v>
      </c>
      <c r="CW39" s="22">
        <f t="shared" si="13"/>
        <v>307.36589042386976</v>
      </c>
      <c r="CX39" s="60">
        <f t="shared" si="14"/>
        <v>600.69922375720307</v>
      </c>
      <c r="CY39" s="60">
        <f ca="1">AVERAGE(OFFSET($CX$3,0,0,'Données projet'!$E$13+1,1))-AVERAGE(OFFSET($H$3,0,0,'Données projet'!$E$13+1,1))</f>
        <v>597.75551942969628</v>
      </c>
      <c r="CZ39" s="60">
        <f t="shared" si="42"/>
        <v>322.81767004794284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574.53993500762533</v>
      </c>
      <c r="S40" s="60">
        <f ca="1">AVERAGE(OFFSET($R$3,0,0,'Données projet'!$E$9+1,1))-AVERAGE(OFFSET($H$3,0,0,'Données projet'!$E$9+1,1))</f>
        <v>509.56241660612449</v>
      </c>
      <c r="T40" s="60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143.37960000000007</v>
      </c>
      <c r="AK40" s="14">
        <f t="shared" si="35"/>
        <v>37.070146308317504</v>
      </c>
      <c r="AL40" s="22">
        <f t="shared" si="4"/>
        <v>314.28330815365308</v>
      </c>
      <c r="AM40" s="60">
        <f t="shared" si="5"/>
        <v>607.6166414869864</v>
      </c>
      <c r="AN40" s="60">
        <f ca="1">AVERAGE(OFFSET($AM$3,0,0,'Données projet'!$E$10+1,1))-AVERAGE(OFFSET($H$3,0,0,'Données projet'!$E$10+1,1))</f>
        <v>565.72091871734051</v>
      </c>
      <c r="AO40" s="60">
        <f t="shared" si="36"/>
        <v>306.61893266146666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10.402930402930403</v>
      </c>
      <c r="BD40" s="13">
        <f>IF('Données projet'!$A$88&gt;35,BD39+BC40-BL39,IF(A40&lt;'Données projet'!$A$88,$BA$205^A40,IF(A40='Données projet'!$A$88,'Données projet'!$B$88,BD39+BC40-BL39)))</f>
        <v>175.89743589743588</v>
      </c>
      <c r="BE40" s="14">
        <f>BD40*VLOOKUP('Données projet'!$B$11,Paramètres!$A$1:$I$89,3,0)*VLOOKUP('Données projet'!$B$11,Paramètres!$A$1:$I$89,5,0)</f>
        <v>82.32</v>
      </c>
      <c r="BF40" s="14">
        <f t="shared" si="37"/>
        <v>22.703488958112253</v>
      </c>
      <c r="BG40" s="22">
        <f t="shared" si="7"/>
        <v>182.91590993537883</v>
      </c>
      <c r="BH40" s="60">
        <f t="shared" si="8"/>
        <v>476.24924326871212</v>
      </c>
      <c r="BI40" s="60">
        <f ca="1">AVERAGE(OFFSET($BH$3,0,0,'Données projet'!$E$11+1,1))-AVERAGE(OFFSET($H$3,0,0,'Données projet'!$E$11+1,1))</f>
        <v>246.64907095367749</v>
      </c>
      <c r="BJ40" s="60">
        <f t="shared" si="38"/>
        <v>145.34368562171613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136.76208000000005</v>
      </c>
      <c r="CA40" s="14">
        <f t="shared" si="39"/>
        <v>35.554236342883392</v>
      </c>
      <c r="CB40" s="22">
        <f t="shared" si="10"/>
        <v>300.11758429718867</v>
      </c>
      <c r="CC40" s="60">
        <f t="shared" si="11"/>
        <v>593.45091763052199</v>
      </c>
      <c r="CD40" s="60">
        <f ca="1">AVERAGE(OFFSET($CC$3,0,0,'Données projet'!$E$12+1,1))-AVERAGE(OFFSET($H$3,0,0,'Données projet'!$E$12+1,1))</f>
        <v>541.66888676162716</v>
      </c>
      <c r="CE40" s="60">
        <f t="shared" si="40"/>
        <v>294.45557293177131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141.40000000000006</v>
      </c>
      <c r="CU40" s="18">
        <f>CT40*VLOOKUP('Données projet'!$B$13,Paramètres!$A$1:$I$89,3,0)*VLOOKUP('Données projet'!$B$13,Paramètres!$A$1:$I$89,5,0)</f>
        <v>152.20296000000005</v>
      </c>
      <c r="CV40" s="14">
        <f t="shared" si="41"/>
        <v>39.078790593326879</v>
      </c>
      <c r="CW40" s="22">
        <f t="shared" si="13"/>
        <v>333.1490489500444</v>
      </c>
      <c r="CX40" s="60">
        <f t="shared" si="14"/>
        <v>626.48238228337777</v>
      </c>
      <c r="CY40" s="60">
        <f ca="1">AVERAGE(OFFSET($CX$3,0,0,'Données projet'!$E$13+1,1))-AVERAGE(OFFSET($H$3,0,0,'Données projet'!$E$13+1,1))</f>
        <v>597.75551942969628</v>
      </c>
      <c r="CZ40" s="60">
        <f t="shared" si="42"/>
        <v>322.81767004794284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596.25717061705507</v>
      </c>
      <c r="S41" s="60">
        <f ca="1">AVERAGE(OFFSET($R$3,0,0,'Données projet'!$E$9+1,1))-AVERAGE(OFFSET($H$3,0,0,'Données projet'!$E$9+1,1))</f>
        <v>509.56241660612449</v>
      </c>
      <c r="T41" s="60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154.73640000000006</v>
      </c>
      <c r="AK41" s="14">
        <f t="shared" si="35"/>
        <v>39.652994320183701</v>
      </c>
      <c r="AL41" s="22">
        <f t="shared" si="4"/>
        <v>338.56152844098671</v>
      </c>
      <c r="AM41" s="60">
        <f t="shared" si="5"/>
        <v>631.89486177432002</v>
      </c>
      <c r="AN41" s="60">
        <f ca="1">AVERAGE(OFFSET($AM$3,0,0,'Données projet'!$E$10+1,1))-AVERAGE(OFFSET($H$3,0,0,'Données projet'!$E$10+1,1))</f>
        <v>565.72091871734051</v>
      </c>
      <c r="AO41" s="60">
        <f t="shared" si="36"/>
        <v>306.61893266146666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10.402930402930403</v>
      </c>
      <c r="BD41" s="13">
        <f>IF('Données projet'!$A$88&gt;35,BD40+BC41-BL40,IF(A41&lt;'Données projet'!$A$88,$BA$205^A41,IF(A41='Données projet'!$A$88,'Données projet'!$B$88,BD40+BC41-BL40)))</f>
        <v>186.30036630036628</v>
      </c>
      <c r="BE41" s="14">
        <f>BD41*VLOOKUP('Données projet'!$B$11,Paramètres!$A$1:$I$89,3,0)*VLOOKUP('Données projet'!$B$11,Paramètres!$A$1:$I$89,5,0)</f>
        <v>87.188571428571422</v>
      </c>
      <c r="BF41" s="14">
        <f t="shared" si="37"/>
        <v>23.885928818198035</v>
      </c>
      <c r="BG41" s="22">
        <f t="shared" si="7"/>
        <v>193.45475459645681</v>
      </c>
      <c r="BH41" s="60">
        <f t="shared" si="8"/>
        <v>486.78808792979009</v>
      </c>
      <c r="BI41" s="60">
        <f ca="1">AVERAGE(OFFSET($BH$3,0,0,'Données projet'!$E$11+1,1))-AVERAGE(OFFSET($H$3,0,0,'Données projet'!$E$11+1,1))</f>
        <v>246.64907095367749</v>
      </c>
      <c r="BJ41" s="60">
        <f t="shared" si="38"/>
        <v>145.34368562171613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147.59472000000005</v>
      </c>
      <c r="CA41" s="14">
        <f t="shared" si="39"/>
        <v>38.031463918082679</v>
      </c>
      <c r="CB41" s="22">
        <f t="shared" si="10"/>
        <v>323.29893699066071</v>
      </c>
      <c r="CC41" s="60">
        <f t="shared" si="11"/>
        <v>616.63227032399402</v>
      </c>
      <c r="CD41" s="60">
        <f ca="1">AVERAGE(OFFSET($CC$3,0,0,'Données projet'!$E$12+1,1))-AVERAGE(OFFSET($H$3,0,0,'Données projet'!$E$12+1,1))</f>
        <v>541.66888676162716</v>
      </c>
      <c r="CE41" s="60">
        <f t="shared" si="40"/>
        <v>294.45557293177131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152.60000000000005</v>
      </c>
      <c r="CU41" s="18">
        <f>CT41*VLOOKUP('Données projet'!$B$13,Paramètres!$A$1:$I$89,3,0)*VLOOKUP('Données projet'!$B$13,Paramètres!$A$1:$I$89,5,0)</f>
        <v>164.25864000000004</v>
      </c>
      <c r="CV41" s="14">
        <f t="shared" si="41"/>
        <v>41.80159011374478</v>
      </c>
      <c r="CW41" s="22">
        <f t="shared" si="13"/>
        <v>358.88823411477216</v>
      </c>
      <c r="CX41" s="60">
        <f t="shared" si="14"/>
        <v>652.22156744810547</v>
      </c>
      <c r="CY41" s="60">
        <f ca="1">AVERAGE(OFFSET($CX$3,0,0,'Données projet'!$E$13+1,1))-AVERAGE(OFFSET($H$3,0,0,'Données projet'!$E$13+1,1))</f>
        <v>597.75551942969628</v>
      </c>
      <c r="CZ41" s="60">
        <f t="shared" si="42"/>
        <v>322.81767004794284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617.93977141159837</v>
      </c>
      <c r="S42" s="60">
        <f ca="1">AVERAGE(OFFSET($R$3,0,0,'Données projet'!$E$9+1,1))-AVERAGE(OFFSET($H$3,0,0,'Données projet'!$E$9+1,1))</f>
        <v>509.56241660612449</v>
      </c>
      <c r="T42" s="60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166.09320000000005</v>
      </c>
      <c r="AK42" s="14">
        <f t="shared" si="35"/>
        <v>42.213849908165905</v>
      </c>
      <c r="AL42" s="22">
        <f t="shared" si="4"/>
        <v>362.80144525672239</v>
      </c>
      <c r="AM42" s="60">
        <f t="shared" si="5"/>
        <v>656.1347785900557</v>
      </c>
      <c r="AN42" s="60">
        <f ca="1">AVERAGE(OFFSET($AM$3,0,0,'Données projet'!$E$10+1,1))-AVERAGE(OFFSET($H$3,0,0,'Données projet'!$E$10+1,1))</f>
        <v>565.72091871734051</v>
      </c>
      <c r="AO42" s="60">
        <f t="shared" si="36"/>
        <v>306.61893266146666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10.402930402930403</v>
      </c>
      <c r="BD42" s="13">
        <f>IF('Données projet'!$A$88&gt;35,BD41+BC42-BL41,IF(A42&lt;'Données projet'!$A$88,$BA$205^A42,IF(A42='Données projet'!$A$88,'Données projet'!$B$88,BD41+BC42-BL41)))</f>
        <v>196.70329670329667</v>
      </c>
      <c r="BE42" s="14">
        <f>BD42*VLOOKUP('Données projet'!$B$11,Paramètres!$A$1:$I$89,3,0)*VLOOKUP('Données projet'!$B$11,Paramètres!$A$1:$I$89,5,0)</f>
        <v>92.05714285714285</v>
      </c>
      <c r="BF42" s="14">
        <f t="shared" si="37"/>
        <v>25.060703863036977</v>
      </c>
      <c r="BG42" s="22">
        <f t="shared" si="7"/>
        <v>203.9802497043132</v>
      </c>
      <c r="BH42" s="60">
        <f t="shared" si="8"/>
        <v>497.31358303764648</v>
      </c>
      <c r="BI42" s="60">
        <f ca="1">AVERAGE(OFFSET($BH$3,0,0,'Données projet'!$E$11+1,1))-AVERAGE(OFFSET($H$3,0,0,'Données projet'!$E$11+1,1))</f>
        <v>246.64907095367749</v>
      </c>
      <c r="BJ42" s="60">
        <f t="shared" si="38"/>
        <v>145.34368562171613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158.42736000000005</v>
      </c>
      <c r="CA42" s="14">
        <f t="shared" si="39"/>
        <v>40.487598405868248</v>
      </c>
      <c r="CB42" s="22">
        <f t="shared" si="10"/>
        <v>346.44355255688725</v>
      </c>
      <c r="CC42" s="60">
        <f t="shared" si="11"/>
        <v>639.77688589022057</v>
      </c>
      <c r="CD42" s="60">
        <f ca="1">AVERAGE(OFFSET($CC$3,0,0,'Données projet'!$E$12+1,1))-AVERAGE(OFFSET($H$3,0,0,'Données projet'!$E$12+1,1))</f>
        <v>541.66888676162716</v>
      </c>
      <c r="CE42" s="60">
        <f t="shared" si="40"/>
        <v>294.45557293177131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163.80000000000004</v>
      </c>
      <c r="CU42" s="18">
        <f>CT42*VLOOKUP('Données projet'!$B$13,Paramètres!$A$1:$I$89,3,0)*VLOOKUP('Données projet'!$B$13,Paramètres!$A$1:$I$89,5,0)</f>
        <v>176.31432000000004</v>
      </c>
      <c r="CV42" s="14">
        <f t="shared" si="41"/>
        <v>44.501205551735552</v>
      </c>
      <c r="CW42" s="22">
        <f t="shared" si="13"/>
        <v>384.58704033593949</v>
      </c>
      <c r="CX42" s="60">
        <f t="shared" si="14"/>
        <v>677.92037366927275</v>
      </c>
      <c r="CY42" s="60">
        <f ca="1">AVERAGE(OFFSET($CX$3,0,0,'Données projet'!$E$13+1,1))-AVERAGE(OFFSET($H$3,0,0,'Données projet'!$E$13+1,1))</f>
        <v>597.75551942969628</v>
      </c>
      <c r="CZ42" s="60">
        <f t="shared" si="42"/>
        <v>322.81767004794284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639.59037499870374</v>
      </c>
      <c r="S43" s="60">
        <f ca="1">AVERAGE(OFFSET($R$3,0,0,'Données projet'!$E$9+1,1))-AVERAGE(OFFSET($H$3,0,0,'Données projet'!$E$9+1,1))</f>
        <v>509.56241660612449</v>
      </c>
      <c r="T43" s="60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177.45000000000005</v>
      </c>
      <c r="AK43" s="14">
        <f t="shared" si="35"/>
        <v>44.754387900936791</v>
      </c>
      <c r="AL43" s="22">
        <f t="shared" si="4"/>
        <v>387.00597559413171</v>
      </c>
      <c r="AM43" s="60">
        <f t="shared" si="5"/>
        <v>680.33930892746503</v>
      </c>
      <c r="AN43" s="60">
        <f ca="1">AVERAGE(OFFSET($AM$3,0,0,'Données projet'!$E$10+1,1))-AVERAGE(OFFSET($H$3,0,0,'Données projet'!$E$10+1,1))</f>
        <v>565.72091871734051</v>
      </c>
      <c r="AO43" s="60">
        <f t="shared" si="36"/>
        <v>306.61893266146666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10.402930402930403</v>
      </c>
      <c r="BD43" s="13">
        <f>IF('Données projet'!$A$88&gt;35,BD42+BC43-BL42,IF(A43&lt;'Données projet'!$A$88,$BA$205^A43,IF(A43='Données projet'!$A$88,'Données projet'!$B$88,BD42+BC43-BL42)))</f>
        <v>207.10622710622707</v>
      </c>
      <c r="BE43" s="14">
        <f>BD43*VLOOKUP('Données projet'!$B$11,Paramètres!$A$1:$I$89,3,0)*VLOOKUP('Données projet'!$B$11,Paramètres!$A$1:$I$89,5,0)</f>
        <v>96.925714285714264</v>
      </c>
      <c r="BF43" s="14">
        <f t="shared" si="37"/>
        <v>26.228265683321183</v>
      </c>
      <c r="BG43" s="22">
        <f t="shared" si="7"/>
        <v>214.49318177940339</v>
      </c>
      <c r="BH43" s="60">
        <f t="shared" si="8"/>
        <v>507.82651511273673</v>
      </c>
      <c r="BI43" s="60">
        <f ca="1">AVERAGE(OFFSET($BH$3,0,0,'Données projet'!$E$11+1,1))-AVERAGE(OFFSET($H$3,0,0,'Données projet'!$E$11+1,1))</f>
        <v>246.64907095367749</v>
      </c>
      <c r="BJ43" s="60">
        <f t="shared" si="38"/>
        <v>145.34368562171613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0">
        <f t="shared" si="11"/>
        <v>662.88756203782964</v>
      </c>
      <c r="CD43" s="60">
        <f ca="1">AVERAGE(OFFSET($CC$3,0,0,'Données projet'!$E$12+1,1))-AVERAGE(OFFSET($H$3,0,0,'Données projet'!$E$12+1,1))</f>
        <v>541.66888676162716</v>
      </c>
      <c r="CE43" s="60">
        <f t="shared" si="40"/>
        <v>294.45557293177131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175.00000000000003</v>
      </c>
      <c r="CU43" s="18">
        <f>CT43*VLOOKUP('Données projet'!$B$13,Paramètres!$A$1:$I$89,3,0)*VLOOKUP('Données projet'!$B$13,Paramètres!$A$1:$I$89,5,0)</f>
        <v>188.37000000000003</v>
      </c>
      <c r="CV43" s="14">
        <f t="shared" si="41"/>
        <v>47.179402486491298</v>
      </c>
      <c r="CW43" s="22">
        <f t="shared" si="13"/>
        <v>410.24854266397239</v>
      </c>
      <c r="CX43" s="60">
        <f t="shared" si="14"/>
        <v>703.5818759973057</v>
      </c>
      <c r="CY43" s="60">
        <f ca="1">AVERAGE(OFFSET($CX$3,0,0,'Données projet'!$E$13+1,1))-AVERAGE(OFFSET($H$3,0,0,'Données projet'!$E$13+1,1))</f>
        <v>597.75551942969628</v>
      </c>
      <c r="CZ43" s="60">
        <f t="shared" si="42"/>
        <v>322.81767004794284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661.59709205070442</v>
      </c>
      <c r="S44" s="60">
        <f ca="1">AVERAGE(OFFSET($R$3,0,0,'Données projet'!$E$9+1,1))-AVERAGE(OFFSET($H$3,0,0,'Données projet'!$E$9+1,1))</f>
        <v>509.56241660612449</v>
      </c>
      <c r="T44" s="60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189.00960000000003</v>
      </c>
      <c r="AK44" s="14">
        <f t="shared" si="35"/>
        <v>47.320922915876508</v>
      </c>
      <c r="AL44" s="22">
        <f t="shared" si="4"/>
        <v>411.60899407848501</v>
      </c>
      <c r="AM44" s="60">
        <f t="shared" si="5"/>
        <v>704.94232741181827</v>
      </c>
      <c r="AN44" s="60">
        <f ca="1">AVERAGE(OFFSET($AM$3,0,0,'Données projet'!$E$10+1,1))-AVERAGE(OFFSET($H$3,0,0,'Données projet'!$E$10+1,1))</f>
        <v>565.72091871734051</v>
      </c>
      <c r="AO44" s="60">
        <f t="shared" si="36"/>
        <v>306.61893266146666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10.402930402930403</v>
      </c>
      <c r="BD44" s="13">
        <f>IF('Données projet'!$A$88&gt;35,BD43+BC44-BL43,IF(A44&lt;'Données projet'!$A$88,$BA$205^A44,IF(A44='Données projet'!$A$88,'Données projet'!$B$88,BD43+BC44-BL43)))</f>
        <v>217.50915750915746</v>
      </c>
      <c r="BE44" s="14">
        <f>BD44*VLOOKUP('Données projet'!$B$11,Paramètres!$A$1:$I$89,3,0)*VLOOKUP('Données projet'!$B$11,Paramètres!$A$1:$I$89,5,0)</f>
        <v>101.79428571428569</v>
      </c>
      <c r="BF44" s="14">
        <f t="shared" si="37"/>
        <v>27.389017940319118</v>
      </c>
      <c r="BG44" s="22">
        <f t="shared" si="7"/>
        <v>224.99425386510336</v>
      </c>
      <c r="BH44" s="60">
        <f t="shared" si="8"/>
        <v>518.32758719843673</v>
      </c>
      <c r="BI44" s="60">
        <f ca="1">AVERAGE(OFFSET($BH$3,0,0,'Données projet'!$E$11+1,1))-AVERAGE(OFFSET($H$3,0,0,'Données projet'!$E$11+1,1))</f>
        <v>246.64907095367749</v>
      </c>
      <c r="BJ44" s="60">
        <f t="shared" si="38"/>
        <v>145.34368562171613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180.28608000000006</v>
      </c>
      <c r="CA44" s="14">
        <f t="shared" si="39"/>
        <v>45.38582781198636</v>
      </c>
      <c r="CB44" s="22">
        <f t="shared" si="10"/>
        <v>393.04523943920964</v>
      </c>
      <c r="CC44" s="60">
        <f t="shared" si="11"/>
        <v>686.37857277254295</v>
      </c>
      <c r="CD44" s="60">
        <f ca="1">AVERAGE(OFFSET($CC$3,0,0,'Données projet'!$E$12+1,1))-AVERAGE(OFFSET($H$3,0,0,'Données projet'!$E$12+1,1))</f>
        <v>541.66888676162716</v>
      </c>
      <c r="CE44" s="60">
        <f t="shared" si="40"/>
        <v>294.45557293177131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186.40000000000003</v>
      </c>
      <c r="CU44" s="18">
        <f>CT44*VLOOKUP('Données projet'!$B$13,Paramètres!$A$1:$I$89,3,0)*VLOOKUP('Données projet'!$B$13,Paramètres!$A$1:$I$89,5,0)</f>
        <v>200.64096000000004</v>
      </c>
      <c r="CV44" s="14">
        <f t="shared" si="41"/>
        <v>49.885005090945128</v>
      </c>
      <c r="CW44" s="22">
        <f t="shared" si="13"/>
        <v>436.33272253339618</v>
      </c>
      <c r="CX44" s="60">
        <f t="shared" si="14"/>
        <v>729.66605586672949</v>
      </c>
      <c r="CY44" s="60">
        <f ca="1">AVERAGE(OFFSET($CX$3,0,0,'Données projet'!$E$13+1,1))-AVERAGE(OFFSET($H$3,0,0,'Données projet'!$E$13+1,1))</f>
        <v>597.75551942969628</v>
      </c>
      <c r="CZ44" s="60">
        <f t="shared" si="42"/>
        <v>322.81767004794284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683.57511849201842</v>
      </c>
      <c r="S45" s="60">
        <f ca="1">AVERAGE(OFFSET($R$3,0,0,'Données projet'!$E$9+1,1))-AVERAGE(OFFSET($H$3,0,0,'Données projet'!$E$9+1,1))</f>
        <v>509.56241660612449</v>
      </c>
      <c r="T45" s="60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200.56920000000005</v>
      </c>
      <c r="AK45" s="14">
        <f t="shared" si="35"/>
        <v>49.869239959281323</v>
      </c>
      <c r="AL45" s="22">
        <f t="shared" si="4"/>
        <v>436.18028292908167</v>
      </c>
      <c r="AM45" s="60">
        <f t="shared" si="5"/>
        <v>729.51361626241498</v>
      </c>
      <c r="AN45" s="60">
        <f ca="1">AVERAGE(OFFSET($AM$3,0,0,'Données projet'!$E$10+1,1))-AVERAGE(OFFSET($H$3,0,0,'Données projet'!$E$10+1,1))</f>
        <v>565.72091871734051</v>
      </c>
      <c r="AO45" s="60">
        <f t="shared" si="36"/>
        <v>306.61893266146666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10.402930402930403</v>
      </c>
      <c r="BD45" s="13">
        <f>IF('Données projet'!$A$88&gt;35,BD44+BC45-BL44,IF(A45&lt;'Données projet'!$A$88,$BA$205^A45,IF(A45='Données projet'!$A$88,'Données projet'!$B$88,BD44+BC45-BL44)))</f>
        <v>227.91208791208786</v>
      </c>
      <c r="BE45" s="14">
        <f>BD45*VLOOKUP('Données projet'!$B$11,Paramètres!$A$1:$I$89,3,0)*VLOOKUP('Données projet'!$B$11,Paramètres!$A$1:$I$89,5,0)</f>
        <v>106.66285714285712</v>
      </c>
      <c r="BF45" s="14">
        <f t="shared" si="37"/>
        <v>28.543323501294243</v>
      </c>
      <c r="BG45" s="22">
        <f t="shared" si="7"/>
        <v>235.48409795523028</v>
      </c>
      <c r="BH45" s="60">
        <f t="shared" si="8"/>
        <v>528.81743128856363</v>
      </c>
      <c r="BI45" s="60">
        <f ca="1">AVERAGE(OFFSET($BH$3,0,0,'Données projet'!$E$11+1,1))-AVERAGE(OFFSET($H$3,0,0,'Données projet'!$E$11+1,1))</f>
        <v>246.64907095367749</v>
      </c>
      <c r="BJ45" s="60">
        <f t="shared" si="38"/>
        <v>145.34368562171613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191.31216000000003</v>
      </c>
      <c r="CA45" s="14">
        <f t="shared" si="39"/>
        <v>47.829936494057677</v>
      </c>
      <c r="CB45" s="22">
        <f t="shared" si="10"/>
        <v>416.50581806048382</v>
      </c>
      <c r="CC45" s="60">
        <f t="shared" si="11"/>
        <v>709.83915139381713</v>
      </c>
      <c r="CD45" s="60">
        <f ca="1">AVERAGE(OFFSET($CC$3,0,0,'Données projet'!$E$12+1,1))-AVERAGE(OFFSET($H$3,0,0,'Données projet'!$E$12+1,1))</f>
        <v>541.66888676162716</v>
      </c>
      <c r="CE45" s="60">
        <f t="shared" si="40"/>
        <v>294.45557293177131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197.80000000000004</v>
      </c>
      <c r="CU45" s="18">
        <f>CT45*VLOOKUP('Données projet'!$B$13,Paramètres!$A$1:$I$89,3,0)*VLOOKUP('Données projet'!$B$13,Paramètres!$A$1:$I$89,5,0)</f>
        <v>212.91192000000004</v>
      </c>
      <c r="CV45" s="14">
        <f t="shared" si="41"/>
        <v>52.571402583859268</v>
      </c>
      <c r="CW45" s="22">
        <f t="shared" si="13"/>
        <v>462.38345350022161</v>
      </c>
      <c r="CX45" s="60">
        <f t="shared" si="14"/>
        <v>755.71678683355492</v>
      </c>
      <c r="CY45" s="60">
        <f ca="1">AVERAGE(OFFSET($CX$3,0,0,'Données projet'!$E$13+1,1))-AVERAGE(OFFSET($H$3,0,0,'Données projet'!$E$13+1,1))</f>
        <v>597.75551942969628</v>
      </c>
      <c r="CZ45" s="60">
        <f t="shared" si="42"/>
        <v>322.81767004794284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705.52629626882026</v>
      </c>
      <c r="S46" s="60">
        <f ca="1">AVERAGE(OFFSET($R$3,0,0,'Données projet'!$E$9+1,1))-AVERAGE(OFFSET($H$3,0,0,'Données projet'!$E$9+1,1))</f>
        <v>509.56241660612449</v>
      </c>
      <c r="T46" s="60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212.12880000000007</v>
      </c>
      <c r="AK46" s="14">
        <f t="shared" si="35"/>
        <v>52.400508630618717</v>
      </c>
      <c r="AL46" s="22">
        <f t="shared" si="4"/>
        <v>460.72187919832771</v>
      </c>
      <c r="AM46" s="60">
        <f t="shared" si="5"/>
        <v>754.05521253166103</v>
      </c>
      <c r="AN46" s="60">
        <f ca="1">AVERAGE(OFFSET($AM$3,0,0,'Données projet'!$E$10+1,1))-AVERAGE(OFFSET($H$3,0,0,'Données projet'!$E$10+1,1))</f>
        <v>565.72091871734051</v>
      </c>
      <c r="AO46" s="60">
        <f t="shared" si="36"/>
        <v>306.61893266146666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10.402930402930403</v>
      </c>
      <c r="BD46" s="13">
        <f>IF('Données projet'!$A$88&gt;35,BD45+BC46-BL45,IF(A46&lt;'Données projet'!$A$88,$BA$205^A46,IF(A46='Données projet'!$A$88,'Données projet'!$B$88,BD45+BC46-BL45)))</f>
        <v>238.31501831501825</v>
      </c>
      <c r="BE46" s="14">
        <f>BD46*VLOOKUP('Données projet'!$B$11,Paramètres!$A$1:$I$89,3,0)*VLOOKUP('Données projet'!$B$11,Paramètres!$A$1:$I$89,5,0)</f>
        <v>111.53142857142855</v>
      </c>
      <c r="BF46" s="14">
        <f t="shared" si="37"/>
        <v>29.691510235320177</v>
      </c>
      <c r="BG46" s="22">
        <f t="shared" si="7"/>
        <v>245.96328508842066</v>
      </c>
      <c r="BH46" s="60">
        <f t="shared" si="8"/>
        <v>539.29661842175392</v>
      </c>
      <c r="BI46" s="60">
        <f ca="1">AVERAGE(OFFSET($BH$3,0,0,'Données projet'!$E$11+1,1))-AVERAGE(OFFSET($H$3,0,0,'Données projet'!$E$11+1,1))</f>
        <v>246.64907095367749</v>
      </c>
      <c r="BJ46" s="60">
        <f t="shared" si="38"/>
        <v>145.34368562171613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202.33824000000007</v>
      </c>
      <c r="CA46" s="14">
        <f t="shared" si="39"/>
        <v>50.257693963357795</v>
      </c>
      <c r="CB46" s="22">
        <f t="shared" si="10"/>
        <v>439.93791831951495</v>
      </c>
      <c r="CC46" s="60">
        <f t="shared" si="11"/>
        <v>733.27125165284826</v>
      </c>
      <c r="CD46" s="60">
        <f ca="1">AVERAGE(OFFSET($CC$3,0,0,'Données projet'!$E$12+1,1))-AVERAGE(OFFSET($H$3,0,0,'Données projet'!$E$12+1,1))</f>
        <v>541.66888676162716</v>
      </c>
      <c r="CE46" s="60">
        <f t="shared" si="40"/>
        <v>294.45557293177131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209.20000000000005</v>
      </c>
      <c r="CU46" s="18">
        <f>CT46*VLOOKUP('Données projet'!$B$13,Paramètres!$A$1:$I$89,3,0)*VLOOKUP('Données projet'!$B$13,Paramètres!$A$1:$I$89,5,0)</f>
        <v>225.18288000000004</v>
      </c>
      <c r="CV46" s="14">
        <f t="shared" si="41"/>
        <v>55.239827939397941</v>
      </c>
      <c r="CW46" s="22">
        <f t="shared" si="13"/>
        <v>488.40288299445155</v>
      </c>
      <c r="CX46" s="60">
        <f t="shared" si="14"/>
        <v>781.73621632778486</v>
      </c>
      <c r="CY46" s="60">
        <f ca="1">AVERAGE(OFFSET($CX$3,0,0,'Données projet'!$E$13+1,1))-AVERAGE(OFFSET($H$3,0,0,'Données projet'!$E$13+1,1))</f>
        <v>597.75551942969628</v>
      </c>
      <c r="CZ46" s="60">
        <f t="shared" si="42"/>
        <v>322.81767004794284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727.45225524198804</v>
      </c>
      <c r="S47" s="60">
        <f ca="1">AVERAGE(OFFSET($R$3,0,0,'Données projet'!$E$9+1,1))-AVERAGE(OFFSET($H$3,0,0,'Données projet'!$E$9+1,1))</f>
        <v>509.56241660612449</v>
      </c>
      <c r="T47" s="60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223.68840000000009</v>
      </c>
      <c r="AK47" s="14">
        <f t="shared" si="35"/>
        <v>54.915763859378501</v>
      </c>
      <c r="AL47" s="22">
        <f t="shared" si="4"/>
        <v>485.23558538841758</v>
      </c>
      <c r="AM47" s="60">
        <f t="shared" si="5"/>
        <v>778.56891872175083</v>
      </c>
      <c r="AN47" s="60">
        <f ca="1">AVERAGE(OFFSET($AM$3,0,0,'Données projet'!$E$10+1,1))-AVERAGE(OFFSET($H$3,0,0,'Données projet'!$E$10+1,1))</f>
        <v>565.72091871734051</v>
      </c>
      <c r="AO47" s="60">
        <f t="shared" si="36"/>
        <v>306.61893266146666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10.402930402930403</v>
      </c>
      <c r="BD47" s="13">
        <f>IF('Données projet'!$A$88&gt;35,BD46+BC47-BL46,IF(A47&lt;'Données projet'!$A$88,$BA$205^A47,IF(A47='Données projet'!$A$88,'Données projet'!$B$88,BD46+BC47-BL46)))</f>
        <v>248.71794871794864</v>
      </c>
      <c r="BE47" s="14">
        <f>BD47*VLOOKUP('Données projet'!$B$11,Paramètres!$A$1:$I$89,3,0)*VLOOKUP('Données projet'!$B$11,Paramètres!$A$1:$I$89,5,0)</f>
        <v>116.39999999999996</v>
      </c>
      <c r="BF47" s="14">
        <f t="shared" si="37"/>
        <v>30.833875768540434</v>
      </c>
      <c r="BG47" s="22">
        <f t="shared" si="7"/>
        <v>256.43233363020784</v>
      </c>
      <c r="BH47" s="60">
        <f t="shared" si="8"/>
        <v>549.76566696354121</v>
      </c>
      <c r="BI47" s="60">
        <f ca="1">AVERAGE(OFFSET($BH$3,0,0,'Données projet'!$E$11+1,1))-AVERAGE(OFFSET($H$3,0,0,'Données projet'!$E$11+1,1))</f>
        <v>246.64907095367749</v>
      </c>
      <c r="BJ47" s="60">
        <f t="shared" si="38"/>
        <v>145.34368562171613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213.36432000000005</v>
      </c>
      <c r="CA47" s="14">
        <f t="shared" si="39"/>
        <v>52.670092827991724</v>
      </c>
      <c r="CB47" s="22">
        <f t="shared" si="10"/>
        <v>463.34326900875232</v>
      </c>
      <c r="CC47" s="60">
        <f t="shared" si="11"/>
        <v>756.67660234208563</v>
      </c>
      <c r="CD47" s="60">
        <f ca="1">AVERAGE(OFFSET($CC$3,0,0,'Données projet'!$E$12+1,1))-AVERAGE(OFFSET($H$3,0,0,'Données projet'!$E$12+1,1))</f>
        <v>541.66888676162716</v>
      </c>
      <c r="CE47" s="60">
        <f t="shared" si="40"/>
        <v>294.45557293177131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220.60000000000005</v>
      </c>
      <c r="CU47" s="18">
        <f>CT47*VLOOKUP('Données projet'!$B$13,Paramètres!$A$1:$I$89,3,0)*VLOOKUP('Données projet'!$B$13,Paramètres!$A$1:$I$89,5,0)</f>
        <v>237.45384000000004</v>
      </c>
      <c r="CV47" s="14">
        <f t="shared" si="41"/>
        <v>57.891372164661</v>
      </c>
      <c r="CW47" s="22">
        <f t="shared" si="13"/>
        <v>514.39291118678466</v>
      </c>
      <c r="CX47" s="60">
        <f t="shared" si="14"/>
        <v>807.72624452011792</v>
      </c>
      <c r="CY47" s="60">
        <f ca="1">AVERAGE(OFFSET($CX$3,0,0,'Données projet'!$E$13+1,1))-AVERAGE(OFFSET($H$3,0,0,'Données projet'!$E$13+1,1))</f>
        <v>597.75551942969628</v>
      </c>
      <c r="CZ47" s="60">
        <f t="shared" si="42"/>
        <v>322.81767004794284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749.35444730432789</v>
      </c>
      <c r="S48" s="60">
        <f ca="1">AVERAGE(OFFSET($R$3,0,0,'Données projet'!$E$9+1,1))-AVERAGE(OFFSET($H$3,0,0,'Données projet'!$E$9+1,1))</f>
        <v>509.56241660612449</v>
      </c>
      <c r="T48" s="60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235.24800000000008</v>
      </c>
      <c r="AK48" s="14">
        <f t="shared" si="35"/>
        <v>57.41592756883739</v>
      </c>
      <c r="AL48" s="22">
        <f t="shared" si="4"/>
        <v>509.72300718239194</v>
      </c>
      <c r="AM48" s="60">
        <f t="shared" si="5"/>
        <v>803.0563405157252</v>
      </c>
      <c r="AN48" s="60">
        <f ca="1">AVERAGE(OFFSET($AM$3,0,0,'Données projet'!$E$10+1,1))-AVERAGE(OFFSET($H$3,0,0,'Données projet'!$E$10+1,1))</f>
        <v>565.72091871734051</v>
      </c>
      <c r="AO48" s="60">
        <f t="shared" si="36"/>
        <v>306.61893266146666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10.402930402930403</v>
      </c>
      <c r="BD48" s="13">
        <f>IF('Données projet'!$A$88&gt;35,BD47+BC48-BL47,IF(A48&lt;'Données projet'!$A$88,$BA$205^A48,IF(A48='Données projet'!$A$88,'Données projet'!$B$88,BD47+BC48-BL47)))</f>
        <v>259.12087912087907</v>
      </c>
      <c r="BE48" s="14">
        <f>BD48*VLOOKUP('Données projet'!$B$11,Paramètres!$A$1:$I$89,3,0)*VLOOKUP('Données projet'!$B$11,Paramètres!$A$1:$I$89,5,0)</f>
        <v>121.26857142857141</v>
      </c>
      <c r="BF48" s="14">
        <f t="shared" si="37"/>
        <v>31.970691421429557</v>
      </c>
      <c r="BG48" s="22">
        <f t="shared" si="7"/>
        <v>266.89171613041833</v>
      </c>
      <c r="BH48" s="60">
        <f t="shared" si="8"/>
        <v>560.2250494637517</v>
      </c>
      <c r="BI48" s="60">
        <f ca="1">AVERAGE(OFFSET($BH$3,0,0,'Données projet'!$E$11+1,1))-AVERAGE(OFFSET($H$3,0,0,'Données projet'!$E$11+1,1))</f>
        <v>246.64907095367749</v>
      </c>
      <c r="BJ48" s="60">
        <f t="shared" si="38"/>
        <v>145.34368562171613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224.39040000000006</v>
      </c>
      <c r="CA48" s="14">
        <f t="shared" si="39"/>
        <v>55.068017311015858</v>
      </c>
      <c r="CB48" s="22">
        <f t="shared" si="10"/>
        <v>486.72341015001939</v>
      </c>
      <c r="CC48" s="60">
        <f t="shared" si="11"/>
        <v>780.05674348335265</v>
      </c>
      <c r="CD48" s="60">
        <f ca="1">AVERAGE(OFFSET($CC$3,0,0,'Données projet'!$E$12+1,1))-AVERAGE(OFFSET($H$3,0,0,'Données projet'!$E$12+1,1))</f>
        <v>541.66888676162716</v>
      </c>
      <c r="CE48" s="60">
        <f t="shared" si="40"/>
        <v>294.45557293177131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232.00000000000006</v>
      </c>
      <c r="CU48" s="18">
        <f>CT48*VLOOKUP('Données projet'!$B$13,Paramètres!$A$1:$I$89,3,0)*VLOOKUP('Données projet'!$B$13,Paramètres!$A$1:$I$89,5,0)</f>
        <v>249.72480000000007</v>
      </c>
      <c r="CV48" s="14">
        <f t="shared" si="41"/>
        <v>60.527007137298142</v>
      </c>
      <c r="CW48" s="22">
        <f t="shared" si="13"/>
        <v>540.35523076412767</v>
      </c>
      <c r="CX48" s="60">
        <f t="shared" si="14"/>
        <v>833.68856409746104</v>
      </c>
      <c r="CY48" s="60">
        <f ca="1">AVERAGE(OFFSET($CX$3,0,0,'Données projet'!$E$13+1,1))-AVERAGE(OFFSET($H$3,0,0,'Données projet'!$E$13+1,1))</f>
        <v>597.75551942969628</v>
      </c>
      <c r="CZ48" s="60">
        <f t="shared" si="42"/>
        <v>322.81767004794284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662.75452844747895</v>
      </c>
      <c r="S49" s="60">
        <f ca="1">AVERAGE(OFFSET($R$3,0,0,'Données projet'!$E$9+1,1))-AVERAGE(OFFSET($H$3,0,0,'Données projet'!$E$9+1,1))</f>
        <v>509.56241660612449</v>
      </c>
      <c r="T49" s="60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189.61800000000008</v>
      </c>
      <c r="AK49" s="14">
        <f t="shared" si="35"/>
        <v>47.455488185268543</v>
      </c>
      <c r="AL49" s="22">
        <f t="shared" si="4"/>
        <v>412.90299192267616</v>
      </c>
      <c r="AM49" s="60">
        <f t="shared" si="5"/>
        <v>706.23632525600942</v>
      </c>
      <c r="AN49" s="60">
        <f ca="1">AVERAGE(OFFSET($AM$3,0,0,'Données projet'!$E$10+1,1))-AVERAGE(OFFSET($H$3,0,0,'Données projet'!$E$10+1,1))</f>
        <v>565.72091871734051</v>
      </c>
      <c r="AO49" s="60">
        <f t="shared" si="36"/>
        <v>306.61893266146666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10.402930402930403</v>
      </c>
      <c r="BD49" s="13">
        <f>IF('Données projet'!$A$88&gt;35,BD48+BC49-BL48,IF(A49&lt;'Données projet'!$A$88,$BA$205^A49,IF(A49='Données projet'!$A$88,'Données projet'!$B$88,BD48+BC49-BL48)))</f>
        <v>269.52380952380946</v>
      </c>
      <c r="BE49" s="14">
        <f>BD49*VLOOKUP('Données projet'!$B$11,Paramètres!$A$1:$I$89,3,0)*VLOOKUP('Données projet'!$B$11,Paramètres!$A$1:$I$89,5,0)</f>
        <v>126.13714285714282</v>
      </c>
      <c r="BF49" s="14">
        <f t="shared" si="37"/>
        <v>33.102205495977692</v>
      </c>
      <c r="BG49" s="22">
        <f t="shared" si="7"/>
        <v>277.34186504835151</v>
      </c>
      <c r="BH49" s="60">
        <f t="shared" si="8"/>
        <v>570.67519838168482</v>
      </c>
      <c r="BI49" s="60">
        <f ca="1">AVERAGE(OFFSET($BH$3,0,0,'Données projet'!$E$11+1,1))-AVERAGE(OFFSET($H$3,0,0,'Données projet'!$E$11+1,1))</f>
        <v>246.64907095367749</v>
      </c>
      <c r="BJ49" s="60">
        <f t="shared" si="38"/>
        <v>145.34368562171613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180.86640000000006</v>
      </c>
      <c r="CA49" s="14">
        <f t="shared" si="39"/>
        <v>45.514890302102152</v>
      </c>
      <c r="CB49" s="22">
        <f t="shared" si="10"/>
        <v>394.28074727616132</v>
      </c>
      <c r="CC49" s="60">
        <f t="shared" si="11"/>
        <v>687.61408060949464</v>
      </c>
      <c r="CD49" s="60">
        <f ca="1">AVERAGE(OFFSET($CC$3,0,0,'Données projet'!$E$12+1,1))-AVERAGE(OFFSET($H$3,0,0,'Données projet'!$E$12+1,1))</f>
        <v>541.66888676162716</v>
      </c>
      <c r="CE49" s="60">
        <f t="shared" si="40"/>
        <v>294.45557293177131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187.00000000000006</v>
      </c>
      <c r="CU49" s="18">
        <f>CT49*VLOOKUP('Données projet'!$B$13,Paramètres!$A$1:$I$89,3,0)*VLOOKUP('Données projet'!$B$13,Paramètres!$A$1:$I$89,5,0)</f>
        <v>201.28680000000006</v>
      </c>
      <c r="CV49" s="14">
        <f t="shared" si="41"/>
        <v>50.026861773677666</v>
      </c>
      <c r="CW49" s="22">
        <f t="shared" si="13"/>
        <v>437.70462758915534</v>
      </c>
      <c r="CX49" s="60">
        <f t="shared" si="14"/>
        <v>731.03796092248865</v>
      </c>
      <c r="CY49" s="60">
        <f ca="1">AVERAGE(OFFSET($CX$3,0,0,'Données projet'!$E$13+1,1))-AVERAGE(OFFSET($H$3,0,0,'Données projet'!$E$13+1,1))</f>
        <v>597.75551942969628</v>
      </c>
      <c r="CZ49" s="60">
        <f t="shared" si="42"/>
        <v>322.81767004794284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683.96045320765336</v>
      </c>
      <c r="S50" s="60">
        <f ca="1">AVERAGE(OFFSET($R$3,0,0,'Données projet'!$E$9+1,1))-AVERAGE(OFFSET($H$3,0,0,'Données projet'!$E$9+1,1))</f>
        <v>509.56241660612449</v>
      </c>
      <c r="T50" s="60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200.77200000000008</v>
      </c>
      <c r="AK50" s="14">
        <f t="shared" si="35"/>
        <v>49.913791898945412</v>
      </c>
      <c r="AL50" s="22">
        <f t="shared" si="4"/>
        <v>436.61108755732999</v>
      </c>
      <c r="AM50" s="60">
        <f t="shared" si="5"/>
        <v>729.94442089066331</v>
      </c>
      <c r="AN50" s="60">
        <f ca="1">AVERAGE(OFFSET($AM$3,0,0,'Données projet'!$E$10+1,1))-AVERAGE(OFFSET($H$3,0,0,'Données projet'!$E$10+1,1))</f>
        <v>565.72091871734051</v>
      </c>
      <c r="AO50" s="60">
        <f t="shared" si="36"/>
        <v>306.61893266146666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10.402930402930403</v>
      </c>
      <c r="BD50" s="13">
        <f>IF('Données projet'!$A$88&gt;35,BD49+BC50-BL49,IF(A50&lt;'Données projet'!$A$88,$BA$205^A50,IF(A50='Données projet'!$A$88,'Données projet'!$B$88,BD49+BC50-BL49)))</f>
        <v>279.92673992673986</v>
      </c>
      <c r="BE50" s="14">
        <f>BD50*VLOOKUP('Données projet'!$B$11,Paramètres!$A$1:$I$89,3,0)*VLOOKUP('Données projet'!$B$11,Paramètres!$A$1:$I$89,5,0)</f>
        <v>131.00571428571425</v>
      </c>
      <c r="BF50" s="14">
        <f t="shared" si="37"/>
        <v>34.228646041091935</v>
      </c>
      <c r="BG50" s="22">
        <f t="shared" si="7"/>
        <v>287.78317756918744</v>
      </c>
      <c r="BH50" s="60">
        <f t="shared" si="8"/>
        <v>581.11651090252076</v>
      </c>
      <c r="BI50" s="60">
        <f ca="1">AVERAGE(OFFSET($BH$3,0,0,'Données projet'!$E$11+1,1))-AVERAGE(OFFSET($H$3,0,0,'Données projet'!$E$11+1,1))</f>
        <v>246.64907095367749</v>
      </c>
      <c r="BJ50" s="60">
        <f t="shared" si="38"/>
        <v>145.34368562171613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191.50560000000007</v>
      </c>
      <c r="CA50" s="14">
        <f t="shared" si="39"/>
        <v>47.872666570685276</v>
      </c>
      <c r="CB50" s="22">
        <f t="shared" si="10"/>
        <v>416.9171476106103</v>
      </c>
      <c r="CC50" s="60">
        <f t="shared" si="11"/>
        <v>710.25048094394356</v>
      </c>
      <c r="CD50" s="60">
        <f ca="1">AVERAGE(OFFSET($CC$3,0,0,'Données projet'!$E$12+1,1))-AVERAGE(OFFSET($H$3,0,0,'Données projet'!$E$12+1,1))</f>
        <v>541.66888676162716</v>
      </c>
      <c r="CE50" s="60">
        <f t="shared" si="40"/>
        <v>294.45557293177131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198.00000000000006</v>
      </c>
      <c r="CU50" s="18">
        <f>CT50*VLOOKUP('Données projet'!$B$13,Paramètres!$A$1:$I$89,3,0)*VLOOKUP('Données projet'!$B$13,Paramètres!$A$1:$I$89,5,0)</f>
        <v>213.12720000000004</v>
      </c>
      <c r="CV50" s="14">
        <f t="shared" si="41"/>
        <v>52.618368568459893</v>
      </c>
      <c r="CW50" s="22">
        <f t="shared" si="13"/>
        <v>462.8401985900677</v>
      </c>
      <c r="CX50" s="60">
        <f t="shared" si="14"/>
        <v>756.17353192340101</v>
      </c>
      <c r="CY50" s="60">
        <f ca="1">AVERAGE(OFFSET($CX$3,0,0,'Données projet'!$E$13+1,1))-AVERAGE(OFFSET($H$3,0,0,'Données projet'!$E$13+1,1))</f>
        <v>597.75551942969628</v>
      </c>
      <c r="CZ50" s="60">
        <f t="shared" si="42"/>
        <v>322.81767004794284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705.14140971202096</v>
      </c>
      <c r="S51" s="60">
        <f ca="1">AVERAGE(OFFSET($R$3,0,0,'Données projet'!$E$9+1,1))-AVERAGE(OFFSET($H$3,0,0,'Données projet'!$E$9+1,1))</f>
        <v>509.56241660612449</v>
      </c>
      <c r="T51" s="60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211.92600000000007</v>
      </c>
      <c r="AK51" s="14">
        <f t="shared" si="35"/>
        <v>52.356241262970165</v>
      </c>
      <c r="AL51" s="22">
        <f t="shared" si="4"/>
        <v>460.29157019967312</v>
      </c>
      <c r="AM51" s="60">
        <f t="shared" si="5"/>
        <v>753.62490353300643</v>
      </c>
      <c r="AN51" s="60">
        <f ca="1">AVERAGE(OFFSET($AM$3,0,0,'Données projet'!$E$10+1,1))-AVERAGE(OFFSET($H$3,0,0,'Données projet'!$E$10+1,1))</f>
        <v>565.72091871734051</v>
      </c>
      <c r="AO51" s="60">
        <f t="shared" si="36"/>
        <v>306.61893266146666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10.402930402930403</v>
      </c>
      <c r="BD51" s="13">
        <f>IF('Données projet'!$A$88&gt;35,BD50+BC51-BL50,IF(A51&lt;'Données projet'!$A$88,$BA$205^A51,IF(A51='Données projet'!$A$88,'Données projet'!$B$88,BD50+BC51-BL50)))</f>
        <v>290.32967032967025</v>
      </c>
      <c r="BE51" s="14">
        <f>BD51*VLOOKUP('Données projet'!$B$11,Paramètres!$A$1:$I$89,3,0)*VLOOKUP('Données projet'!$B$11,Paramètres!$A$1:$I$89,5,0)</f>
        <v>135.87428571428569</v>
      </c>
      <c r="BF51" s="14">
        <f t="shared" si="37"/>
        <v>35.350223195357941</v>
      </c>
      <c r="BG51" s="22">
        <f t="shared" si="7"/>
        <v>298.21601968429599</v>
      </c>
      <c r="BH51" s="60">
        <f t="shared" si="8"/>
        <v>591.5493530176293</v>
      </c>
      <c r="BI51" s="60">
        <f ca="1">AVERAGE(OFFSET($BH$3,0,0,'Données projet'!$E$11+1,1))-AVERAGE(OFFSET($H$3,0,0,'Données projet'!$E$11+1,1))</f>
        <v>246.64907095367749</v>
      </c>
      <c r="BJ51" s="60">
        <f t="shared" si="38"/>
        <v>145.34368562171613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202.14480000000006</v>
      </c>
      <c r="CA51" s="14">
        <f t="shared" si="39"/>
        <v>50.215236821738628</v>
      </c>
      <c r="CB51" s="22">
        <f t="shared" si="10"/>
        <v>439.52706413119489</v>
      </c>
      <c r="CC51" s="60">
        <f t="shared" si="11"/>
        <v>732.86039746452821</v>
      </c>
      <c r="CD51" s="60">
        <f ca="1">AVERAGE(OFFSET($CC$3,0,0,'Données projet'!$E$12+1,1))-AVERAGE(OFFSET($H$3,0,0,'Données projet'!$E$12+1,1))</f>
        <v>541.66888676162716</v>
      </c>
      <c r="CE51" s="60">
        <f t="shared" si="40"/>
        <v>294.45557293177131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209.00000000000006</v>
      </c>
      <c r="CU51" s="18">
        <f>CT51*VLOOKUP('Données projet'!$B$13,Paramètres!$A$1:$I$89,3,0)*VLOOKUP('Données projet'!$B$13,Paramètres!$A$1:$I$89,5,0)</f>
        <v>224.96760000000006</v>
      </c>
      <c r="CV51" s="14">
        <f t="shared" si="41"/>
        <v>55.193161946335238</v>
      </c>
      <c r="CW51" s="22">
        <f t="shared" si="13"/>
        <v>487.94666038986725</v>
      </c>
      <c r="CX51" s="60">
        <f t="shared" si="14"/>
        <v>781.2799937232005</v>
      </c>
      <c r="CY51" s="60">
        <f ca="1">AVERAGE(OFFSET($CX$3,0,0,'Données projet'!$E$13+1,1))-AVERAGE(OFFSET($H$3,0,0,'Données projet'!$E$13+1,1))</f>
        <v>597.75551942969628</v>
      </c>
      <c r="CZ51" s="60">
        <f t="shared" si="42"/>
        <v>322.81767004794284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726.29886194422556</v>
      </c>
      <c r="S52" s="60">
        <f ca="1">AVERAGE(OFFSET($R$3,0,0,'Données projet'!$E$9+1,1))-AVERAGE(OFFSET($H$3,0,0,'Données projet'!$E$9+1,1))</f>
        <v>509.56241660612449</v>
      </c>
      <c r="T52" s="60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0">
        <f t="shared" si="5"/>
        <v>777.27939223762587</v>
      </c>
      <c r="AN52" s="60">
        <f ca="1">AVERAGE(OFFSET($AM$3,0,0,'Données projet'!$E$10+1,1))-AVERAGE(OFFSET($H$3,0,0,'Données projet'!$E$10+1,1))</f>
        <v>565.72091871734051</v>
      </c>
      <c r="AO52" s="60">
        <f t="shared" si="36"/>
        <v>306.61893266146666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10.402930402930403</v>
      </c>
      <c r="BD52" s="13">
        <f>IF('Données projet'!$A$88&gt;35,BD51+BC52-BL51,IF(A52&lt;'Données projet'!$A$88,$BA$205^A52,IF(A52='Données projet'!$A$88,'Données projet'!$B$88,BD51+BC52-BL51)))</f>
        <v>300.73260073260064</v>
      </c>
      <c r="BE52" s="14">
        <f>BD52*VLOOKUP('Données projet'!$B$11,Paramètres!$A$1:$I$89,3,0)*VLOOKUP('Données projet'!$B$11,Paramètres!$A$1:$I$89,5,0)</f>
        <v>140.7428571428571</v>
      </c>
      <c r="BF52" s="14">
        <f t="shared" si="37"/>
        <v>36.467131184587252</v>
      </c>
      <c r="BG52" s="22">
        <f t="shared" si="7"/>
        <v>308.64072967029892</v>
      </c>
      <c r="BH52" s="60">
        <f t="shared" si="8"/>
        <v>601.97406300363218</v>
      </c>
      <c r="BI52" s="60">
        <f ca="1">AVERAGE(OFFSET($BH$3,0,0,'Données projet'!$E$11+1,1))-AVERAGE(OFFSET($H$3,0,0,'Données projet'!$E$11+1,1))</f>
        <v>246.64907095367749</v>
      </c>
      <c r="BJ52" s="60">
        <f t="shared" si="38"/>
        <v>145.34368562171613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212.78400000000005</v>
      </c>
      <c r="CA52" s="14">
        <f t="shared" si="39"/>
        <v>52.543492641808108</v>
      </c>
      <c r="CB52" s="22">
        <f t="shared" si="10"/>
        <v>462.11204968448243</v>
      </c>
      <c r="CC52" s="60">
        <f t="shared" si="11"/>
        <v>755.44538301781574</v>
      </c>
      <c r="CD52" s="60">
        <f ca="1">AVERAGE(OFFSET($CC$3,0,0,'Données projet'!$E$12+1,1))-AVERAGE(OFFSET($H$3,0,0,'Données projet'!$E$12+1,1))</f>
        <v>541.66888676162716</v>
      </c>
      <c r="CE52" s="60">
        <f t="shared" si="40"/>
        <v>294.45557293177131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220.00000000000006</v>
      </c>
      <c r="CU52" s="18">
        <f>CT52*VLOOKUP('Données projet'!$B$13,Paramètres!$A$1:$I$89,3,0)*VLOOKUP('Données projet'!$B$13,Paramètres!$A$1:$I$89,5,0)</f>
        <v>236.80800000000008</v>
      </c>
      <c r="CV52" s="14">
        <f t="shared" si="41"/>
        <v>57.752221878398714</v>
      </c>
      <c r="CW52" s="22">
        <f t="shared" si="13"/>
        <v>513.02571977154446</v>
      </c>
      <c r="CX52" s="60">
        <f t="shared" si="14"/>
        <v>806.35905310487783</v>
      </c>
      <c r="CY52" s="60">
        <f ca="1">AVERAGE(OFFSET($CX$3,0,0,'Données projet'!$E$13+1,1))-AVERAGE(OFFSET($H$3,0,0,'Données projet'!$E$13+1,1))</f>
        <v>597.75551942969628</v>
      </c>
      <c r="CZ52" s="60">
        <f t="shared" si="42"/>
        <v>322.81767004794284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747.43411921957727</v>
      </c>
      <c r="S53" s="60">
        <f ca="1">AVERAGE(OFFSET($R$3,0,0,'Données projet'!$E$9+1,1))-AVERAGE(OFFSET($H$3,0,0,'Données projet'!$E$9+1,1))</f>
        <v>509.56241660612449</v>
      </c>
      <c r="T53" s="60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0">
        <f t="shared" si="5"/>
        <v>800.90933500769279</v>
      </c>
      <c r="AN53" s="60">
        <f ca="1">AVERAGE(OFFSET($AM$3,0,0,'Données projet'!$E$10+1,1))-AVERAGE(OFFSET($H$3,0,0,'Données projet'!$E$10+1,1))</f>
        <v>565.72091871734051</v>
      </c>
      <c r="AO53" s="60">
        <f t="shared" si="36"/>
        <v>306.61893266146666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10.402930402930403</v>
      </c>
      <c r="BD53" s="13">
        <f>IF('Données projet'!$A$88&gt;35,BD52+BC53-BL52,IF(A53&lt;'Données projet'!$A$88,$BA$205^A53,IF(A53='Données projet'!$A$88,'Données projet'!$B$88,BD52+BC53-BL52)))</f>
        <v>311.13553113553104</v>
      </c>
      <c r="BE53" s="14">
        <f>BD53*VLOOKUP('Données projet'!$B$11,Paramètres!$A$1:$I$89,3,0)*VLOOKUP('Données projet'!$B$11,Paramètres!$A$1:$I$89,5,0)</f>
        <v>145.61142857142852</v>
      </c>
      <c r="BF53" s="14">
        <f t="shared" si="37"/>
        <v>37.579550035203404</v>
      </c>
      <c r="BG53" s="22">
        <f t="shared" si="7"/>
        <v>319.05762107321726</v>
      </c>
      <c r="BH53" s="60">
        <f t="shared" si="8"/>
        <v>612.39095440655058</v>
      </c>
      <c r="BI53" s="60">
        <f ca="1">AVERAGE(OFFSET($BH$3,0,0,'Données projet'!$E$11+1,1))-AVERAGE(OFFSET($H$3,0,0,'Données projet'!$E$11+1,1))</f>
        <v>246.64907095367749</v>
      </c>
      <c r="BJ53" s="60">
        <f t="shared" si="38"/>
        <v>145.34368562171613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0">
        <f t="shared" si="11"/>
        <v>778.00682639376532</v>
      </c>
      <c r="CD53" s="60">
        <f ca="1">AVERAGE(OFFSET($CC$3,0,0,'Données projet'!$E$12+1,1))-AVERAGE(OFFSET($H$3,0,0,'Données projet'!$E$12+1,1))</f>
        <v>541.66888676162716</v>
      </c>
      <c r="CE53" s="60">
        <f t="shared" si="40"/>
        <v>294.45557293177131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231.00000000000006</v>
      </c>
      <c r="CU53" s="18">
        <f>CT53*VLOOKUP('Données projet'!$B$13,Paramètres!$A$1:$I$89,3,0)*VLOOKUP('Données projet'!$B$13,Paramètres!$A$1:$I$89,5,0)</f>
        <v>248.64840000000004</v>
      </c>
      <c r="CV53" s="14">
        <f t="shared" si="41"/>
        <v>60.296424802828774</v>
      </c>
      <c r="CW53" s="22">
        <f t="shared" si="13"/>
        <v>538.07890319826015</v>
      </c>
      <c r="CX53" s="60">
        <f t="shared" si="14"/>
        <v>831.41223653159341</v>
      </c>
      <c r="CY53" s="60">
        <f ca="1">AVERAGE(OFFSET($CX$3,0,0,'Données projet'!$E$13+1,1))-AVERAGE(OFFSET($H$3,0,0,'Données projet'!$E$13+1,1))</f>
        <v>597.75551942969628</v>
      </c>
      <c r="CZ53" s="60">
        <f t="shared" si="42"/>
        <v>322.81767004794284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767.01346305295999</v>
      </c>
      <c r="S54" s="60">
        <f ca="1">AVERAGE(OFFSET($R$3,0,0,'Données projet'!$E$9+1,1))-AVERAGE(OFFSET($H$3,0,0,'Données projet'!$E$9+1,1))</f>
        <v>509.56241660612449</v>
      </c>
      <c r="T54" s="60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244.57680000000005</v>
      </c>
      <c r="AK54" s="14">
        <f t="shared" si="35"/>
        <v>59.423166060201147</v>
      </c>
      <c r="AL54" s="22">
        <f t="shared" si="4"/>
        <v>529.46660755485038</v>
      </c>
      <c r="AM54" s="60">
        <f t="shared" si="5"/>
        <v>822.79994088818376</v>
      </c>
      <c r="AN54" s="60">
        <f ca="1">AVERAGE(OFFSET($AM$3,0,0,'Données projet'!$E$10+1,1))-AVERAGE(OFFSET($H$3,0,0,'Données projet'!$E$10+1,1))</f>
        <v>565.72091871734051</v>
      </c>
      <c r="AO54" s="60">
        <f t="shared" si="36"/>
        <v>306.61893266146666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321.53846153846155</v>
      </c>
      <c r="BB54" s="13">
        <f>VLOOKUP(A54,'Données projet'!$A$87:$I$107,9,0)</f>
        <v>10.402930402930403</v>
      </c>
      <c r="BC54" s="13">
        <f t="array" ref="BC54">INDEX(BB:BB,MIN(IF(ISNUMBER(BB54:BB250),ROW(BB54:BB250),"")))</f>
        <v>10.402930402930403</v>
      </c>
      <c r="BD54" s="13">
        <f>IF('Données projet'!$A$88&gt;35,BD53+BC54-BL53,IF(A54&lt;'Données projet'!$A$88,$BA$205^A54,IF(A54='Données projet'!$A$88,'Données projet'!$B$88,BD53+BC54-BL53)))</f>
        <v>321.53846153846143</v>
      </c>
      <c r="BE54" s="14">
        <f>BD54*VLOOKUP('Données projet'!$B$11,Paramètres!$A$1:$I$89,3,0)*VLOOKUP('Données projet'!$B$11,Paramètres!$A$1:$I$89,5,0)</f>
        <v>150.47999999999996</v>
      </c>
      <c r="BF54" s="14">
        <f t="shared" si="37"/>
        <v>38.687647052039566</v>
      </c>
      <c r="BG54" s="22">
        <f t="shared" si="7"/>
        <v>329.46698528230218</v>
      </c>
      <c r="BH54" s="60">
        <f t="shared" si="8"/>
        <v>622.80031861563543</v>
      </c>
      <c r="BI54" s="60">
        <f ca="1">AVERAGE(OFFSET($BH$3,0,0,'Données projet'!$E$11+1,1))-AVERAGE(OFFSET($H$3,0,0,'Données projet'!$E$11+1,1))</f>
        <v>246.64907095367749</v>
      </c>
      <c r="BJ54" s="60">
        <f t="shared" si="38"/>
        <v>145.34368562171613</v>
      </c>
      <c r="BK54" s="16">
        <f>IF(ISNA(VLOOKUP(A54,'Données projet'!$A$87:$I$107,3,0)),0,VLOOKUP(A54,'Données projet'!$A$87:$I$107,3,0))</f>
        <v>1</v>
      </c>
      <c r="BL54" s="16">
        <f>IF(ISNA(VLOOKUP(A54,'Données projet'!$A$87:$I$107,4,0)),0,VLOOKUP(A54,'Données projet'!$A$87:$I$107,4,0))</f>
        <v>100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233.28864000000007</v>
      </c>
      <c r="CA54" s="14">
        <f t="shared" si="39"/>
        <v>56.993173773170618</v>
      </c>
      <c r="CB54" s="22">
        <f t="shared" si="10"/>
        <v>505.5741589882723</v>
      </c>
      <c r="CC54" s="60">
        <f t="shared" si="11"/>
        <v>798.90749232160556</v>
      </c>
      <c r="CD54" s="60">
        <f ca="1">AVERAGE(OFFSET($CC$3,0,0,'Données projet'!$E$12+1,1))-AVERAGE(OFFSET($H$3,0,0,'Données projet'!$E$12+1,1))</f>
        <v>541.66888676162716</v>
      </c>
      <c r="CE54" s="60">
        <f t="shared" si="40"/>
        <v>294.45557293177131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241.20000000000005</v>
      </c>
      <c r="CU54" s="18">
        <f>CT54*VLOOKUP('Données projet'!$B$13,Paramètres!$A$1:$I$89,3,0)*VLOOKUP('Données projet'!$B$13,Paramètres!$A$1:$I$89,5,0)</f>
        <v>259.62768000000005</v>
      </c>
      <c r="CV54" s="14">
        <f t="shared" si="41"/>
        <v>62.643007760076152</v>
      </c>
      <c r="CW54" s="22">
        <f t="shared" si="13"/>
        <v>561.28811451546608</v>
      </c>
      <c r="CX54" s="60">
        <f t="shared" si="14"/>
        <v>854.62144784879933</v>
      </c>
      <c r="CY54" s="60">
        <f ca="1">AVERAGE(OFFSET($CX$3,0,0,'Données projet'!$E$13+1,1))-AVERAGE(OFFSET($H$3,0,0,'Données projet'!$E$13+1,1))</f>
        <v>597.75551942969628</v>
      </c>
      <c r="CZ54" s="60">
        <f t="shared" si="42"/>
        <v>322.81767004794284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786.57558808183126</v>
      </c>
      <c r="S55" s="60">
        <f ca="1">AVERAGE(OFFSET($R$3,0,0,'Données projet'!$E$9+1,1))-AVERAGE(OFFSET($H$3,0,0,'Données projet'!$E$9+1,1))</f>
        <v>509.56241660612449</v>
      </c>
      <c r="T55" s="60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254.91960000000006</v>
      </c>
      <c r="AK55" s="14">
        <f t="shared" si="35"/>
        <v>61.638201385772277</v>
      </c>
      <c r="AL55" s="22">
        <f t="shared" si="4"/>
        <v>551.33817074688682</v>
      </c>
      <c r="AM55" s="60">
        <f t="shared" si="5"/>
        <v>844.67150408022007</v>
      </c>
      <c r="AN55" s="60">
        <f ca="1">AVERAGE(OFFSET($AM$3,0,0,'Données projet'!$E$10+1,1))-AVERAGE(OFFSET($H$3,0,0,'Données projet'!$E$10+1,1))</f>
        <v>565.72091871734051</v>
      </c>
      <c r="AO55" s="60">
        <f t="shared" si="36"/>
        <v>306.61893266146666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10.769230769230768</v>
      </c>
      <c r="BD55" s="13">
        <f>IF('Données projet'!$A$88&gt;35,BD54+BC55-BL54,IF(A55&lt;'Données projet'!$A$88,$BA$205^A55,IF(A55='Données projet'!$A$88,'Données projet'!$B$88,BD54+BC55-BL54)))</f>
        <v>232.30769230769221</v>
      </c>
      <c r="BE55" s="14">
        <f>BD55*VLOOKUP('Données projet'!$B$11,Paramètres!$A$1:$I$89,3,0)*VLOOKUP('Données projet'!$B$11,Paramètres!$A$1:$I$89,5,0)</f>
        <v>108.71999999999996</v>
      </c>
      <c r="BF55" s="14">
        <f t="shared" si="37"/>
        <v>29.029201459451464</v>
      </c>
      <c r="BG55" s="22">
        <f t="shared" si="7"/>
        <v>239.91319254187792</v>
      </c>
      <c r="BH55" s="60">
        <f t="shared" si="8"/>
        <v>533.2465258752112</v>
      </c>
      <c r="BI55" s="60">
        <f ca="1">AVERAGE(OFFSET($BH$3,0,0,'Données projet'!$E$11+1,1))-AVERAGE(OFFSET($H$3,0,0,'Données projet'!$E$11+1,1))</f>
        <v>246.64907095367749</v>
      </c>
      <c r="BJ55" s="60">
        <f t="shared" si="38"/>
        <v>145.34368562171613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243.15408000000005</v>
      </c>
      <c r="CA55" s="14">
        <f t="shared" si="39"/>
        <v>59.117629630943199</v>
      </c>
      <c r="CB55" s="22">
        <f t="shared" si="10"/>
        <v>526.45656094055948</v>
      </c>
      <c r="CC55" s="60">
        <f t="shared" si="11"/>
        <v>819.78989427389274</v>
      </c>
      <c r="CD55" s="60">
        <f ca="1">AVERAGE(OFFSET($CC$3,0,0,'Données projet'!$E$12+1,1))-AVERAGE(OFFSET($H$3,0,0,'Données projet'!$E$12+1,1))</f>
        <v>541.66888676162716</v>
      </c>
      <c r="CE55" s="60">
        <f t="shared" si="40"/>
        <v>294.45557293177131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251.40000000000003</v>
      </c>
      <c r="CU55" s="18">
        <f>CT55*VLOOKUP('Données projet'!$B$13,Paramètres!$A$1:$I$89,3,0)*VLOOKUP('Données projet'!$B$13,Paramètres!$A$1:$I$89,5,0)</f>
        <v>270.60696000000002</v>
      </c>
      <c r="CV55" s="14">
        <f t="shared" si="41"/>
        <v>64.978064679595022</v>
      </c>
      <c r="CW55" s="22">
        <f t="shared" si="13"/>
        <v>584.47725131696131</v>
      </c>
      <c r="CX55" s="60">
        <f t="shared" si="14"/>
        <v>877.81058465029469</v>
      </c>
      <c r="CY55" s="60">
        <f ca="1">AVERAGE(OFFSET($CX$3,0,0,'Données projet'!$E$13+1,1))-AVERAGE(OFFSET($H$3,0,0,'Données projet'!$E$13+1,1))</f>
        <v>597.75551942969628</v>
      </c>
      <c r="CZ55" s="60">
        <f t="shared" si="42"/>
        <v>322.81767004794284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806.12127283656628</v>
      </c>
      <c r="S56" s="60">
        <f ca="1">AVERAGE(OFFSET($R$3,0,0,'Données projet'!$E$9+1,1))-AVERAGE(OFFSET($H$3,0,0,'Données projet'!$E$9+1,1))</f>
        <v>509.56241660612449</v>
      </c>
      <c r="T56" s="60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265.26240000000001</v>
      </c>
      <c r="AK56" s="14">
        <f t="shared" si="35"/>
        <v>63.842797461739814</v>
      </c>
      <c r="AL56" s="22">
        <f t="shared" si="4"/>
        <v>573.19155224586348</v>
      </c>
      <c r="AM56" s="60">
        <f t="shared" si="5"/>
        <v>866.52488557919673</v>
      </c>
      <c r="AN56" s="60">
        <f ca="1">AVERAGE(OFFSET($AM$3,0,0,'Données projet'!$E$10+1,1))-AVERAGE(OFFSET($H$3,0,0,'Données projet'!$E$10+1,1))</f>
        <v>565.72091871734051</v>
      </c>
      <c r="AO56" s="60">
        <f t="shared" si="36"/>
        <v>306.61893266146666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10.769230769230768</v>
      </c>
      <c r="BD56" s="13">
        <f>IF('Données projet'!$A$88&gt;35,BD55+BC56-BL55,IF(A56&lt;'Données projet'!$A$88,$BA$205^A56,IF(A56='Données projet'!$A$88,'Données projet'!$B$88,BD55+BC56-BL55)))</f>
        <v>243.07692307692298</v>
      </c>
      <c r="BE56" s="14">
        <f>BD56*VLOOKUP('Données projet'!$B$11,Paramètres!$A$1:$I$89,3,0)*VLOOKUP('Données projet'!$B$11,Paramètres!$A$1:$I$89,5,0)</f>
        <v>113.75999999999995</v>
      </c>
      <c r="BF56" s="14">
        <f t="shared" si="37"/>
        <v>30.215129555931622</v>
      </c>
      <c r="BG56" s="22">
        <f t="shared" si="7"/>
        <v>250.7566839765808</v>
      </c>
      <c r="BH56" s="60">
        <f t="shared" si="8"/>
        <v>544.09001730991417</v>
      </c>
      <c r="BI56" s="60">
        <f ca="1">AVERAGE(OFFSET($BH$3,0,0,'Données projet'!$E$11+1,1))-AVERAGE(OFFSET($H$3,0,0,'Données projet'!$E$11+1,1))</f>
        <v>246.64907095367749</v>
      </c>
      <c r="BJ56" s="60">
        <f t="shared" si="38"/>
        <v>145.34368562171613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253.01952000000003</v>
      </c>
      <c r="CA56" s="14">
        <f t="shared" si="39"/>
        <v>61.232073131479261</v>
      </c>
      <c r="CB56" s="22">
        <f t="shared" si="10"/>
        <v>547.32152470399308</v>
      </c>
      <c r="CC56" s="60">
        <f t="shared" si="11"/>
        <v>840.65485803732645</v>
      </c>
      <c r="CD56" s="60">
        <f ca="1">AVERAGE(OFFSET($CC$3,0,0,'Données projet'!$E$12+1,1))-AVERAGE(OFFSET($H$3,0,0,'Données projet'!$E$12+1,1))</f>
        <v>541.66888676162716</v>
      </c>
      <c r="CE56" s="60">
        <f t="shared" si="40"/>
        <v>294.45557293177131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261.60000000000002</v>
      </c>
      <c r="CU56" s="18">
        <f>CT56*VLOOKUP('Données projet'!$B$13,Paramètres!$A$1:$I$89,3,0)*VLOOKUP('Données projet'!$B$13,Paramètres!$A$1:$I$89,5,0)</f>
        <v>281.58623999999998</v>
      </c>
      <c r="CV56" s="14">
        <f t="shared" si="41"/>
        <v>67.302116699219098</v>
      </c>
      <c r="CW56" s="22">
        <f t="shared" si="13"/>
        <v>607.64722125113985</v>
      </c>
      <c r="CX56" s="60">
        <f t="shared" si="14"/>
        <v>900.98055458447311</v>
      </c>
      <c r="CY56" s="60">
        <f ca="1">AVERAGE(OFFSET($CX$3,0,0,'Données projet'!$E$13+1,1))-AVERAGE(OFFSET($H$3,0,0,'Données projet'!$E$13+1,1))</f>
        <v>597.75551942969628</v>
      </c>
      <c r="CZ56" s="60">
        <f t="shared" si="42"/>
        <v>322.81767004794284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825.65123169891604</v>
      </c>
      <c r="S57" s="60">
        <f ca="1">AVERAGE(OFFSET($R$3,0,0,'Données projet'!$E$9+1,1))-AVERAGE(OFFSET($H$3,0,0,'Données projet'!$E$9+1,1))</f>
        <v>509.56241660612449</v>
      </c>
      <c r="T57" s="60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275.60520000000002</v>
      </c>
      <c r="AK57" s="14">
        <f t="shared" si="35"/>
        <v>66.037407906416391</v>
      </c>
      <c r="AL57" s="22">
        <f t="shared" si="4"/>
        <v>595.02754210367516</v>
      </c>
      <c r="AM57" s="60">
        <f t="shared" si="5"/>
        <v>888.36087543700842</v>
      </c>
      <c r="AN57" s="60">
        <f ca="1">AVERAGE(OFFSET($AM$3,0,0,'Données projet'!$E$10+1,1))-AVERAGE(OFFSET($H$3,0,0,'Données projet'!$E$10+1,1))</f>
        <v>565.72091871734051</v>
      </c>
      <c r="AO57" s="60">
        <f t="shared" si="36"/>
        <v>306.61893266146666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10.769230769230768</v>
      </c>
      <c r="BD57" s="13">
        <f>IF('Données projet'!$A$88&gt;35,BD56+BC57-BL56,IF(A57&lt;'Données projet'!$A$88,$BA$205^A57,IF(A57='Données projet'!$A$88,'Données projet'!$B$88,BD56+BC57-BL56)))</f>
        <v>253.84615384615375</v>
      </c>
      <c r="BE57" s="14">
        <f>BD57*VLOOKUP('Données projet'!$B$11,Paramètres!$A$1:$I$89,3,0)*VLOOKUP('Données projet'!$B$11,Paramètres!$A$1:$I$89,5,0)</f>
        <v>118.79999999999995</v>
      </c>
      <c r="BF57" s="14">
        <f t="shared" si="37"/>
        <v>31.394955500632594</v>
      </c>
      <c r="BG57" s="22">
        <f t="shared" si="7"/>
        <v>261.58954749693504</v>
      </c>
      <c r="BH57" s="60">
        <f t="shared" si="8"/>
        <v>554.92288083026835</v>
      </c>
      <c r="BI57" s="60">
        <f ca="1">AVERAGE(OFFSET($BH$3,0,0,'Données projet'!$E$11+1,1))-AVERAGE(OFFSET($H$3,0,0,'Données projet'!$E$11+1,1))</f>
        <v>246.64907095367749</v>
      </c>
      <c r="BJ57" s="60">
        <f t="shared" si="38"/>
        <v>145.34368562171613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262.88496000000004</v>
      </c>
      <c r="CA57" s="14">
        <f t="shared" si="39"/>
        <v>63.336939343271965</v>
      </c>
      <c r="CB57" s="22">
        <f t="shared" si="10"/>
        <v>568.16980802286537</v>
      </c>
      <c r="CC57" s="60">
        <f t="shared" si="11"/>
        <v>861.50314135619874</v>
      </c>
      <c r="CD57" s="60">
        <f ca="1">AVERAGE(OFFSET($CC$3,0,0,'Données projet'!$E$12+1,1))-AVERAGE(OFFSET($H$3,0,0,'Données projet'!$E$12+1,1))</f>
        <v>541.66888676162716</v>
      </c>
      <c r="CE57" s="60">
        <f t="shared" si="40"/>
        <v>294.45557293177131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271.8</v>
      </c>
      <c r="CU57" s="18">
        <f>CT57*VLOOKUP('Données projet'!$B$13,Paramètres!$A$1:$I$89,3,0)*VLOOKUP('Données projet'!$B$13,Paramètres!$A$1:$I$89,5,0)</f>
        <v>292.56551999999999</v>
      </c>
      <c r="CV57" s="14">
        <f t="shared" si="41"/>
        <v>69.615642016549756</v>
      </c>
      <c r="CW57" s="22">
        <f t="shared" si="13"/>
        <v>630.79885717882416</v>
      </c>
      <c r="CX57" s="60">
        <f t="shared" si="14"/>
        <v>924.13219051215742</v>
      </c>
      <c r="CY57" s="60">
        <f ca="1">AVERAGE(OFFSET($CX$3,0,0,'Données projet'!$E$13+1,1))-AVERAGE(OFFSET($H$3,0,0,'Données projet'!$E$13+1,1))</f>
        <v>597.75551942969628</v>
      </c>
      <c r="CZ57" s="60">
        <f t="shared" si="42"/>
        <v>322.81767004794284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845.16612239513051</v>
      </c>
      <c r="S58" s="60">
        <f ca="1">AVERAGE(OFFSET($R$3,0,0,'Données projet'!$E$9+1,1))-AVERAGE(OFFSET($H$3,0,0,'Données projet'!$E$9+1,1))</f>
        <v>509.56241660612449</v>
      </c>
      <c r="T58" s="60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285.94800000000004</v>
      </c>
      <c r="AK58" s="14">
        <f t="shared" si="35"/>
        <v>68.222450362989363</v>
      </c>
      <c r="AL58" s="22">
        <f t="shared" si="4"/>
        <v>616.84686771553982</v>
      </c>
      <c r="AM58" s="60">
        <f t="shared" si="5"/>
        <v>910.18020104887319</v>
      </c>
      <c r="AN58" s="60">
        <f ca="1">AVERAGE(OFFSET($AM$3,0,0,'Données projet'!$E$10+1,1))-AVERAGE(OFFSET($H$3,0,0,'Données projet'!$E$10+1,1))</f>
        <v>565.72091871734051</v>
      </c>
      <c r="AO58" s="60">
        <f t="shared" si="36"/>
        <v>306.61893266146666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10.769230769230768</v>
      </c>
      <c r="BD58" s="13">
        <f>IF('Données projet'!$A$88&gt;35,BD57+BC58-BL57,IF(A58&lt;'Données projet'!$A$88,$BA$205^A58,IF(A58='Données projet'!$A$88,'Données projet'!$B$88,BD57+BC58-BL57)))</f>
        <v>264.61538461538453</v>
      </c>
      <c r="BE58" s="14">
        <f>BD58*VLOOKUP('Données projet'!$B$11,Paramètres!$A$1:$I$89,3,0)*VLOOKUP('Données projet'!$B$11,Paramètres!$A$1:$I$89,5,0)</f>
        <v>123.83999999999995</v>
      </c>
      <c r="BF58" s="14">
        <f t="shared" si="37"/>
        <v>32.56896777038807</v>
      </c>
      <c r="BG58" s="22">
        <f t="shared" si="7"/>
        <v>272.4122855334258</v>
      </c>
      <c r="BH58" s="60">
        <f t="shared" si="8"/>
        <v>565.74561886675906</v>
      </c>
      <c r="BI58" s="60">
        <f ca="1">AVERAGE(OFFSET($BH$3,0,0,'Données projet'!$E$11+1,1))-AVERAGE(OFFSET($H$3,0,0,'Données projet'!$E$11+1,1))</f>
        <v>246.64907095367749</v>
      </c>
      <c r="BJ58" s="60">
        <f t="shared" si="38"/>
        <v>145.34368562171613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272.75040000000001</v>
      </c>
      <c r="CA58" s="14">
        <f t="shared" si="39"/>
        <v>65.43262883082069</v>
      </c>
      <c r="CB58" s="22">
        <f t="shared" si="10"/>
        <v>589.00210854701277</v>
      </c>
      <c r="CC58" s="60">
        <f t="shared" si="11"/>
        <v>882.33544188034602</v>
      </c>
      <c r="CD58" s="60">
        <f ca="1">AVERAGE(OFFSET($CC$3,0,0,'Données projet'!$E$12+1,1))-AVERAGE(OFFSET($H$3,0,0,'Données projet'!$E$12+1,1))</f>
        <v>541.66888676162716</v>
      </c>
      <c r="CE58" s="60">
        <f t="shared" si="40"/>
        <v>294.45557293177131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282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282</v>
      </c>
      <c r="CU58" s="18">
        <f>CT58*VLOOKUP('Données projet'!$B$13,Paramètres!$A$1:$I$89,3,0)*VLOOKUP('Données projet'!$B$13,Paramètres!$A$1:$I$89,5,0)</f>
        <v>303.54480000000001</v>
      </c>
      <c r="CV58" s="14">
        <f t="shared" si="41"/>
        <v>71.919080904752505</v>
      </c>
      <c r="CW58" s="22">
        <f t="shared" si="13"/>
        <v>653.93292590911062</v>
      </c>
      <c r="CX58" s="60">
        <f t="shared" si="14"/>
        <v>947.26625924244399</v>
      </c>
      <c r="CY58" s="60">
        <f ca="1">AVERAGE(OFFSET($CX$3,0,0,'Données projet'!$E$13+1,1))-AVERAGE(OFFSET($H$3,0,0,'Données projet'!$E$13+1,1))</f>
        <v>597.75551942969628</v>
      </c>
      <c r="CZ58" s="60">
        <f t="shared" si="42"/>
        <v>322.81767004794284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755.88227529661003</v>
      </c>
      <c r="S59" s="60">
        <f ca="1">AVERAGE(OFFSET($R$3,0,0,'Données projet'!$E$9+1,1))-AVERAGE(OFFSET($H$3,0,0,'Données projet'!$E$9+1,1))</f>
        <v>509.56241660612449</v>
      </c>
      <c r="T59" s="60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0">
        <f t="shared" si="5"/>
        <v>810.35473537050575</v>
      </c>
      <c r="AN59" s="60">
        <f ca="1">AVERAGE(OFFSET($AM$3,0,0,'Données projet'!$E$10+1,1))-AVERAGE(OFFSET($H$3,0,0,'Données projet'!$E$10+1,1))</f>
        <v>565.72091871734051</v>
      </c>
      <c r="AO59" s="60">
        <f t="shared" si="36"/>
        <v>306.61893266146666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10.769230769230768</v>
      </c>
      <c r="BD59" s="13">
        <f>IF('Données projet'!$A$88&gt;35,BD58+BC59-BL58,IF(A59&lt;'Données projet'!$A$88,$BA$205^A59,IF(A59='Données projet'!$A$88,'Données projet'!$B$88,BD58+BC59-BL58)))</f>
        <v>275.3846153846153</v>
      </c>
      <c r="BE59" s="14">
        <f>BD59*VLOOKUP('Données projet'!$B$11,Paramètres!$A$1:$I$89,3,0)*VLOOKUP('Données projet'!$B$11,Paramètres!$A$1:$I$89,5,0)</f>
        <v>128.87999999999997</v>
      </c>
      <c r="BF59" s="14">
        <f t="shared" si="37"/>
        <v>33.73743003255538</v>
      </c>
      <c r="BG59" s="22">
        <f t="shared" si="7"/>
        <v>283.22535730670057</v>
      </c>
      <c r="BH59" s="60">
        <f t="shared" si="8"/>
        <v>576.55869064003389</v>
      </c>
      <c r="BI59" s="60">
        <f ca="1">AVERAGE(OFFSET($BH$3,0,0,'Données projet'!$E$11+1,1))-AVERAGE(OFFSET($H$3,0,0,'Données projet'!$E$11+1,1))</f>
        <v>246.64907095367749</v>
      </c>
      <c r="BJ59" s="60">
        <f t="shared" si="38"/>
        <v>145.34368562171613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0">
        <f t="shared" si="11"/>
        <v>787.0250959418571</v>
      </c>
      <c r="CD59" s="60">
        <f ca="1">AVERAGE(OFFSET($CC$3,0,0,'Données projet'!$E$12+1,1))-AVERAGE(OFFSET($H$3,0,0,'Données projet'!$E$12+1,1))</f>
        <v>541.66888676162716</v>
      </c>
      <c r="CE59" s="60">
        <f t="shared" si="40"/>
        <v>294.45557293177131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253.38455999999994</v>
      </c>
      <c r="CV59" s="14">
        <f t="shared" si="41"/>
        <v>61.310125241957316</v>
      </c>
      <c r="CW59" s="22">
        <f t="shared" si="13"/>
        <v>548.09324346307551</v>
      </c>
      <c r="CX59" s="60">
        <f t="shared" si="14"/>
        <v>841.42657679640888</v>
      </c>
      <c r="CY59" s="60">
        <f ca="1">AVERAGE(OFFSET($CX$3,0,0,'Données projet'!$E$13+1,1))-AVERAGE(OFFSET($H$3,0,0,'Données projet'!$E$13+1,1))</f>
        <v>597.75551942969628</v>
      </c>
      <c r="CZ59" s="60">
        <f t="shared" si="42"/>
        <v>322.81767004794284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773.91966709175358</v>
      </c>
      <c r="S60" s="60">
        <f ca="1">AVERAGE(OFFSET($R$3,0,0,'Données projet'!$E$9+1,1))-AVERAGE(OFFSET($H$3,0,0,'Données projet'!$E$9+1,1))</f>
        <v>509.56241660612449</v>
      </c>
      <c r="T60" s="60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0">
        <f t="shared" si="5"/>
        <v>830.52144461230614</v>
      </c>
      <c r="AN60" s="60">
        <f ca="1">AVERAGE(OFFSET($AM$3,0,0,'Données projet'!$E$10+1,1))-AVERAGE(OFFSET($H$3,0,0,'Données projet'!$E$10+1,1))</f>
        <v>565.72091871734051</v>
      </c>
      <c r="AO60" s="60">
        <f t="shared" si="36"/>
        <v>306.61893266146666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10.769230769230768</v>
      </c>
      <c r="BD60" s="13">
        <f>IF('Données projet'!$A$88&gt;35,BD59+BC60-BL59,IF(A60&lt;'Données projet'!$A$88,$BA$205^A60,IF(A60='Données projet'!$A$88,'Données projet'!$B$88,BD59+BC60-BL59)))</f>
        <v>286.15384615384608</v>
      </c>
      <c r="BE60" s="14">
        <f>BD60*VLOOKUP('Données projet'!$B$11,Paramètres!$A$1:$I$89,3,0)*VLOOKUP('Données projet'!$B$11,Paramètres!$A$1:$I$89,5,0)</f>
        <v>133.91999999999996</v>
      </c>
      <c r="BF60" s="14">
        <f t="shared" si="37"/>
        <v>34.900584164862018</v>
      </c>
      <c r="BG60" s="22">
        <f t="shared" si="7"/>
        <v>294.02918408713464</v>
      </c>
      <c r="BH60" s="60">
        <f t="shared" si="8"/>
        <v>587.36251742046795</v>
      </c>
      <c r="BI60" s="60">
        <f ca="1">AVERAGE(OFFSET($BH$3,0,0,'Données projet'!$E$11+1,1))-AVERAGE(OFFSET($H$3,0,0,'Données projet'!$E$11+1,1))</f>
        <v>246.64907095367749</v>
      </c>
      <c r="BJ60" s="60">
        <f t="shared" si="38"/>
        <v>145.34368562171613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0">
        <f t="shared" si="11"/>
        <v>806.27979327409707</v>
      </c>
      <c r="CD60" s="60">
        <f ca="1">AVERAGE(OFFSET($CC$3,0,0,'Données projet'!$E$12+1,1))-AVERAGE(OFFSET($H$3,0,0,'Données projet'!$E$12+1,1))</f>
        <v>541.66888676162716</v>
      </c>
      <c r="CE60" s="60">
        <f t="shared" si="40"/>
        <v>294.45557293177131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263.50271999999995</v>
      </c>
      <c r="CV60" s="14">
        <f t="shared" si="41"/>
        <v>63.468433809179686</v>
      </c>
      <c r="CW60" s="22">
        <f t="shared" si="13"/>
        <v>569.47475955098787</v>
      </c>
      <c r="CX60" s="60">
        <f t="shared" si="14"/>
        <v>862.80809288432124</v>
      </c>
      <c r="CY60" s="60">
        <f ca="1">AVERAGE(OFFSET($CX$3,0,0,'Données projet'!$E$13+1,1))-AVERAGE(OFFSET($H$3,0,0,'Données projet'!$E$13+1,1))</f>
        <v>597.75551942969628</v>
      </c>
      <c r="CZ60" s="60">
        <f t="shared" si="42"/>
        <v>322.81767004794284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791.94267592098333</v>
      </c>
      <c r="S61" s="60">
        <f ca="1">AVERAGE(OFFSET($R$3,0,0,'Données projet'!$E$9+1,1))-AVERAGE(OFFSET($H$3,0,0,'Données projet'!$E$9+1,1))</f>
        <v>509.56241660612449</v>
      </c>
      <c r="T61" s="60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0">
        <f t="shared" si="5"/>
        <v>850.6722473875011</v>
      </c>
      <c r="AN61" s="60">
        <f ca="1">AVERAGE(OFFSET($AM$3,0,0,'Données projet'!$E$10+1,1))-AVERAGE(OFFSET($H$3,0,0,'Données projet'!$E$10+1,1))</f>
        <v>565.72091871734051</v>
      </c>
      <c r="AO61" s="60">
        <f t="shared" si="36"/>
        <v>306.61893266146666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10.769230769230768</v>
      </c>
      <c r="BD61" s="13">
        <f>IF('Données projet'!$A$88&gt;35,BD60+BC61-BL60,IF(A61&lt;'Données projet'!$A$88,$BA$205^A61,IF(A61='Données projet'!$A$88,'Données projet'!$B$88,BD60+BC61-BL60)))</f>
        <v>296.92307692307685</v>
      </c>
      <c r="BE61" s="14">
        <f>BD61*VLOOKUP('Données projet'!$B$11,Paramètres!$A$1:$I$89,3,0)*VLOOKUP('Données projet'!$B$11,Paramètres!$A$1:$I$89,5,0)</f>
        <v>138.95999999999998</v>
      </c>
      <c r="BF61" s="14">
        <f t="shared" si="37"/>
        <v>36.058652807868881</v>
      </c>
      <c r="BG61" s="22">
        <f t="shared" si="7"/>
        <v>304.82415364037161</v>
      </c>
      <c r="BH61" s="60">
        <f t="shared" si="8"/>
        <v>598.15748697370486</v>
      </c>
      <c r="BI61" s="60">
        <f ca="1">AVERAGE(OFFSET($BH$3,0,0,'Données projet'!$E$11+1,1))-AVERAGE(OFFSET($H$3,0,0,'Données projet'!$E$11+1,1))</f>
        <v>246.64907095367749</v>
      </c>
      <c r="BJ61" s="60">
        <f t="shared" si="38"/>
        <v>145.34368562171613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0">
        <f t="shared" si="11"/>
        <v>825.51923460307307</v>
      </c>
      <c r="CD61" s="60">
        <f ca="1">AVERAGE(OFFSET($CC$3,0,0,'Données projet'!$E$12+1,1))-AVERAGE(OFFSET($H$3,0,0,'Données projet'!$E$12+1,1))</f>
        <v>541.66888676162716</v>
      </c>
      <c r="CE61" s="60">
        <f t="shared" si="40"/>
        <v>294.45557293177131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273.62087999999994</v>
      </c>
      <c r="CV61" s="14">
        <f t="shared" si="41"/>
        <v>65.617114611149361</v>
      </c>
      <c r="CW61" s="22">
        <f t="shared" si="13"/>
        <v>590.83950728108505</v>
      </c>
      <c r="CX61" s="60">
        <f t="shared" si="14"/>
        <v>884.17284061441842</v>
      </c>
      <c r="CY61" s="60">
        <f ca="1">AVERAGE(OFFSET($CX$3,0,0,'Données projet'!$E$13+1,1))-AVERAGE(OFFSET($H$3,0,0,'Données projet'!$E$13+1,1))</f>
        <v>597.75551942969628</v>
      </c>
      <c r="CZ61" s="60">
        <f t="shared" si="42"/>
        <v>322.81767004794284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809.95189455631794</v>
      </c>
      <c r="S62" s="60">
        <f ca="1">AVERAGE(OFFSET($R$3,0,0,'Données projet'!$E$9+1,1))-AVERAGE(OFFSET($H$3,0,0,'Données projet'!$E$9+1,1))</f>
        <v>509.56241660612449</v>
      </c>
      <c r="T62" s="60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0">
        <f t="shared" si="5"/>
        <v>870.80779925686852</v>
      </c>
      <c r="AN62" s="60">
        <f ca="1">AVERAGE(OFFSET($AM$3,0,0,'Données projet'!$E$10+1,1))-AVERAGE(OFFSET($H$3,0,0,'Données projet'!$E$10+1,1))</f>
        <v>565.72091871734051</v>
      </c>
      <c r="AO62" s="60">
        <f t="shared" si="36"/>
        <v>306.61893266146666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10.769230769230768</v>
      </c>
      <c r="BD62" s="13">
        <f>IF('Données projet'!$A$88&gt;35,BD61+BC62-BL61,IF(A62&lt;'Données projet'!$A$88,$BA$205^A62,IF(A62='Données projet'!$A$88,'Données projet'!$B$88,BD61+BC62-BL61)))</f>
        <v>307.69230769230762</v>
      </c>
      <c r="BE62" s="14">
        <f>BD62*VLOOKUP('Données projet'!$B$11,Paramètres!$A$1:$I$89,3,0)*VLOOKUP('Données projet'!$B$11,Paramètres!$A$1:$I$89,5,0)</f>
        <v>143.99999999999997</v>
      </c>
      <c r="BF62" s="14">
        <f t="shared" si="37"/>
        <v>37.211841536720947</v>
      </c>
      <c r="BG62" s="22">
        <f t="shared" si="7"/>
        <v>315.61062400978892</v>
      </c>
      <c r="BH62" s="60">
        <f t="shared" si="8"/>
        <v>608.94395734312229</v>
      </c>
      <c r="BI62" s="60">
        <f ca="1">AVERAGE(OFFSET($BH$3,0,0,'Données projet'!$E$11+1,1))-AVERAGE(OFFSET($H$3,0,0,'Données projet'!$E$11+1,1))</f>
        <v>246.64907095367749</v>
      </c>
      <c r="BJ62" s="60">
        <f t="shared" si="38"/>
        <v>145.34368562171613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0">
        <f t="shared" si="11"/>
        <v>844.74404868170814</v>
      </c>
      <c r="CD62" s="60">
        <f ca="1">AVERAGE(OFFSET($CC$3,0,0,'Données projet'!$E$12+1,1))-AVERAGE(OFFSET($H$3,0,0,'Données projet'!$E$12+1,1))</f>
        <v>541.66888676162716</v>
      </c>
      <c r="CE62" s="60">
        <f t="shared" si="40"/>
        <v>294.45557293177131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283.73903999999993</v>
      </c>
      <c r="CV62" s="14">
        <f t="shared" si="41"/>
        <v>67.756564441537463</v>
      </c>
      <c r="CW62" s="22">
        <f t="shared" si="13"/>
        <v>612.18817773567764</v>
      </c>
      <c r="CX62" s="60">
        <f t="shared" si="14"/>
        <v>905.52151106901101</v>
      </c>
      <c r="CY62" s="60">
        <f ca="1">AVERAGE(OFFSET($CX$3,0,0,'Données projet'!$E$13+1,1))-AVERAGE(OFFSET($H$3,0,0,'Données projet'!$E$13+1,1))</f>
        <v>597.75551942969628</v>
      </c>
      <c r="CZ62" s="60">
        <f t="shared" si="42"/>
        <v>322.81767004794284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827.94787109652862</v>
      </c>
      <c r="S63" s="60">
        <f ca="1">AVERAGE(OFFSET($R$3,0,0,'Données projet'!$E$9+1,1))-AVERAGE(OFFSET($H$3,0,0,'Données projet'!$E$9+1,1))</f>
        <v>509.56241660612449</v>
      </c>
      <c r="T63" s="60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0">
        <f t="shared" si="5"/>
        <v>890.92870637597116</v>
      </c>
      <c r="AN63" s="60">
        <f ca="1">AVERAGE(OFFSET($AM$3,0,0,'Données projet'!$E$10+1,1))-AVERAGE(OFFSET($H$3,0,0,'Données projet'!$E$10+1,1))</f>
        <v>565.72091871734051</v>
      </c>
      <c r="AO63" s="60">
        <f t="shared" si="36"/>
        <v>306.61893266146666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10.769230769230768</v>
      </c>
      <c r="BD63" s="13">
        <f>IF('Données projet'!$A$88&gt;35,BD62+BC63-BL62,IF(A63&lt;'Données projet'!$A$88,$BA$205^A63,IF(A63='Données projet'!$A$88,'Données projet'!$B$88,BD62+BC63-BL62)))</f>
        <v>318.4615384615384</v>
      </c>
      <c r="BE63" s="14">
        <f>BD63*VLOOKUP('Données projet'!$B$11,Paramètres!$A$1:$I$89,3,0)*VLOOKUP('Données projet'!$B$11,Paramètres!$A$1:$I$89,5,0)</f>
        <v>149.03999999999996</v>
      </c>
      <c r="BF63" s="14">
        <f t="shared" si="37"/>
        <v>38.360340720309644</v>
      </c>
      <c r="BG63" s="22">
        <f t="shared" si="7"/>
        <v>326.38892675453917</v>
      </c>
      <c r="BH63" s="60">
        <f t="shared" si="8"/>
        <v>619.72226008787243</v>
      </c>
      <c r="BI63" s="60">
        <f ca="1">AVERAGE(OFFSET($BH$3,0,0,'Données projet'!$E$11+1,1))-AVERAGE(OFFSET($H$3,0,0,'Données projet'!$E$11+1,1))</f>
        <v>246.64907095367749</v>
      </c>
      <c r="BJ63" s="60">
        <f t="shared" si="38"/>
        <v>145.34368562171613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0">
        <f t="shared" si="11"/>
        <v>863.95481687803726</v>
      </c>
      <c r="CD63" s="60">
        <f ca="1">AVERAGE(OFFSET($CC$3,0,0,'Données projet'!$E$12+1,1))-AVERAGE(OFFSET($H$3,0,0,'Données projet'!$E$12+1,1))</f>
        <v>541.66888676162716</v>
      </c>
      <c r="CE63" s="60">
        <f t="shared" si="40"/>
        <v>294.45557293177131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293.85719999999992</v>
      </c>
      <c r="CV63" s="14">
        <f t="shared" si="41"/>
        <v>69.887150190339781</v>
      </c>
      <c r="CW63" s="22">
        <f t="shared" si="13"/>
        <v>633.52140991484157</v>
      </c>
      <c r="CX63" s="60">
        <f t="shared" si="14"/>
        <v>926.85474324817483</v>
      </c>
      <c r="CY63" s="60">
        <f ca="1">AVERAGE(OFFSET($CX$3,0,0,'Données projet'!$E$13+1,1))-AVERAGE(OFFSET($H$3,0,0,'Données projet'!$E$13+1,1))</f>
        <v>597.75551942969628</v>
      </c>
      <c r="CZ63" s="60">
        <f t="shared" si="42"/>
        <v>322.81767004794284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844.78361837999637</v>
      </c>
      <c r="S64" s="60">
        <f ca="1">AVERAGE(OFFSET($R$3,0,0,'Données projet'!$E$9+1,1))-AVERAGE(OFFSET($H$3,0,0,'Données projet'!$E$9+1,1))</f>
        <v>509.56241660612449</v>
      </c>
      <c r="T64" s="60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285.74520000000001</v>
      </c>
      <c r="AK64" s="14">
        <f t="shared" si="35"/>
        <v>68.179695862275295</v>
      </c>
      <c r="AL64" s="22">
        <f t="shared" si="4"/>
        <v>616.41919362679607</v>
      </c>
      <c r="AM64" s="60">
        <f t="shared" si="5"/>
        <v>909.75252696012944</v>
      </c>
      <c r="AN64" s="60">
        <f ca="1">AVERAGE(OFFSET($AM$3,0,0,'Données projet'!$E$10+1,1))-AVERAGE(OFFSET($H$3,0,0,'Données projet'!$E$10+1,1))</f>
        <v>565.72091871734051</v>
      </c>
      <c r="AO64" s="60">
        <f t="shared" si="36"/>
        <v>306.61893266146666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10.769230769230768</v>
      </c>
      <c r="BD64" s="13">
        <f>IF('Données projet'!$A$88&gt;35,BD63+BC64-BL63,IF(A64&lt;'Données projet'!$A$88,$BA$205^A64,IF(A64='Données projet'!$A$88,'Données projet'!$B$88,BD63+BC64-BL63)))</f>
        <v>329.23076923076917</v>
      </c>
      <c r="BE64" s="14">
        <f>BD64*VLOOKUP('Données projet'!$B$11,Paramètres!$A$1:$I$89,3,0)*VLOOKUP('Données projet'!$B$11,Paramètres!$A$1:$I$89,5,0)</f>
        <v>154.07999999999998</v>
      </c>
      <c r="BF64" s="14">
        <f t="shared" si="37"/>
        <v>39.504327121889922</v>
      </c>
      <c r="BG64" s="22">
        <f t="shared" si="7"/>
        <v>337.15936973729157</v>
      </c>
      <c r="BH64" s="60">
        <f t="shared" si="8"/>
        <v>630.49270307062488</v>
      </c>
      <c r="BI64" s="60">
        <f ca="1">AVERAGE(OFFSET($BH$3,0,0,'Données projet'!$E$11+1,1))-AVERAGE(OFFSET($H$3,0,0,'Données projet'!$E$11+1,1))</f>
        <v>246.64907095367749</v>
      </c>
      <c r="BJ64" s="60">
        <f t="shared" si="38"/>
        <v>145.34368562171613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272.55696</v>
      </c>
      <c r="CA64" s="14">
        <f t="shared" si="39"/>
        <v>65.391622690449097</v>
      </c>
      <c r="CB64" s="22">
        <f t="shared" si="10"/>
        <v>588.59378151919873</v>
      </c>
      <c r="CC64" s="60">
        <f t="shared" si="11"/>
        <v>881.92711485253199</v>
      </c>
      <c r="CD64" s="60">
        <f ca="1">AVERAGE(OFFSET($CC$3,0,0,'Données projet'!$E$12+1,1))-AVERAGE(OFFSET($H$3,0,0,'Données projet'!$E$12+1,1))</f>
        <v>541.66888676162716</v>
      </c>
      <c r="CE64" s="60">
        <f t="shared" si="40"/>
        <v>294.45557293177131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281.79999999999995</v>
      </c>
      <c r="CU64" s="18">
        <f>CT64*VLOOKUP('Données projet'!$B$13,Paramètres!$A$1:$I$89,3,0)*VLOOKUP('Données projet'!$B$13,Paramètres!$A$1:$I$89,5,0)</f>
        <v>303.32951999999995</v>
      </c>
      <c r="CV64" s="14">
        <f t="shared" si="41"/>
        <v>71.874009753254171</v>
      </c>
      <c r="CW64" s="22">
        <f t="shared" si="13"/>
        <v>653.47948098691757</v>
      </c>
      <c r="CX64" s="60">
        <f t="shared" si="14"/>
        <v>946.81281432025094</v>
      </c>
      <c r="CY64" s="60">
        <f ca="1">AVERAGE(OFFSET($CX$3,0,0,'Données projet'!$E$13+1,1))-AVERAGE(OFFSET($H$3,0,0,'Données projet'!$E$13+1,1))</f>
        <v>597.75551942969628</v>
      </c>
      <c r="CZ64" s="60">
        <f t="shared" si="42"/>
        <v>322.81767004794284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861.60859430939536</v>
      </c>
      <c r="S65" s="60">
        <f ca="1">AVERAGE(OFFSET($R$3,0,0,'Données projet'!$E$9+1,1))-AVERAGE(OFFSET($H$3,0,0,'Données projet'!$E$9+1,1))</f>
        <v>509.56241660612449</v>
      </c>
      <c r="T65" s="60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294.66839999999996</v>
      </c>
      <c r="AK65" s="14">
        <f t="shared" si="35"/>
        <v>70.057591528661547</v>
      </c>
      <c r="AL65" s="22">
        <f t="shared" si="4"/>
        <v>635.23110191241869</v>
      </c>
      <c r="AM65" s="60">
        <f t="shared" si="5"/>
        <v>928.56443524575207</v>
      </c>
      <c r="AN65" s="60">
        <f ca="1">AVERAGE(OFFSET($AM$3,0,0,'Données projet'!$E$10+1,1))-AVERAGE(OFFSET($H$3,0,0,'Données projet'!$E$10+1,1))</f>
        <v>565.72091871734051</v>
      </c>
      <c r="AO65" s="60">
        <f t="shared" si="36"/>
        <v>306.61893266146666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10.769230769230768</v>
      </c>
      <c r="BD65" s="13">
        <f>IF('Données projet'!$A$88&gt;35,BD64+BC65-BL64,IF(A65&lt;'Données projet'!$A$88,$BA$205^A65,IF(A65='Données projet'!$A$88,'Données projet'!$B$88,BD64+BC65-BL64)))</f>
        <v>339.99999999999994</v>
      </c>
      <c r="BE65" s="14">
        <f>BD65*VLOOKUP('Données projet'!$B$11,Paramètres!$A$1:$I$89,3,0)*VLOOKUP('Données projet'!$B$11,Paramètres!$A$1:$I$89,5,0)</f>
        <v>159.11999999999998</v>
      </c>
      <c r="BF65" s="14">
        <f t="shared" si="37"/>
        <v>40.643965284387697</v>
      </c>
      <c r="BG65" s="22">
        <f t="shared" si="7"/>
        <v>347.92223953697516</v>
      </c>
      <c r="BH65" s="60">
        <f t="shared" si="8"/>
        <v>641.25557287030847</v>
      </c>
      <c r="BI65" s="60">
        <f ca="1">AVERAGE(OFFSET($BH$3,0,0,'Données projet'!$E$11+1,1))-AVERAGE(OFFSET($H$3,0,0,'Données projet'!$E$11+1,1))</f>
        <v>246.64907095367749</v>
      </c>
      <c r="BJ65" s="60">
        <f t="shared" si="38"/>
        <v>145.34368562171613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281.06831999999997</v>
      </c>
      <c r="CA65" s="14">
        <f t="shared" si="39"/>
        <v>67.19272554541665</v>
      </c>
      <c r="CB65" s="22">
        <f t="shared" si="10"/>
        <v>606.55465432493395</v>
      </c>
      <c r="CC65" s="60">
        <f t="shared" si="11"/>
        <v>899.88798765826732</v>
      </c>
      <c r="CD65" s="60">
        <f ca="1">AVERAGE(OFFSET($CC$3,0,0,'Données projet'!$E$12+1,1))-AVERAGE(OFFSET($H$3,0,0,'Données projet'!$E$12+1,1))</f>
        <v>541.66888676162716</v>
      </c>
      <c r="CE65" s="60">
        <f t="shared" si="40"/>
        <v>294.45557293177131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290.59999999999997</v>
      </c>
      <c r="CU65" s="18">
        <f>CT65*VLOOKUP('Données projet'!$B$13,Paramètres!$A$1:$I$89,3,0)*VLOOKUP('Données projet'!$B$13,Paramètres!$A$1:$I$89,5,0)</f>
        <v>312.80183999999991</v>
      </c>
      <c r="CV65" s="14">
        <f t="shared" si="41"/>
        <v>73.853659115640383</v>
      </c>
      <c r="CW65" s="22">
        <f t="shared" si="13"/>
        <v>673.42499429307338</v>
      </c>
      <c r="CX65" s="60">
        <f t="shared" si="14"/>
        <v>966.75832762640675</v>
      </c>
      <c r="CY65" s="60">
        <f ca="1">AVERAGE(OFFSET($CX$3,0,0,'Données projet'!$E$13+1,1))-AVERAGE(OFFSET($H$3,0,0,'Données projet'!$E$13+1,1))</f>
        <v>597.75551942969628</v>
      </c>
      <c r="CZ65" s="60">
        <f t="shared" si="42"/>
        <v>322.81767004794284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878.42316250379099</v>
      </c>
      <c r="S66" s="60">
        <f ca="1">AVERAGE(OFFSET($R$3,0,0,'Données projet'!$E$9+1,1))-AVERAGE(OFFSET($H$3,0,0,'Données projet'!$E$9+1,1))</f>
        <v>509.56241660612449</v>
      </c>
      <c r="T66" s="60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303.59159999999997</v>
      </c>
      <c r="AK66" s="14">
        <f t="shared" si="35"/>
        <v>71.928878488732749</v>
      </c>
      <c r="AL66" s="22">
        <f t="shared" si="4"/>
        <v>654.03150003454277</v>
      </c>
      <c r="AM66" s="60">
        <f t="shared" si="5"/>
        <v>947.36483336787614</v>
      </c>
      <c r="AN66" s="60">
        <f ca="1">AVERAGE(OFFSET($AM$3,0,0,'Données projet'!$E$10+1,1))-AVERAGE(OFFSET($H$3,0,0,'Données projet'!$E$10+1,1))</f>
        <v>565.72091871734051</v>
      </c>
      <c r="AO66" s="60">
        <f t="shared" si="36"/>
        <v>306.61893266146666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350.76923076923077</v>
      </c>
      <c r="BB66" s="13">
        <f>VLOOKUP(A66,'Données projet'!$A$87:$I$107,9,0)</f>
        <v>10.769230769230768</v>
      </c>
      <c r="BC66" s="13">
        <f t="array" ref="BC66">INDEX(BB:BB,MIN(IF(ISNUMBER(BB66:BB262),ROW(BB66:BB262),"")))</f>
        <v>10.769230769230768</v>
      </c>
      <c r="BD66" s="13">
        <f>IF('Données projet'!$A$88&gt;35,BD65+BC66-BL65,IF(A66&lt;'Données projet'!$A$88,$BA$205^A66,IF(A66='Données projet'!$A$88,'Données projet'!$B$88,BD65+BC66-BL65)))</f>
        <v>350.76923076923072</v>
      </c>
      <c r="BE66" s="14">
        <f>BD66*VLOOKUP('Données projet'!$B$11,Paramètres!$A$1:$I$89,3,0)*VLOOKUP('Données projet'!$B$11,Paramètres!$A$1:$I$89,5,0)</f>
        <v>164.15999999999997</v>
      </c>
      <c r="BF66" s="14">
        <f t="shared" si="37"/>
        <v>41.779408735262933</v>
      </c>
      <c r="BG66" s="22">
        <f t="shared" si="7"/>
        <v>358.67780354724954</v>
      </c>
      <c r="BH66" s="60">
        <f t="shared" si="8"/>
        <v>652.01113688058285</v>
      </c>
      <c r="BI66" s="60">
        <f ca="1">AVERAGE(OFFSET($BH$3,0,0,'Données projet'!$E$11+1,1))-AVERAGE(OFFSET($H$3,0,0,'Données projet'!$E$11+1,1))</f>
        <v>246.64907095367749</v>
      </c>
      <c r="BJ66" s="60">
        <f t="shared" si="38"/>
        <v>145.34368562171613</v>
      </c>
      <c r="BK66" s="16">
        <f>IF(ISNA(VLOOKUP(A66,'Données projet'!$A$87:$I$107,3,0)),0,VLOOKUP(A66,'Données projet'!$A$87:$I$107,3,0))</f>
        <v>2</v>
      </c>
      <c r="BL66" s="16">
        <f>IF(ISNA(VLOOKUP(A66,'Données projet'!$A$87:$I$107,4,0)),0,VLOOKUP(A66,'Données projet'!$A$87:$I$107,4,0))</f>
        <v>108.46153846153845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289.57968</v>
      </c>
      <c r="CA66" s="14">
        <f t="shared" si="39"/>
        <v>68.987489943980663</v>
      </c>
      <c r="CB66" s="22">
        <f t="shared" si="10"/>
        <v>624.504487652433</v>
      </c>
      <c r="CC66" s="60">
        <f t="shared" si="11"/>
        <v>917.83782098576626</v>
      </c>
      <c r="CD66" s="60">
        <f ca="1">AVERAGE(OFFSET($CC$3,0,0,'Données projet'!$E$12+1,1))-AVERAGE(OFFSET($H$3,0,0,'Données projet'!$E$12+1,1))</f>
        <v>541.66888676162716</v>
      </c>
      <c r="CE66" s="60">
        <f t="shared" si="40"/>
        <v>294.45557293177131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299.39999999999998</v>
      </c>
      <c r="CU66" s="18">
        <f>CT66*VLOOKUP('Données projet'!$B$13,Paramètres!$A$1:$I$89,3,0)*VLOOKUP('Données projet'!$B$13,Paramètres!$A$1:$I$89,5,0)</f>
        <v>322.27415999999994</v>
      </c>
      <c r="CV66" s="14">
        <f t="shared" si="41"/>
        <v>75.826341679243811</v>
      </c>
      <c r="CW66" s="22">
        <f t="shared" si="13"/>
        <v>693.35837375801611</v>
      </c>
      <c r="CX66" s="60">
        <f t="shared" si="14"/>
        <v>986.69170709134937</v>
      </c>
      <c r="CY66" s="60">
        <f ca="1">AVERAGE(OFFSET($CX$3,0,0,'Données projet'!$E$13+1,1))-AVERAGE(OFFSET($H$3,0,0,'Données projet'!$E$13+1,1))</f>
        <v>597.75551942969628</v>
      </c>
      <c r="CZ66" s="60">
        <f t="shared" si="42"/>
        <v>322.81767004794284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895.22766399195029</v>
      </c>
      <c r="S67" s="60">
        <f ca="1">AVERAGE(OFFSET($R$3,0,0,'Données projet'!$E$9+1,1))-AVERAGE(OFFSET($H$3,0,0,'Données projet'!$E$9+1,1))</f>
        <v>509.56241660612449</v>
      </c>
      <c r="T67" s="60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312.51480000000004</v>
      </c>
      <c r="AK67" s="14">
        <f t="shared" si="35"/>
        <v>73.793773289024969</v>
      </c>
      <c r="AL67" s="22">
        <f t="shared" si="4"/>
        <v>672.82076514505184</v>
      </c>
      <c r="AM67" s="60">
        <f t="shared" si="5"/>
        <v>966.15409847838509</v>
      </c>
      <c r="AN67" s="60">
        <f ca="1">AVERAGE(OFFSET($AM$3,0,0,'Données projet'!$E$10+1,1))-AVERAGE(OFFSET($H$3,0,0,'Données projet'!$E$10+1,1))</f>
        <v>565.72091871734051</v>
      </c>
      <c r="AO67" s="60">
        <f t="shared" si="36"/>
        <v>306.61893266146666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9.8717948717948705</v>
      </c>
      <c r="BD67" s="13">
        <f>IF('Données projet'!$A$88&gt;35,BD66+BC67-BL66,IF(A67&lt;'Données projet'!$A$88,$BA$205^A67,IF(A67='Données projet'!$A$88,'Données projet'!$B$88,BD66+BC67-BL66)))</f>
        <v>252.17948717948713</v>
      </c>
      <c r="BE67" s="14">
        <f>BD67*VLOOKUP('Données projet'!$B$11,Paramètres!$A$1:$I$89,3,0)*VLOOKUP('Données projet'!$B$11,Paramètres!$A$1:$I$89,5,0)</f>
        <v>118.01999999999998</v>
      </c>
      <c r="BF67" s="14">
        <f t="shared" si="37"/>
        <v>31.212750593480965</v>
      </c>
      <c r="BG67" s="22">
        <f t="shared" si="7"/>
        <v>259.91370728364598</v>
      </c>
      <c r="BH67" s="60">
        <f t="shared" si="8"/>
        <v>553.24704061697935</v>
      </c>
      <c r="BI67" s="60">
        <f ca="1">AVERAGE(OFFSET($BH$3,0,0,'Données projet'!$E$11+1,1))-AVERAGE(OFFSET($H$3,0,0,'Données projet'!$E$11+1,1))</f>
        <v>246.64907095367749</v>
      </c>
      <c r="BJ67" s="60">
        <f t="shared" si="38"/>
        <v>145.34368562171613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298.09104000000002</v>
      </c>
      <c r="CA67" s="14">
        <f t="shared" si="39"/>
        <v>70.776123577436934</v>
      </c>
      <c r="CB67" s="22">
        <f t="shared" si="10"/>
        <v>642.44364323070261</v>
      </c>
      <c r="CC67" s="60">
        <f t="shared" si="11"/>
        <v>935.77697656403598</v>
      </c>
      <c r="CD67" s="60">
        <f ca="1">AVERAGE(OFFSET($CC$3,0,0,'Données projet'!$E$12+1,1))-AVERAGE(OFFSET($H$3,0,0,'Données projet'!$E$12+1,1))</f>
        <v>541.66888676162716</v>
      </c>
      <c r="CE67" s="60">
        <f t="shared" si="40"/>
        <v>294.45557293177131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308.2</v>
      </c>
      <c r="CU67" s="18">
        <f>CT67*VLOOKUP('Données projet'!$B$13,Paramètres!$A$1:$I$89,3,0)*VLOOKUP('Données projet'!$B$13,Paramètres!$A$1:$I$89,5,0)</f>
        <v>331.74647999999996</v>
      </c>
      <c r="CV67" s="14">
        <f t="shared" si="41"/>
        <v>77.792285724165268</v>
      </c>
      <c r="CW67" s="22">
        <f t="shared" si="13"/>
        <v>713.28001696958779</v>
      </c>
      <c r="CX67" s="60">
        <f t="shared" si="14"/>
        <v>1006.6133503029212</v>
      </c>
      <c r="CY67" s="60">
        <f ca="1">AVERAGE(OFFSET($CX$3,0,0,'Données projet'!$E$13+1,1))-AVERAGE(OFFSET($H$3,0,0,'Données projet'!$E$13+1,1))</f>
        <v>597.75551942969628</v>
      </c>
      <c r="CZ67" s="60">
        <f t="shared" si="42"/>
        <v>322.81767004794284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912.02241922024541</v>
      </c>
      <c r="S68" s="60">
        <f ca="1">AVERAGE(OFFSET($R$3,0,0,'Données projet'!$E$9+1,1))-AVERAGE(OFFSET($H$3,0,0,'Données projet'!$E$9+1,1))</f>
        <v>509.56241660612449</v>
      </c>
      <c r="T68" s="60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321.43800000000005</v>
      </c>
      <c r="AK68" s="14">
        <f t="shared" si="35"/>
        <v>75.652479406660248</v>
      </c>
      <c r="AL68" s="22">
        <f t="shared" ref="AL68:AL131" si="58">(AJ68+AK68)*0.475*44/12</f>
        <v>691.59925163326659</v>
      </c>
      <c r="AM68" s="60">
        <f t="shared" ref="AM68:AM131" si="59">AL68+(AD68+AE68)*44/12</f>
        <v>984.93258496659996</v>
      </c>
      <c r="AN68" s="60">
        <f ca="1">AVERAGE(OFFSET($AM$3,0,0,'Données projet'!$E$10+1,1))-AVERAGE(OFFSET($H$3,0,0,'Données projet'!$E$10+1,1))</f>
        <v>565.72091871734051</v>
      </c>
      <c r="AO68" s="60">
        <f t="shared" si="36"/>
        <v>306.61893266146666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9.8717948717948705</v>
      </c>
      <c r="BD68" s="13">
        <f>IF('Données projet'!$A$88&gt;35,BD67+BC68-BL67,IF(A68&lt;'Données projet'!$A$88,$BA$205^A68,IF(A68='Données projet'!$A$88,'Données projet'!$B$88,BD67+BC68-BL67)))</f>
        <v>262.05128205128199</v>
      </c>
      <c r="BE68" s="14">
        <f>BD68*VLOOKUP('Données projet'!$B$11,Paramètres!$A$1:$I$89,3,0)*VLOOKUP('Données projet'!$B$11,Paramètres!$A$1:$I$89,5,0)</f>
        <v>122.63999999999997</v>
      </c>
      <c r="BF68" s="14">
        <f t="shared" si="37"/>
        <v>32.289953931572668</v>
      </c>
      <c r="BG68" s="22">
        <f t="shared" ref="BG68:BG131" si="61">(BE68+BF68)*0.475*44/12</f>
        <v>269.83633643082231</v>
      </c>
      <c r="BH68" s="60">
        <f t="shared" ref="BH68:BH131" si="62">BG68+(AY68+AZ68)*44/12</f>
        <v>563.16966976415563</v>
      </c>
      <c r="BI68" s="60">
        <f ca="1">AVERAGE(OFFSET($BH$3,0,0,'Données projet'!$E$11+1,1))-AVERAGE(OFFSET($H$3,0,0,'Données projet'!$E$11+1,1))</f>
        <v>246.64907095367749</v>
      </c>
      <c r="BJ68" s="60">
        <f t="shared" si="38"/>
        <v>145.34368562171613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306.60239999999999</v>
      </c>
      <c r="CA68" s="14">
        <f t="shared" si="39"/>
        <v>72.558821602115088</v>
      </c>
      <c r="CB68" s="22">
        <f t="shared" ref="CB68:CB131" si="64">(BZ68+CA68)*0.475*44/12</f>
        <v>660.3724609570171</v>
      </c>
      <c r="CC68" s="60">
        <f t="shared" ref="CC68:CC131" si="65">CB68+(BT68+BU68)*44/12</f>
        <v>953.70579429035047</v>
      </c>
      <c r="CD68" s="60">
        <f ca="1">AVERAGE(OFFSET($CC$3,0,0,'Données projet'!$E$12+1,1))-AVERAGE(OFFSET($H$3,0,0,'Données projet'!$E$12+1,1))</f>
        <v>541.66888676162716</v>
      </c>
      <c r="CE68" s="60">
        <f t="shared" si="40"/>
        <v>294.45557293177131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317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317</v>
      </c>
      <c r="CU68" s="18">
        <f>CT68*VLOOKUP('Données projet'!$B$13,Paramètres!$A$1:$I$89,3,0)*VLOOKUP('Données projet'!$B$13,Paramètres!$A$1:$I$89,5,0)</f>
        <v>341.21879999999999</v>
      </c>
      <c r="CV68" s="14">
        <f t="shared" si="41"/>
        <v>79.751705752925901</v>
      </c>
      <c r="CW68" s="22">
        <f t="shared" ref="CW68:CW131" si="67">(CU68+CV68)*0.475*44/12</f>
        <v>733.19029751967912</v>
      </c>
      <c r="CX68" s="60">
        <f t="shared" ref="CX68:CX131" si="68">CW68+(CO68+CP68)*44/12</f>
        <v>1026.5236308530125</v>
      </c>
      <c r="CY68" s="60">
        <f ca="1">AVERAGE(OFFSET($CX$3,0,0,'Données projet'!$E$13+1,1))-AVERAGE(OFFSET($H$3,0,0,'Données projet'!$E$13+1,1))</f>
        <v>597.75551942969628</v>
      </c>
      <c r="CZ68" s="60">
        <f t="shared" si="42"/>
        <v>322.81767004794284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820.67446302574353</v>
      </c>
      <c r="S69" s="60">
        <f ca="1">AVERAGE(OFFSET($R$3,0,0,'Données projet'!$E$9+1,1))-AVERAGE(OFFSET($H$3,0,0,'Données projet'!$E$9+1,1))</f>
        <v>509.56241660612449</v>
      </c>
      <c r="T69" s="60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0">
        <f t="shared" si="59"/>
        <v>882.79644918103463</v>
      </c>
      <c r="AN69" s="60">
        <f ca="1">AVERAGE(OFFSET($AM$3,0,0,'Données projet'!$E$10+1,1))-AVERAGE(OFFSET($H$3,0,0,'Données projet'!$E$10+1,1))</f>
        <v>565.72091871734051</v>
      </c>
      <c r="AO69" s="60">
        <f t="shared" ref="AO69:AO132" si="90">$AO$3</f>
        <v>306.61893266146666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9.8717948717948705</v>
      </c>
      <c r="BD69" s="13">
        <f>IF('Données projet'!$A$88&gt;35,BD68+BC69-BL68,IF(A69&lt;'Données projet'!$A$88,$BA$205^A69,IF(A69='Données projet'!$A$88,'Données projet'!$B$88,BD68+BC69-BL68)))</f>
        <v>271.92307692307685</v>
      </c>
      <c r="BE69" s="14">
        <f>BD69*VLOOKUP('Données projet'!$B$11,Paramètres!$A$1:$I$89,3,0)*VLOOKUP('Données projet'!$B$11,Paramètres!$A$1:$I$89,5,0)</f>
        <v>127.25999999999998</v>
      </c>
      <c r="BF69" s="14">
        <f t="shared" ref="BF69:BF132" si="91">EXP(-1.0587+0.8836*LN(BE69)+0.284)</f>
        <v>33.362442969975817</v>
      </c>
      <c r="BG69" s="22">
        <f t="shared" si="61"/>
        <v>279.75075483937445</v>
      </c>
      <c r="BH69" s="60">
        <f t="shared" si="62"/>
        <v>573.08408817270777</v>
      </c>
      <c r="BI69" s="60">
        <f ca="1">AVERAGE(OFFSET($BH$3,0,0,'Données projet'!$E$11+1,1))-AVERAGE(OFFSET($H$3,0,0,'Données projet'!$E$11+1,1))</f>
        <v>246.64907095367749</v>
      </c>
      <c r="BJ69" s="60">
        <f t="shared" ref="BJ69:BJ132" si="92">$BJ$3</f>
        <v>145.34368562171613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0">
        <f t="shared" si="65"/>
        <v>856.19041758061712</v>
      </c>
      <c r="CD69" s="60">
        <f ca="1">AVERAGE(OFFSET($CC$3,0,0,'Données projet'!$E$12+1,1))-AVERAGE(OFFSET($H$3,0,0,'Données projet'!$E$12+1,1))</f>
        <v>541.66888676162716</v>
      </c>
      <c r="CE69" s="60">
        <f t="shared" ref="CE69:CE132" si="94">$CE$3</f>
        <v>294.45557293177131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289.76688000000001</v>
      </c>
      <c r="CV69" s="14">
        <f t="shared" ref="CV69:CV132" si="95">EXP(-1.0587+0.8836*LN(CU69)+0.284)</f>
        <v>69.026894594073823</v>
      </c>
      <c r="CW69" s="22">
        <f t="shared" si="67"/>
        <v>624.8991574180119</v>
      </c>
      <c r="CX69" s="60">
        <f t="shared" si="68"/>
        <v>918.23249075134527</v>
      </c>
      <c r="CY69" s="60">
        <f ca="1">AVERAGE(OFFSET($CX$3,0,0,'Données projet'!$E$13+1,1))-AVERAGE(OFFSET($H$3,0,0,'Données projet'!$E$13+1,1))</f>
        <v>597.75551942969628</v>
      </c>
      <c r="CZ69" s="60">
        <f t="shared" ref="CZ69:CZ132" si="96">$CZ$3</f>
        <v>322.81767004794284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836.36711482633996</v>
      </c>
      <c r="S70" s="60">
        <f ca="1">AVERAGE(OFFSET($R$3,0,0,'Données projet'!$E$9+1,1))-AVERAGE(OFFSET($H$3,0,0,'Données projet'!$E$9+1,1))</f>
        <v>509.56241660612449</v>
      </c>
      <c r="T70" s="60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0">
        <f t="shared" si="59"/>
        <v>900.34213188128092</v>
      </c>
      <c r="AN70" s="60">
        <f ca="1">AVERAGE(OFFSET($AM$3,0,0,'Données projet'!$E$10+1,1))-AVERAGE(OFFSET($H$3,0,0,'Données projet'!$E$10+1,1))</f>
        <v>565.72091871734051</v>
      </c>
      <c r="AO70" s="60">
        <f t="shared" si="90"/>
        <v>306.61893266146666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9.8717948717948705</v>
      </c>
      <c r="BD70" s="13">
        <f>IF('Données projet'!$A$88&gt;35,BD69+BC70-BL69,IF(A70&lt;'Données projet'!$A$88,$BA$205^A70,IF(A70='Données projet'!$A$88,'Données projet'!$B$88,BD69+BC70-BL69)))</f>
        <v>281.79487179487171</v>
      </c>
      <c r="BE70" s="14">
        <f>BD70*VLOOKUP('Données projet'!$B$11,Paramètres!$A$1:$I$89,3,0)*VLOOKUP('Données projet'!$B$11,Paramètres!$A$1:$I$89,5,0)</f>
        <v>131.87999999999994</v>
      </c>
      <c r="BF70" s="14">
        <f t="shared" si="91"/>
        <v>34.430408458396784</v>
      </c>
      <c r="BG70" s="22">
        <f t="shared" si="61"/>
        <v>289.65729473170762</v>
      </c>
      <c r="BH70" s="60">
        <f t="shared" si="62"/>
        <v>582.99062806504094</v>
      </c>
      <c r="BI70" s="60">
        <f ca="1">AVERAGE(OFFSET($BH$3,0,0,'Données projet'!$E$11+1,1))-AVERAGE(OFFSET($H$3,0,0,'Données projet'!$E$11+1,1))</f>
        <v>246.64907095367749</v>
      </c>
      <c r="BJ70" s="60">
        <f t="shared" si="92"/>
        <v>145.34368562171613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0">
        <f t="shared" si="65"/>
        <v>872.94241911688141</v>
      </c>
      <c r="CD70" s="60">
        <f ca="1">AVERAGE(OFFSET($CC$3,0,0,'Données projet'!$E$12+1,1))-AVERAGE(OFFSET($H$3,0,0,'Données projet'!$E$12+1,1))</f>
        <v>541.66888676162716</v>
      </c>
      <c r="CE70" s="60">
        <f t="shared" si="94"/>
        <v>294.45557293177131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298.59335999999996</v>
      </c>
      <c r="CV70" s="14">
        <f t="shared" si="95"/>
        <v>70.88149709045409</v>
      </c>
      <c r="CW70" s="22">
        <f t="shared" si="67"/>
        <v>643.50204276587419</v>
      </c>
      <c r="CX70" s="60">
        <f t="shared" si="68"/>
        <v>936.83537609920745</v>
      </c>
      <c r="CY70" s="60">
        <f ca="1">AVERAGE(OFFSET($CX$3,0,0,'Données projet'!$E$13+1,1))-AVERAGE(OFFSET($H$3,0,0,'Données projet'!$E$13+1,1))</f>
        <v>597.75551942969628</v>
      </c>
      <c r="CZ70" s="60">
        <f t="shared" si="96"/>
        <v>322.81767004794284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852.05024844371815</v>
      </c>
      <c r="S71" s="60">
        <f ca="1">AVERAGE(OFFSET($R$3,0,0,'Données projet'!$E$9+1,1))-AVERAGE(OFFSET($H$3,0,0,'Données projet'!$E$9+1,1))</f>
        <v>509.56241660612449</v>
      </c>
      <c r="T71" s="60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0">
        <f t="shared" si="59"/>
        <v>917.87728819466042</v>
      </c>
      <c r="AN71" s="60">
        <f ca="1">AVERAGE(OFFSET($AM$3,0,0,'Données projet'!$E$10+1,1))-AVERAGE(OFFSET($H$3,0,0,'Données projet'!$E$10+1,1))</f>
        <v>565.72091871734051</v>
      </c>
      <c r="AO71" s="60">
        <f t="shared" si="90"/>
        <v>306.61893266146666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9.8717948717948705</v>
      </c>
      <c r="BD71" s="13">
        <f>IF('Données projet'!$A$88&gt;35,BD70+BC71-BL70,IF(A71&lt;'Données projet'!$A$88,$BA$205^A71,IF(A71='Données projet'!$A$88,'Données projet'!$B$88,BD70+BC71-BL70)))</f>
        <v>291.66666666666657</v>
      </c>
      <c r="BE71" s="14">
        <f>BD71*VLOOKUP('Données projet'!$B$11,Paramètres!$A$1:$I$89,3,0)*VLOOKUP('Données projet'!$B$11,Paramètres!$A$1:$I$89,5,0)</f>
        <v>136.49999999999994</v>
      </c>
      <c r="BF71" s="14">
        <f t="shared" si="91"/>
        <v>35.494027024087352</v>
      </c>
      <c r="BG71" s="22">
        <f t="shared" si="61"/>
        <v>299.55626373361866</v>
      </c>
      <c r="BH71" s="60">
        <f t="shared" si="62"/>
        <v>592.88959706695198</v>
      </c>
      <c r="BI71" s="60">
        <f ca="1">AVERAGE(OFFSET($BH$3,0,0,'Données projet'!$E$11+1,1))-AVERAGE(OFFSET($H$3,0,0,'Données projet'!$E$11+1,1))</f>
        <v>246.64907095367749</v>
      </c>
      <c r="BJ71" s="60">
        <f t="shared" si="92"/>
        <v>145.34368562171613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0">
        <f t="shared" si="65"/>
        <v>889.6843247219515</v>
      </c>
      <c r="CD71" s="60">
        <f ca="1">AVERAGE(OFFSET($CC$3,0,0,'Données projet'!$E$12+1,1))-AVERAGE(OFFSET($H$3,0,0,'Données projet'!$E$12+1,1))</f>
        <v>541.66888676162716</v>
      </c>
      <c r="CE71" s="60">
        <f t="shared" si="94"/>
        <v>294.45557293177131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307.41983999999997</v>
      </c>
      <c r="CV71" s="14">
        <f t="shared" si="95"/>
        <v>72.729728242133774</v>
      </c>
      <c r="CW71" s="22">
        <f t="shared" si="67"/>
        <v>662.09383135504959</v>
      </c>
      <c r="CX71" s="60">
        <f t="shared" si="68"/>
        <v>955.42716468838285</v>
      </c>
      <c r="CY71" s="60">
        <f ca="1">AVERAGE(OFFSET($CX$3,0,0,'Données projet'!$E$13+1,1))-AVERAGE(OFFSET($H$3,0,0,'Données projet'!$E$13+1,1))</f>
        <v>597.75551942969628</v>
      </c>
      <c r="CZ71" s="60">
        <f t="shared" si="96"/>
        <v>322.81767004794284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867.72416854456674</v>
      </c>
      <c r="S72" s="60">
        <f ca="1">AVERAGE(OFFSET($R$3,0,0,'Données projet'!$E$9+1,1))-AVERAGE(OFFSET($H$3,0,0,'Données projet'!$E$9+1,1))</f>
        <v>509.56241660612449</v>
      </c>
      <c r="T72" s="60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0">
        <f t="shared" si="59"/>
        <v>935.40225505936314</v>
      </c>
      <c r="AN72" s="60">
        <f ca="1">AVERAGE(OFFSET($AM$3,0,0,'Données projet'!$E$10+1,1))-AVERAGE(OFFSET($H$3,0,0,'Données projet'!$E$10+1,1))</f>
        <v>565.72091871734051</v>
      </c>
      <c r="AO72" s="60">
        <f t="shared" si="90"/>
        <v>306.61893266146666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9.8717948717948705</v>
      </c>
      <c r="BD72" s="13">
        <f>IF('Données projet'!$A$88&gt;35,BD71+BC72-BL71,IF(A72&lt;'Données projet'!$A$88,$BA$205^A72,IF(A72='Données projet'!$A$88,'Données projet'!$B$88,BD71+BC72-BL71)))</f>
        <v>301.53846153846143</v>
      </c>
      <c r="BE72" s="14">
        <f>BD72*VLOOKUP('Données projet'!$B$11,Paramètres!$A$1:$I$89,3,0)*VLOOKUP('Données projet'!$B$11,Paramètres!$A$1:$I$89,5,0)</f>
        <v>141.11999999999995</v>
      </c>
      <c r="BF72" s="14">
        <f t="shared" si="91"/>
        <v>36.553462659686843</v>
      </c>
      <c r="BG72" s="22">
        <f t="shared" si="61"/>
        <v>309.4479474656211</v>
      </c>
      <c r="BH72" s="60">
        <f t="shared" si="62"/>
        <v>602.78128079895441</v>
      </c>
      <c r="BI72" s="60">
        <f ca="1">AVERAGE(OFFSET($BH$3,0,0,'Données projet'!$E$11+1,1))-AVERAGE(OFFSET($H$3,0,0,'Données projet'!$E$11+1,1))</f>
        <v>246.64907095367749</v>
      </c>
      <c r="BJ72" s="60">
        <f t="shared" si="92"/>
        <v>145.34368562171613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0">
        <f t="shared" si="65"/>
        <v>906.41645755559921</v>
      </c>
      <c r="CD72" s="60">
        <f ca="1">AVERAGE(OFFSET($CC$3,0,0,'Données projet'!$E$12+1,1))-AVERAGE(OFFSET($H$3,0,0,'Données projet'!$E$12+1,1))</f>
        <v>541.66888676162716</v>
      </c>
      <c r="CE72" s="60">
        <f t="shared" si="94"/>
        <v>294.45557293177131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316.24631999999991</v>
      </c>
      <c r="CV72" s="14">
        <f t="shared" si="95"/>
        <v>74.57179198892409</v>
      </c>
      <c r="CW72" s="22">
        <f t="shared" si="67"/>
        <v>680.67487838070929</v>
      </c>
      <c r="CX72" s="60">
        <f t="shared" si="68"/>
        <v>974.00821171404255</v>
      </c>
      <c r="CY72" s="60">
        <f ca="1">AVERAGE(OFFSET($CX$3,0,0,'Données projet'!$E$13+1,1))-AVERAGE(OFFSET($H$3,0,0,'Données projet'!$E$13+1,1))</f>
        <v>597.75551942969628</v>
      </c>
      <c r="CZ72" s="60">
        <f t="shared" si="96"/>
        <v>322.81767004794284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883.38916182135404</v>
      </c>
      <c r="S73" s="60">
        <f ca="1">AVERAGE(OFFSET($R$3,0,0,'Données projet'!$E$9+1,1))-AVERAGE(OFFSET($H$3,0,0,'Données projet'!$E$9+1,1))</f>
        <v>509.56241660612449</v>
      </c>
      <c r="T73" s="60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0">
        <f t="shared" si="59"/>
        <v>952.91734953545892</v>
      </c>
      <c r="AN73" s="60">
        <f ca="1">AVERAGE(OFFSET($AM$3,0,0,'Données projet'!$E$10+1,1))-AVERAGE(OFFSET($H$3,0,0,'Données projet'!$E$10+1,1))</f>
        <v>565.72091871734051</v>
      </c>
      <c r="AO73" s="60">
        <f t="shared" si="90"/>
        <v>306.61893266146666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9.8717948717948705</v>
      </c>
      <c r="BD73" s="13">
        <f>IF('Données projet'!$A$88&gt;35,BD72+BC73-BL72,IF(A73&lt;'Données projet'!$A$88,$BA$205^A73,IF(A73='Données projet'!$A$88,'Données projet'!$B$88,BD72+BC73-BL72)))</f>
        <v>311.4102564102563</v>
      </c>
      <c r="BE73" s="14">
        <f>BD73*VLOOKUP('Données projet'!$B$11,Paramètres!$A$1:$I$89,3,0)*VLOOKUP('Données projet'!$B$11,Paramètres!$A$1:$I$89,5,0)</f>
        <v>145.73999999999995</v>
      </c>
      <c r="BF73" s="14">
        <f t="shared" si="91"/>
        <v>37.608868010754726</v>
      </c>
      <c r="BG73" s="22">
        <f t="shared" si="61"/>
        <v>319.33261178539772</v>
      </c>
      <c r="BH73" s="60">
        <f t="shared" si="62"/>
        <v>612.66594511873109</v>
      </c>
      <c r="BI73" s="60">
        <f ca="1">AVERAGE(OFFSET($BH$3,0,0,'Données projet'!$E$11+1,1))-AVERAGE(OFFSET($H$3,0,0,'Données projet'!$E$11+1,1))</f>
        <v>246.64907095367749</v>
      </c>
      <c r="BJ73" s="60">
        <f t="shared" si="92"/>
        <v>145.34368562171613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0">
        <f t="shared" si="65"/>
        <v>923.13912171235302</v>
      </c>
      <c r="CD73" s="60">
        <f ca="1">AVERAGE(OFFSET($CC$3,0,0,'Données projet'!$E$12+1,1))-AVERAGE(OFFSET($H$3,0,0,'Données projet'!$E$12+1,1))</f>
        <v>541.66888676162716</v>
      </c>
      <c r="CE73" s="60">
        <f t="shared" si="94"/>
        <v>294.45557293177131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325.07279999999992</v>
      </c>
      <c r="CV73" s="14">
        <f t="shared" si="95"/>
        <v>76.407880238933714</v>
      </c>
      <c r="CW73" s="22">
        <f t="shared" si="67"/>
        <v>699.24551808280933</v>
      </c>
      <c r="CX73" s="60">
        <f t="shared" si="68"/>
        <v>992.5788514161427</v>
      </c>
      <c r="CY73" s="60">
        <f ca="1">AVERAGE(OFFSET($CX$3,0,0,'Données projet'!$E$13+1,1))-AVERAGE(OFFSET($H$3,0,0,'Données projet'!$E$13+1,1))</f>
        <v>597.75551942969628</v>
      </c>
      <c r="CZ73" s="60">
        <f t="shared" si="96"/>
        <v>322.81767004794284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897.90020079058013</v>
      </c>
      <c r="S74" s="60">
        <f ca="1">AVERAGE(OFFSET($R$3,0,0,'Données projet'!$E$9+1,1))-AVERAGE(OFFSET($H$3,0,0,'Données projet'!$E$9+1,1))</f>
        <v>509.56241660612449</v>
      </c>
      <c r="T74" s="60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313.93439999999998</v>
      </c>
      <c r="AK74" s="14">
        <f t="shared" si="89"/>
        <v>74.089885412393457</v>
      </c>
      <c r="AL74" s="22">
        <f t="shared" si="58"/>
        <v>675.80896375991858</v>
      </c>
      <c r="AM74" s="60">
        <f t="shared" si="59"/>
        <v>969.14229709325195</v>
      </c>
      <c r="AN74" s="60">
        <f ca="1">AVERAGE(OFFSET($AM$3,0,0,'Données projet'!$E$10+1,1))-AVERAGE(OFFSET($H$3,0,0,'Données projet'!$E$10+1,1))</f>
        <v>565.72091871734051</v>
      </c>
      <c r="AO74" s="60">
        <f t="shared" si="90"/>
        <v>306.61893266146666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9.8717948717948705</v>
      </c>
      <c r="BD74" s="13">
        <f>IF('Données projet'!$A$88&gt;35,BD73+BC74-BL73,IF(A74&lt;'Données projet'!$A$88,$BA$205^A74,IF(A74='Données projet'!$A$88,'Données projet'!$B$88,BD73+BC74-BL73)))</f>
        <v>321.28205128205116</v>
      </c>
      <c r="BE74" s="14">
        <f>BD74*VLOOKUP('Données projet'!$B$11,Paramètres!$A$1:$I$89,3,0)*VLOOKUP('Données projet'!$B$11,Paramètres!$A$1:$I$89,5,0)</f>
        <v>150.35999999999993</v>
      </c>
      <c r="BF74" s="14">
        <f t="shared" si="91"/>
        <v>38.660385495456531</v>
      </c>
      <c r="BG74" s="22">
        <f t="shared" si="61"/>
        <v>329.21050473791996</v>
      </c>
      <c r="BH74" s="60">
        <f t="shared" si="62"/>
        <v>622.54383807125328</v>
      </c>
      <c r="BI74" s="60">
        <f ca="1">AVERAGE(OFFSET($BH$3,0,0,'Données projet'!$E$11+1,1))-AVERAGE(OFFSET($H$3,0,0,'Données projet'!$E$11+1,1))</f>
        <v>246.64907095367749</v>
      </c>
      <c r="BJ74" s="60">
        <f t="shared" si="92"/>
        <v>145.34368562171613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299.44511999999997</v>
      </c>
      <c r="CA74" s="14">
        <f t="shared" si="93"/>
        <v>71.060126783970659</v>
      </c>
      <c r="CB74" s="22">
        <f t="shared" si="64"/>
        <v>645.2966381487488</v>
      </c>
      <c r="CC74" s="60">
        <f t="shared" si="65"/>
        <v>938.62997148208206</v>
      </c>
      <c r="CD74" s="60">
        <f ca="1">AVERAGE(OFFSET($CC$3,0,0,'Données projet'!$E$12+1,1))-AVERAGE(OFFSET($H$3,0,0,'Données projet'!$E$12+1,1))</f>
        <v>541.66888676162716</v>
      </c>
      <c r="CE74" s="60">
        <f t="shared" si="94"/>
        <v>294.45557293177131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309.59999999999997</v>
      </c>
      <c r="CU74" s="18">
        <f>CT74*VLOOKUP('Données projet'!$B$13,Paramètres!$A$1:$I$89,3,0)*VLOOKUP('Données projet'!$B$13,Paramètres!$A$1:$I$89,5,0)</f>
        <v>333.25343999999996</v>
      </c>
      <c r="CV74" s="14">
        <f t="shared" si="95"/>
        <v>78.104442670216116</v>
      </c>
      <c r="CW74" s="22">
        <f t="shared" si="67"/>
        <v>716.44831231729302</v>
      </c>
      <c r="CX74" s="60">
        <f t="shared" si="68"/>
        <v>1009.7816456506264</v>
      </c>
      <c r="CY74" s="60">
        <f ca="1">AVERAGE(OFFSET($CX$3,0,0,'Données projet'!$E$13+1,1))-AVERAGE(OFFSET($H$3,0,0,'Données projet'!$E$13+1,1))</f>
        <v>597.75551942969628</v>
      </c>
      <c r="CZ74" s="60">
        <f t="shared" si="96"/>
        <v>322.81767004794284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912.40400733040633</v>
      </c>
      <c r="S75" s="60">
        <f ca="1">AVERAGE(OFFSET($R$3,0,0,'Données projet'!$E$9+1,1))-AVERAGE(OFFSET($H$3,0,0,'Données projet'!$E$9+1,1))</f>
        <v>509.56241660612449</v>
      </c>
      <c r="T75" s="60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321.64080000000001</v>
      </c>
      <c r="AK75" s="14">
        <f t="shared" si="89"/>
        <v>75.694652325793228</v>
      </c>
      <c r="AL75" s="22">
        <f t="shared" si="58"/>
        <v>692.0259128007566</v>
      </c>
      <c r="AM75" s="60">
        <f t="shared" si="59"/>
        <v>985.35924613408997</v>
      </c>
      <c r="AN75" s="60">
        <f ca="1">AVERAGE(OFFSET($AM$3,0,0,'Données projet'!$E$10+1,1))-AVERAGE(OFFSET($H$3,0,0,'Données projet'!$E$10+1,1))</f>
        <v>565.72091871734051</v>
      </c>
      <c r="AO75" s="60">
        <f t="shared" si="90"/>
        <v>306.61893266146666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9.8717948717948705</v>
      </c>
      <c r="BD75" s="13">
        <f>IF('Données projet'!$A$88&gt;35,BD74+BC75-BL74,IF(A75&lt;'Données projet'!$A$88,$BA$205^A75,IF(A75='Données projet'!$A$88,'Données projet'!$B$88,BD74+BC75-BL74)))</f>
        <v>331.15384615384602</v>
      </c>
      <c r="BE75" s="14">
        <f>BD75*VLOOKUP('Données projet'!$B$11,Paramètres!$A$1:$I$89,3,0)*VLOOKUP('Données projet'!$B$11,Paramètres!$A$1:$I$89,5,0)</f>
        <v>154.97999999999993</v>
      </c>
      <c r="BF75" s="14">
        <f t="shared" si="91"/>
        <v>39.708148282768228</v>
      </c>
      <c r="BG75" s="22">
        <f t="shared" si="61"/>
        <v>339.08185825915456</v>
      </c>
      <c r="BH75" s="60">
        <f t="shared" si="62"/>
        <v>632.41519159248787</v>
      </c>
      <c r="BI75" s="60">
        <f ca="1">AVERAGE(OFFSET($BH$3,0,0,'Données projet'!$E$11+1,1))-AVERAGE(OFFSET($H$3,0,0,'Données projet'!$E$11+1,1))</f>
        <v>246.64907095367749</v>
      </c>
      <c r="BJ75" s="60">
        <f t="shared" si="92"/>
        <v>145.34368562171613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306.79584</v>
      </c>
      <c r="CA75" s="14">
        <f t="shared" si="93"/>
        <v>72.599269943528554</v>
      </c>
      <c r="CB75" s="22">
        <f t="shared" si="64"/>
        <v>660.77981648497882</v>
      </c>
      <c r="CC75" s="60">
        <f t="shared" si="65"/>
        <v>954.11314981831219</v>
      </c>
      <c r="CD75" s="60">
        <f ca="1">AVERAGE(OFFSET($CC$3,0,0,'Données projet'!$E$12+1,1))-AVERAGE(OFFSET($H$3,0,0,'Données projet'!$E$12+1,1))</f>
        <v>541.66888676162716</v>
      </c>
      <c r="CE75" s="60">
        <f t="shared" si="94"/>
        <v>294.45557293177131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317.2</v>
      </c>
      <c r="CU75" s="18">
        <f>CT75*VLOOKUP('Données projet'!$B$13,Paramètres!$A$1:$I$89,3,0)*VLOOKUP('Données projet'!$B$13,Paramètres!$A$1:$I$89,5,0)</f>
        <v>341.43407999999994</v>
      </c>
      <c r="CV75" s="14">
        <f t="shared" si="95"/>
        <v>79.796163809870151</v>
      </c>
      <c r="CW75" s="22">
        <f t="shared" si="67"/>
        <v>733.64267463552369</v>
      </c>
      <c r="CX75" s="60">
        <f t="shared" si="68"/>
        <v>1026.9760079688569</v>
      </c>
      <c r="CY75" s="60">
        <f ca="1">AVERAGE(OFFSET($CX$3,0,0,'Données projet'!$E$13+1,1))-AVERAGE(OFFSET($H$3,0,0,'Données projet'!$E$13+1,1))</f>
        <v>597.75551942969628</v>
      </c>
      <c r="CZ75" s="60">
        <f t="shared" si="96"/>
        <v>322.81767004794284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926.90077466569664</v>
      </c>
      <c r="S76" s="60">
        <f ca="1">AVERAGE(OFFSET($R$3,0,0,'Données projet'!$E$9+1,1))-AVERAGE(OFFSET($H$3,0,0,'Données projet'!$E$9+1,1))</f>
        <v>509.56241660612449</v>
      </c>
      <c r="T76" s="60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329.34720000000004</v>
      </c>
      <c r="AK76" s="14">
        <f t="shared" si="89"/>
        <v>77.294949483241496</v>
      </c>
      <c r="AL76" s="22">
        <f t="shared" si="58"/>
        <v>708.23507701664573</v>
      </c>
      <c r="AM76" s="60">
        <f t="shared" si="59"/>
        <v>1001.5684103499791</v>
      </c>
      <c r="AN76" s="60">
        <f ca="1">AVERAGE(OFFSET($AM$3,0,0,'Données projet'!$E$10+1,1))-AVERAGE(OFFSET($H$3,0,0,'Données projet'!$E$10+1,1))</f>
        <v>565.72091871734051</v>
      </c>
      <c r="AO76" s="60">
        <f t="shared" si="90"/>
        <v>306.61893266146666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9.8717948717948705</v>
      </c>
      <c r="BD76" s="13">
        <f>IF('Données projet'!$A$88&gt;35,BD75+BC76-BL75,IF(A76&lt;'Données projet'!$A$88,$BA$205^A76,IF(A76='Données projet'!$A$88,'Données projet'!$B$88,BD75+BC76-BL75)))</f>
        <v>341.02564102564088</v>
      </c>
      <c r="BE76" s="14">
        <f>BD76*VLOOKUP('Données projet'!$B$11,Paramètres!$A$1:$I$89,3,0)*VLOOKUP('Données projet'!$B$11,Paramètres!$A$1:$I$89,5,0)</f>
        <v>159.59999999999994</v>
      </c>
      <c r="BF76" s="14">
        <f t="shared" si="91"/>
        <v>40.752281150761135</v>
      </c>
      <c r="BG76" s="22">
        <f t="shared" si="61"/>
        <v>348.94688967090889</v>
      </c>
      <c r="BH76" s="60">
        <f t="shared" si="62"/>
        <v>642.2802230042422</v>
      </c>
      <c r="BI76" s="60">
        <f ca="1">AVERAGE(OFFSET($BH$3,0,0,'Données projet'!$E$11+1,1))-AVERAGE(OFFSET($H$3,0,0,'Données projet'!$E$11+1,1))</f>
        <v>246.64907095367749</v>
      </c>
      <c r="BJ76" s="60">
        <f t="shared" si="92"/>
        <v>145.34368562171613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314.14656000000002</v>
      </c>
      <c r="CA76" s="14">
        <f t="shared" si="93"/>
        <v>74.134126128922034</v>
      </c>
      <c r="CB76" s="22">
        <f t="shared" si="64"/>
        <v>676.25552834120583</v>
      </c>
      <c r="CC76" s="60">
        <f t="shared" si="65"/>
        <v>969.5888616745392</v>
      </c>
      <c r="CD76" s="60">
        <f ca="1">AVERAGE(OFFSET($CC$3,0,0,'Données projet'!$E$12+1,1))-AVERAGE(OFFSET($H$3,0,0,'Données projet'!$E$12+1,1))</f>
        <v>541.66888676162716</v>
      </c>
      <c r="CE76" s="60">
        <f t="shared" si="94"/>
        <v>294.45557293177131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324.8</v>
      </c>
      <c r="CU76" s="18">
        <f>CT76*VLOOKUP('Données projet'!$B$13,Paramètres!$A$1:$I$89,3,0)*VLOOKUP('Données projet'!$B$13,Paramètres!$A$1:$I$89,5,0)</f>
        <v>349.61471999999998</v>
      </c>
      <c r="CV76" s="14">
        <f t="shared" si="95"/>
        <v>81.48317300003859</v>
      </c>
      <c r="CW76" s="22">
        <f t="shared" si="67"/>
        <v>750.82883030840048</v>
      </c>
      <c r="CX76" s="60">
        <f t="shared" si="68"/>
        <v>1044.1621636417337</v>
      </c>
      <c r="CY76" s="60">
        <f ca="1">AVERAGE(OFFSET($CX$3,0,0,'Données projet'!$E$13+1,1))-AVERAGE(OFFSET($H$3,0,0,'Données projet'!$E$13+1,1))</f>
        <v>597.75551942969628</v>
      </c>
      <c r="CZ76" s="60">
        <f t="shared" si="96"/>
        <v>322.81767004794284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941.39068646288956</v>
      </c>
      <c r="S77" s="60">
        <f ca="1">AVERAGE(OFFSET($R$3,0,0,'Données projet'!$E$9+1,1))-AVERAGE(OFFSET($H$3,0,0,'Données projet'!$E$9+1,1))</f>
        <v>509.56241660612449</v>
      </c>
      <c r="T77" s="60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337.05360000000007</v>
      </c>
      <c r="AK77" s="14">
        <f t="shared" si="89"/>
        <v>78.890893509302231</v>
      </c>
      <c r="AL77" s="22">
        <f t="shared" si="58"/>
        <v>724.43665952870151</v>
      </c>
      <c r="AM77" s="60">
        <f t="shared" si="59"/>
        <v>1017.7699928620348</v>
      </c>
      <c r="AN77" s="60">
        <f ca="1">AVERAGE(OFFSET($AM$3,0,0,'Données projet'!$E$10+1,1))-AVERAGE(OFFSET($H$3,0,0,'Données projet'!$E$10+1,1))</f>
        <v>565.72091871734051</v>
      </c>
      <c r="AO77" s="60">
        <f t="shared" si="90"/>
        <v>306.61893266146666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9.8717948717948705</v>
      </c>
      <c r="BD77" s="13">
        <f>IF('Données projet'!$A$88&gt;35,BD76+BC77-BL76,IF(A77&lt;'Données projet'!$A$88,$BA$205^A77,IF(A77='Données projet'!$A$88,'Données projet'!$B$88,BD76+BC77-BL76)))</f>
        <v>350.89743589743574</v>
      </c>
      <c r="BE77" s="14">
        <f>BD77*VLOOKUP('Données projet'!$B$11,Paramètres!$A$1:$I$89,3,0)*VLOOKUP('Données projet'!$B$11,Paramètres!$A$1:$I$89,5,0)</f>
        <v>164.21999999999994</v>
      </c>
      <c r="BF77" s="14">
        <f t="shared" si="91"/>
        <v>41.792901242713462</v>
      </c>
      <c r="BG77" s="22">
        <f t="shared" si="61"/>
        <v>358.80580299772583</v>
      </c>
      <c r="BH77" s="60">
        <f t="shared" si="62"/>
        <v>652.13913633105915</v>
      </c>
      <c r="BI77" s="60">
        <f ca="1">AVERAGE(OFFSET($BH$3,0,0,'Données projet'!$E$11+1,1))-AVERAGE(OFFSET($H$3,0,0,'Données projet'!$E$11+1,1))</f>
        <v>246.64907095367749</v>
      </c>
      <c r="BJ77" s="60">
        <f t="shared" si="92"/>
        <v>145.34368562171613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321.49728000000005</v>
      </c>
      <c r="CA77" s="14">
        <f t="shared" si="93"/>
        <v>75.664807195585155</v>
      </c>
      <c r="CB77" s="22">
        <f t="shared" si="64"/>
        <v>691.72396853231078</v>
      </c>
      <c r="CC77" s="60">
        <f t="shared" si="65"/>
        <v>985.05730186564415</v>
      </c>
      <c r="CD77" s="60">
        <f ca="1">AVERAGE(OFFSET($CC$3,0,0,'Données projet'!$E$12+1,1))-AVERAGE(OFFSET($H$3,0,0,'Données projet'!$E$12+1,1))</f>
        <v>541.66888676162716</v>
      </c>
      <c r="CE77" s="60">
        <f t="shared" si="94"/>
        <v>294.45557293177131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332.40000000000003</v>
      </c>
      <c r="CU77" s="18">
        <f>CT77*VLOOKUP('Données projet'!$B$13,Paramètres!$A$1:$I$89,3,0)*VLOOKUP('Données projet'!$B$13,Paramètres!$A$1:$I$89,5,0)</f>
        <v>357.79536000000002</v>
      </c>
      <c r="CV77" s="14">
        <f t="shared" si="95"/>
        <v>83.165593184582121</v>
      </c>
      <c r="CW77" s="22">
        <f t="shared" si="67"/>
        <v>768.0069934631473</v>
      </c>
      <c r="CX77" s="60">
        <f t="shared" si="68"/>
        <v>1061.3403267964807</v>
      </c>
      <c r="CY77" s="60">
        <f ca="1">AVERAGE(OFFSET($CX$3,0,0,'Données projet'!$E$13+1,1))-AVERAGE(OFFSET($H$3,0,0,'Données projet'!$E$13+1,1))</f>
        <v>597.75551942969628</v>
      </c>
      <c r="CZ77" s="60">
        <f t="shared" si="96"/>
        <v>322.81767004794284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955.87391751040263</v>
      </c>
      <c r="S78" s="60">
        <f ca="1">AVERAGE(OFFSET($R$3,0,0,'Données projet'!$E$9+1,1))-AVERAGE(OFFSET($H$3,0,0,'Données projet'!$E$9+1,1))</f>
        <v>509.56241660612449</v>
      </c>
      <c r="T78" s="60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344.7600000000001</v>
      </c>
      <c r="AK78" s="14">
        <f t="shared" si="89"/>
        <v>80.482595391170619</v>
      </c>
      <c r="AL78" s="22">
        <f t="shared" si="58"/>
        <v>740.63085363962227</v>
      </c>
      <c r="AM78" s="60">
        <f t="shared" si="59"/>
        <v>1033.9641869729555</v>
      </c>
      <c r="AN78" s="60">
        <f ca="1">AVERAGE(OFFSET($AM$3,0,0,'Données projet'!$E$10+1,1))-AVERAGE(OFFSET($H$3,0,0,'Données projet'!$E$10+1,1))</f>
        <v>565.72091871734051</v>
      </c>
      <c r="AO78" s="60">
        <f t="shared" si="90"/>
        <v>306.61893266146666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360.76923076923077</v>
      </c>
      <c r="BB78" s="13">
        <f>VLOOKUP(A78,'Données projet'!$A$87:$I$107,9,0)</f>
        <v>9.8717948717948705</v>
      </c>
      <c r="BC78" s="13">
        <f t="array" ref="BC78">INDEX(BB:BB,MIN(IF(ISNUMBER(BB78:BB274),ROW(BB78:BB274),"")))</f>
        <v>9.8717948717948705</v>
      </c>
      <c r="BD78" s="13">
        <f>IF('Données projet'!$A$88&gt;35,BD77+BC78-BL77,IF(A78&lt;'Données projet'!$A$88,$BA$205^A78,IF(A78='Données projet'!$A$88,'Données projet'!$B$88,BD77+BC78-BL77)))</f>
        <v>360.7692307692306</v>
      </c>
      <c r="BE78" s="14">
        <f>BD78*VLOOKUP('Données projet'!$B$11,Paramètres!$A$1:$I$89,3,0)*VLOOKUP('Données projet'!$B$11,Paramètres!$A$1:$I$89,5,0)</f>
        <v>168.83999999999995</v>
      </c>
      <c r="BF78" s="14">
        <f t="shared" si="91"/>
        <v>42.830118735743163</v>
      </c>
      <c r="BG78" s="22">
        <f t="shared" si="61"/>
        <v>368.65879013141921</v>
      </c>
      <c r="BH78" s="60">
        <f t="shared" si="62"/>
        <v>661.99212346475247</v>
      </c>
      <c r="BI78" s="60">
        <f ca="1">AVERAGE(OFFSET($BH$3,0,0,'Données projet'!$E$11+1,1))-AVERAGE(OFFSET($H$3,0,0,'Données projet'!$E$11+1,1))</f>
        <v>246.64907095367749</v>
      </c>
      <c r="BJ78" s="60">
        <f t="shared" si="92"/>
        <v>145.34368562171613</v>
      </c>
      <c r="BK78" s="16">
        <f>IF(ISNA(VLOOKUP(A78,'Données projet'!$A$87:$I$107,3,0)),0,VLOOKUP(A78,'Données projet'!$A$87:$I$107,3,0))</f>
        <v>3</v>
      </c>
      <c r="BL78" s="16">
        <f>IF(ISNA(VLOOKUP(A78,'Données projet'!$A$87:$I$107,4,0)),0,VLOOKUP(A78,'Données projet'!$A$87:$I$107,4,0))</f>
        <v>85.384615384615415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328.84800000000007</v>
      </c>
      <c r="CA78" s="14">
        <f t="shared" si="93"/>
        <v>77.191419592112595</v>
      </c>
      <c r="CB78" s="22">
        <f t="shared" si="64"/>
        <v>707.18532245626284</v>
      </c>
      <c r="CC78" s="60">
        <f t="shared" si="65"/>
        <v>1000.5186557895961</v>
      </c>
      <c r="CD78" s="60">
        <f ca="1">AVERAGE(OFFSET($CC$3,0,0,'Données projet'!$E$12+1,1))-AVERAGE(OFFSET($H$3,0,0,'Données projet'!$E$12+1,1))</f>
        <v>541.66888676162716</v>
      </c>
      <c r="CE78" s="60">
        <f t="shared" si="94"/>
        <v>294.45557293177131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340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340.00000000000006</v>
      </c>
      <c r="CU78" s="18">
        <f>CT78*VLOOKUP('Données projet'!$B$13,Paramètres!$A$1:$I$89,3,0)*VLOOKUP('Données projet'!$B$13,Paramètres!$A$1:$I$89,5,0)</f>
        <v>365.97600000000006</v>
      </c>
      <c r="CV78" s="14">
        <f t="shared" si="95"/>
        <v>84.843541364532598</v>
      </c>
      <c r="CW78" s="22">
        <f t="shared" si="67"/>
        <v>785.17736787656111</v>
      </c>
      <c r="CX78" s="60">
        <f t="shared" si="68"/>
        <v>1078.5107012098945</v>
      </c>
      <c r="CY78" s="60">
        <f ca="1">AVERAGE(OFFSET($CX$3,0,0,'Données projet'!$E$13+1,1))-AVERAGE(OFFSET($H$3,0,0,'Données projet'!$E$13+1,1))</f>
        <v>597.75551942969628</v>
      </c>
      <c r="CZ78" s="60">
        <f t="shared" si="96"/>
        <v>322.81767004794284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862.75536878254502</v>
      </c>
      <c r="S79" s="60">
        <f ca="1">AVERAGE(OFFSET($R$3,0,0,'Données projet'!$E$9+1,1))-AVERAGE(OFFSET($H$3,0,0,'Données projet'!$E$9+1,1))</f>
        <v>509.56241660612449</v>
      </c>
      <c r="T79" s="60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0">
        <f t="shared" si="59"/>
        <v>929.8466418131577</v>
      </c>
      <c r="AN79" s="60">
        <f ca="1">AVERAGE(OFFSET($AM$3,0,0,'Données projet'!$E$10+1,1))-AVERAGE(OFFSET($H$3,0,0,'Données projet'!$E$10+1,1))</f>
        <v>565.72091871734051</v>
      </c>
      <c r="AO79" s="60">
        <f t="shared" si="90"/>
        <v>306.61893266146666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8.9743589743589727</v>
      </c>
      <c r="BD79" s="13">
        <f>IF('Données projet'!$A$88&gt;35,BD78+BC79-BL78,IF(A79&lt;'Données projet'!$A$88,$BA$205^A79,IF(A79='Données projet'!$A$88,'Données projet'!$B$88,BD78+BC79-BL78)))</f>
        <v>284.35897435897414</v>
      </c>
      <c r="BE79" s="14">
        <f>BD79*VLOOKUP('Données projet'!$B$11,Paramètres!$A$1:$I$89,3,0)*VLOOKUP('Données projet'!$B$11,Paramètres!$A$1:$I$89,5,0)</f>
        <v>133.0799999999999</v>
      </c>
      <c r="BF79" s="14">
        <f t="shared" si="91"/>
        <v>34.707084092439132</v>
      </c>
      <c r="BG79" s="22">
        <f t="shared" si="61"/>
        <v>292.22917146099797</v>
      </c>
      <c r="BH79" s="60">
        <f t="shared" si="62"/>
        <v>585.56250479433129</v>
      </c>
      <c r="BI79" s="60">
        <f ca="1">AVERAGE(OFFSET($BH$3,0,0,'Données projet'!$E$11+1,1))-AVERAGE(OFFSET($H$3,0,0,'Données projet'!$E$11+1,1))</f>
        <v>246.64907095367749</v>
      </c>
      <c r="BJ79" s="60">
        <f t="shared" si="92"/>
        <v>145.34368562171613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0">
        <f t="shared" si="65"/>
        <v>901.11218639926528</v>
      </c>
      <c r="CD79" s="60">
        <f ca="1">AVERAGE(OFFSET($CC$3,0,0,'Données projet'!$E$12+1,1))-AVERAGE(OFFSET($H$3,0,0,'Données projet'!$E$12+1,1))</f>
        <v>541.66888676162716</v>
      </c>
      <c r="CE79" s="60">
        <f t="shared" si="94"/>
        <v>294.45557293177131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313.44768000000005</v>
      </c>
      <c r="CV79" s="14">
        <f t="shared" si="95"/>
        <v>73.988378849122171</v>
      </c>
      <c r="CW79" s="22">
        <f t="shared" si="67"/>
        <v>674.78446916222117</v>
      </c>
      <c r="CX79" s="60">
        <f t="shared" si="68"/>
        <v>968.11780249555454</v>
      </c>
      <c r="CY79" s="60">
        <f ca="1">AVERAGE(OFFSET($CX$3,0,0,'Données projet'!$E$13+1,1))-AVERAGE(OFFSET($H$3,0,0,'Données projet'!$E$13+1,1))</f>
        <v>597.75551942969628</v>
      </c>
      <c r="CZ79" s="60">
        <f t="shared" si="96"/>
        <v>322.81767004794284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876.51292928016551</v>
      </c>
      <c r="S80" s="60">
        <f ca="1">AVERAGE(OFFSET($R$3,0,0,'Données projet'!$E$9+1,1))-AVERAGE(OFFSET($H$3,0,0,'Données projet'!$E$9+1,1))</f>
        <v>509.56241660612449</v>
      </c>
      <c r="T80" s="60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0">
        <f t="shared" si="59"/>
        <v>945.22899200862457</v>
      </c>
      <c r="AN80" s="60">
        <f ca="1">AVERAGE(OFFSET($AM$3,0,0,'Données projet'!$E$10+1,1))-AVERAGE(OFFSET($H$3,0,0,'Données projet'!$E$10+1,1))</f>
        <v>565.72091871734051</v>
      </c>
      <c r="AO80" s="60">
        <f t="shared" si="90"/>
        <v>306.61893266146666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8.9743589743589727</v>
      </c>
      <c r="BD80" s="13">
        <f>IF('Données projet'!$A$88&gt;35,BD79+BC80-BL79,IF(A80&lt;'Données projet'!$A$88,$BA$205^A80,IF(A80='Données projet'!$A$88,'Données projet'!$B$88,BD79+BC80-BL79)))</f>
        <v>293.33333333333309</v>
      </c>
      <c r="BE80" s="14">
        <f>BD80*VLOOKUP('Données projet'!$B$11,Paramètres!$A$1:$I$89,3,0)*VLOOKUP('Données projet'!$B$11,Paramètres!$A$1:$I$89,5,0)</f>
        <v>137.27999999999989</v>
      </c>
      <c r="BF80" s="14">
        <f t="shared" si="91"/>
        <v>35.673181961873411</v>
      </c>
      <c r="BG80" s="22">
        <f t="shared" si="61"/>
        <v>301.22679191692936</v>
      </c>
      <c r="BH80" s="60">
        <f t="shared" si="62"/>
        <v>594.56012525026267</v>
      </c>
      <c r="BI80" s="60">
        <f ca="1">AVERAGE(OFFSET($BH$3,0,0,'Données projet'!$E$11+1,1))-AVERAGE(OFFSET($H$3,0,0,'Données projet'!$E$11+1,1))</f>
        <v>246.64907095367749</v>
      </c>
      <c r="BJ80" s="60">
        <f t="shared" si="92"/>
        <v>145.34368562171613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0">
        <f t="shared" si="65"/>
        <v>915.79861150928127</v>
      </c>
      <c r="CD80" s="60">
        <f ca="1">AVERAGE(OFFSET($CC$3,0,0,'Données projet'!$E$12+1,1))-AVERAGE(OFFSET($H$3,0,0,'Données projet'!$E$12+1,1))</f>
        <v>541.66888676162716</v>
      </c>
      <c r="CE80" s="60">
        <f t="shared" si="94"/>
        <v>294.45557293177131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321.19776000000002</v>
      </c>
      <c r="CV80" s="14">
        <f t="shared" si="95"/>
        <v>75.602516709962615</v>
      </c>
      <c r="CW80" s="22">
        <f t="shared" si="67"/>
        <v>691.09381526985146</v>
      </c>
      <c r="CX80" s="60">
        <f t="shared" si="68"/>
        <v>984.42714860318483</v>
      </c>
      <c r="CY80" s="60">
        <f ca="1">AVERAGE(OFFSET($CX$3,0,0,'Données projet'!$E$13+1,1))-AVERAGE(OFFSET($H$3,0,0,'Données projet'!$E$13+1,1))</f>
        <v>597.75551942969628</v>
      </c>
      <c r="CZ80" s="60">
        <f t="shared" si="96"/>
        <v>322.81767004794284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890.26372606671134</v>
      </c>
      <c r="S81" s="60">
        <f ca="1">AVERAGE(OFFSET($R$3,0,0,'Données projet'!$E$9+1,1))-AVERAGE(OFFSET($H$3,0,0,'Données projet'!$E$9+1,1))</f>
        <v>509.56241660612449</v>
      </c>
      <c r="T81" s="60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0">
        <f t="shared" si="59"/>
        <v>960.60386205396253</v>
      </c>
      <c r="AN81" s="60">
        <f ca="1">AVERAGE(OFFSET($AM$3,0,0,'Données projet'!$E$10+1,1))-AVERAGE(OFFSET($H$3,0,0,'Données projet'!$E$10+1,1))</f>
        <v>565.72091871734051</v>
      </c>
      <c r="AO81" s="60">
        <f t="shared" si="90"/>
        <v>306.61893266146666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8.9743589743589727</v>
      </c>
      <c r="BD81" s="13">
        <f>IF('Données projet'!$A$88&gt;35,BD80+BC81-BL80,IF(A81&lt;'Données projet'!$A$88,$BA$205^A81,IF(A81='Données projet'!$A$88,'Données projet'!$B$88,BD80+BC81-BL80)))</f>
        <v>302.30769230769204</v>
      </c>
      <c r="BE81" s="14">
        <f>BD81*VLOOKUP('Données projet'!$B$11,Paramètres!$A$1:$I$89,3,0)*VLOOKUP('Données projet'!$B$11,Paramètres!$A$1:$I$89,5,0)</f>
        <v>141.47999999999988</v>
      </c>
      <c r="BF81" s="14">
        <f t="shared" si="91"/>
        <v>36.635844927016009</v>
      </c>
      <c r="BG81" s="22">
        <f t="shared" si="61"/>
        <v>310.21842991455259</v>
      </c>
      <c r="BH81" s="60">
        <f t="shared" si="62"/>
        <v>603.5517632478859</v>
      </c>
      <c r="BI81" s="60">
        <f ca="1">AVERAGE(OFFSET($BH$3,0,0,'Données projet'!$E$11+1,1))-AVERAGE(OFFSET($H$3,0,0,'Données projet'!$E$11+1,1))</f>
        <v>246.64907095367749</v>
      </c>
      <c r="BJ81" s="60">
        <f t="shared" si="92"/>
        <v>145.34368562171613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0">
        <f t="shared" si="65"/>
        <v>930.47786235504327</v>
      </c>
      <c r="CD81" s="60">
        <f ca="1">AVERAGE(OFFSET($CC$3,0,0,'Données projet'!$E$12+1,1))-AVERAGE(OFFSET($H$3,0,0,'Données projet'!$E$12+1,1))</f>
        <v>541.66888676162716</v>
      </c>
      <c r="CE81" s="60">
        <f t="shared" si="94"/>
        <v>294.45557293177131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328.94784000000004</v>
      </c>
      <c r="CV81" s="14">
        <f t="shared" si="95"/>
        <v>77.212127032960666</v>
      </c>
      <c r="CW81" s="22">
        <f t="shared" si="67"/>
        <v>707.39527591573994</v>
      </c>
      <c r="CX81" s="60">
        <f t="shared" si="68"/>
        <v>1000.7286092490733</v>
      </c>
      <c r="CY81" s="60">
        <f ca="1">AVERAGE(OFFSET($CX$3,0,0,'Données projet'!$E$13+1,1))-AVERAGE(OFFSET($H$3,0,0,'Données projet'!$E$13+1,1))</f>
        <v>597.75551942969628</v>
      </c>
      <c r="CZ81" s="60">
        <f t="shared" si="96"/>
        <v>322.81767004794284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904.00793683500501</v>
      </c>
      <c r="S82" s="60">
        <f ca="1">AVERAGE(OFFSET($R$3,0,0,'Données projet'!$E$9+1,1))-AVERAGE(OFFSET($H$3,0,0,'Données projet'!$E$9+1,1))</f>
        <v>509.56241660612449</v>
      </c>
      <c r="T82" s="60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0">
        <f t="shared" si="59"/>
        <v>975.97144846392098</v>
      </c>
      <c r="AN82" s="60">
        <f ca="1">AVERAGE(OFFSET($AM$3,0,0,'Données projet'!$E$10+1,1))-AVERAGE(OFFSET($H$3,0,0,'Données projet'!$E$10+1,1))</f>
        <v>565.72091871734051</v>
      </c>
      <c r="AO82" s="60">
        <f t="shared" si="90"/>
        <v>306.61893266146666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8.9743589743589727</v>
      </c>
      <c r="BD82" s="13">
        <f>IF('Données projet'!$A$88&gt;35,BD81+BC82-BL81,IF(A82&lt;'Données projet'!$A$88,$BA$205^A82,IF(A82='Données projet'!$A$88,'Données projet'!$B$88,BD81+BC82-BL81)))</f>
        <v>311.28205128205099</v>
      </c>
      <c r="BE82" s="14">
        <f>BD82*VLOOKUP('Données projet'!$B$11,Paramètres!$A$1:$I$89,3,0)*VLOOKUP('Données projet'!$B$11,Paramètres!$A$1:$I$89,5,0)</f>
        <v>145.67999999999986</v>
      </c>
      <c r="BF82" s="14">
        <f t="shared" si="91"/>
        <v>37.595186663644121</v>
      </c>
      <c r="BG82" s="22">
        <f t="shared" si="61"/>
        <v>319.2042834391799</v>
      </c>
      <c r="BH82" s="60">
        <f t="shared" si="62"/>
        <v>612.53761677251327</v>
      </c>
      <c r="BI82" s="60">
        <f ca="1">AVERAGE(OFFSET($BH$3,0,0,'Données projet'!$E$11+1,1))-AVERAGE(OFFSET($H$3,0,0,'Données projet'!$E$11+1,1))</f>
        <v>246.64907095367749</v>
      </c>
      <c r="BJ82" s="60">
        <f t="shared" si="92"/>
        <v>145.34368562171613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0">
        <f t="shared" si="65"/>
        <v>945.15012741521991</v>
      </c>
      <c r="CD82" s="60">
        <f ca="1">AVERAGE(OFFSET($CC$3,0,0,'Données projet'!$E$12+1,1))-AVERAGE(OFFSET($H$3,0,0,'Données projet'!$E$12+1,1))</f>
        <v>541.66888676162716</v>
      </c>
      <c r="CE82" s="60">
        <f t="shared" si="94"/>
        <v>294.45557293177131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336.69792000000001</v>
      </c>
      <c r="CV82" s="14">
        <f t="shared" si="95"/>
        <v>78.817328763317647</v>
      </c>
      <c r="CW82" s="22">
        <f t="shared" si="67"/>
        <v>723.6890582627783</v>
      </c>
      <c r="CX82" s="60">
        <f t="shared" si="68"/>
        <v>1017.0223915961117</v>
      </c>
      <c r="CY82" s="60">
        <f ca="1">AVERAGE(OFFSET($CX$3,0,0,'Données projet'!$E$13+1,1))-AVERAGE(OFFSET($H$3,0,0,'Données projet'!$E$13+1,1))</f>
        <v>597.75551942969628</v>
      </c>
      <c r="CZ82" s="60">
        <f t="shared" si="96"/>
        <v>322.81767004794284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917.74573063083562</v>
      </c>
      <c r="S83" s="60">
        <f ca="1">AVERAGE(OFFSET($R$3,0,0,'Données projet'!$E$9+1,1))-AVERAGE(OFFSET($H$3,0,0,'Données projet'!$E$9+1,1))</f>
        <v>509.56241660612449</v>
      </c>
      <c r="T83" s="60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0">
        <f t="shared" si="59"/>
        <v>991.33193819028838</v>
      </c>
      <c r="AN83" s="60">
        <f ca="1">AVERAGE(OFFSET($AM$3,0,0,'Données projet'!$E$10+1,1))-AVERAGE(OFFSET($H$3,0,0,'Données projet'!$E$10+1,1))</f>
        <v>565.72091871734051</v>
      </c>
      <c r="AO83" s="60">
        <f t="shared" si="90"/>
        <v>306.61893266146666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8.9743589743589727</v>
      </c>
      <c r="BD83" s="13">
        <f>IF('Données projet'!$A$88&gt;35,BD82+BC83-BL82,IF(A83&lt;'Données projet'!$A$88,$BA$205^A83,IF(A83='Données projet'!$A$88,'Données projet'!$B$88,BD82+BC83-BL82)))</f>
        <v>320.25641025640994</v>
      </c>
      <c r="BE83" s="14">
        <f>BD83*VLOOKUP('Données projet'!$B$11,Paramètres!$A$1:$I$89,3,0)*VLOOKUP('Données projet'!$B$11,Paramètres!$A$1:$I$89,5,0)</f>
        <v>149.87999999999985</v>
      </c>
      <c r="BF83" s="14">
        <f t="shared" si="91"/>
        <v>38.551313920160567</v>
      </c>
      <c r="BG83" s="22">
        <f t="shared" si="61"/>
        <v>328.18453841094606</v>
      </c>
      <c r="BH83" s="60">
        <f t="shared" si="62"/>
        <v>621.51787174427932</v>
      </c>
      <c r="BI83" s="60">
        <f ca="1">AVERAGE(OFFSET($BH$3,0,0,'Données projet'!$E$11+1,1))-AVERAGE(OFFSET($H$3,0,0,'Données projet'!$E$11+1,1))</f>
        <v>246.64907095367749</v>
      </c>
      <c r="BJ83" s="60">
        <f t="shared" si="92"/>
        <v>145.34368562171613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0">
        <f t="shared" si="65"/>
        <v>959.81558599657797</v>
      </c>
      <c r="CD83" s="60">
        <f ca="1">AVERAGE(OFFSET($CC$3,0,0,'Données projet'!$E$12+1,1))-AVERAGE(OFFSET($H$3,0,0,'Données projet'!$E$12+1,1))</f>
        <v>541.66888676162716</v>
      </c>
      <c r="CE83" s="60">
        <f t="shared" si="94"/>
        <v>294.45557293177131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344.44799999999998</v>
      </c>
      <c r="CV83" s="14">
        <f t="shared" si="95"/>
        <v>80.418235058027051</v>
      </c>
      <c r="CW83" s="22">
        <f t="shared" si="67"/>
        <v>739.9753593927303</v>
      </c>
      <c r="CX83" s="60">
        <f t="shared" si="68"/>
        <v>1033.3086927260636</v>
      </c>
      <c r="CY83" s="60">
        <f ca="1">AVERAGE(OFFSET($CX$3,0,0,'Données projet'!$E$13+1,1))-AVERAGE(OFFSET($H$3,0,0,'Données projet'!$E$13+1,1))</f>
        <v>597.75551942969628</v>
      </c>
      <c r="CZ83" s="60">
        <f t="shared" si="96"/>
        <v>322.81767004794284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3.8</v>
      </c>
      <c r="N84" s="14">
        <f>IF('Données projet'!$A$36&gt;35,N83+M84-V83,IF(A84&lt;'Données projet'!$A$36,$K$205^A84,IF(A84='Données projet'!$A$36,'Données projet'!$B$36,N83+M84-V83)))</f>
        <v>323.8</v>
      </c>
      <c r="O84" s="14">
        <f>N84*VLOOKUP('Données projet'!$B$9,Paramètres!$A$1:$I$89,3,0)*VLOOKUP('Données projet'!$B$9,Paramètres!$A$1:$I$89,5,0)</f>
        <v>292.97424000000001</v>
      </c>
      <c r="P84" s="14">
        <f t="shared" si="87"/>
        <v>69.701569084730806</v>
      </c>
      <c r="Q84" s="22">
        <f t="shared" si="54"/>
        <v>631.66036748923955</v>
      </c>
      <c r="R84" s="60">
        <f t="shared" si="55"/>
        <v>924.99370082257292</v>
      </c>
      <c r="S84" s="60">
        <f ca="1">AVERAGE(OFFSET($R$3,0,0,'Données projet'!$E$9+1,1))-AVERAGE(OFFSET($H$3,0,0,'Données projet'!$E$9+1,1))</f>
        <v>509.56241660612449</v>
      </c>
      <c r="T84" s="60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323.8</v>
      </c>
      <c r="AJ84" s="14">
        <f>AI84*VLOOKUP('Données projet'!$B$10,Paramètres!$A$1:$I$89,3,0)*VLOOKUP('Données projet'!$B$10,Paramètres!$A$1:$I$89,5,0)</f>
        <v>328.33320000000003</v>
      </c>
      <c r="AK84" s="14">
        <f t="shared" si="89"/>
        <v>77.084635229848772</v>
      </c>
      <c r="AL84" s="22">
        <f t="shared" si="58"/>
        <v>706.10272969198661</v>
      </c>
      <c r="AM84" s="60">
        <f t="shared" si="59"/>
        <v>999.43606302531998</v>
      </c>
      <c r="AN84" s="60">
        <f ca="1">AVERAGE(OFFSET($AM$3,0,0,'Données projet'!$E$10+1,1))-AVERAGE(OFFSET($H$3,0,0,'Données projet'!$E$10+1,1))</f>
        <v>565.72091871734051</v>
      </c>
      <c r="AO84" s="60">
        <f t="shared" si="90"/>
        <v>306.61893266146666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8.9743589743589727</v>
      </c>
      <c r="BD84" s="13">
        <f>IF('Données projet'!$A$88&gt;35,BD83+BC84-BL83,IF(A84&lt;'Données projet'!$A$88,$BA$205^A84,IF(A84='Données projet'!$A$88,'Données projet'!$B$88,BD83+BC84-BL83)))</f>
        <v>329.23076923076889</v>
      </c>
      <c r="BE84" s="14">
        <f>BD84*VLOOKUP('Données projet'!$B$11,Paramètres!$A$1:$I$89,3,0)*VLOOKUP('Données projet'!$B$11,Paramètres!$A$1:$I$89,5,0)</f>
        <v>154.07999999999984</v>
      </c>
      <c r="BF84" s="14">
        <f t="shared" si="91"/>
        <v>39.504327121889887</v>
      </c>
      <c r="BG84" s="22">
        <f t="shared" si="61"/>
        <v>337.15936973729123</v>
      </c>
      <c r="BH84" s="60">
        <f t="shared" si="62"/>
        <v>630.49270307062454</v>
      </c>
      <c r="BI84" s="60">
        <f ca="1">AVERAGE(OFFSET($BH$3,0,0,'Données projet'!$E$11+1,1))-AVERAGE(OFFSET($H$3,0,0,'Données projet'!$E$11+1,1))</f>
        <v>246.64907095367749</v>
      </c>
      <c r="BJ84" s="60">
        <f t="shared" si="92"/>
        <v>145.34368562171613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</v>
      </c>
      <c r="BY84" s="13">
        <f>IF('Données projet'!$A$114&gt;35,BY83+BX84-CG83,IF(A84&lt;'Données projet'!$A$114,$BV$205^A84,IF(A84='Données projet'!$A$114,'Données projet'!$B$114,BY83+BX84-CG83)))</f>
        <v>323.8</v>
      </c>
      <c r="BZ84" s="14">
        <f>BY84*VLOOKUP('Données projet'!$B$12,Paramètres!$A$1:$I$89,3,0)*VLOOKUP('Données projet'!$B$12,Paramètres!$A$1:$I$89,5,0)</f>
        <v>313.17936000000003</v>
      </c>
      <c r="CA84" s="14">
        <f t="shared" si="93"/>
        <v>73.932412258973699</v>
      </c>
      <c r="CB84" s="22">
        <f t="shared" si="64"/>
        <v>674.21967001771247</v>
      </c>
      <c r="CC84" s="60">
        <f t="shared" si="65"/>
        <v>967.55300335104585</v>
      </c>
      <c r="CD84" s="60">
        <f ca="1">AVERAGE(OFFSET($CC$3,0,0,'Données projet'!$E$12+1,1))-AVERAGE(OFFSET($H$3,0,0,'Données projet'!$E$12+1,1))</f>
        <v>541.66888676162716</v>
      </c>
      <c r="CE84" s="60">
        <f t="shared" si="94"/>
        <v>294.45557293177131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</v>
      </c>
      <c r="CT84" s="13">
        <f>IF('Données projet'!$A$140&gt;35,CT83+CS84-DB83,IF(A84&lt;'Données projet'!$A$140,$CQ$205^A84,IF(A84='Données projet'!$A$140,'Données projet'!$B$140,CT83+CS84-DB83)))</f>
        <v>323.8</v>
      </c>
      <c r="CU84" s="18">
        <f>CT84*VLOOKUP('Données projet'!$B$13,Paramètres!$A$1:$I$89,3,0)*VLOOKUP('Données projet'!$B$13,Paramètres!$A$1:$I$89,5,0)</f>
        <v>348.53832</v>
      </c>
      <c r="CV84" s="14">
        <f t="shared" si="95"/>
        <v>81.261462877861788</v>
      </c>
      <c r="CW84" s="22">
        <f t="shared" si="67"/>
        <v>748.56795517894261</v>
      </c>
      <c r="CX84" s="60">
        <f t="shared" si="68"/>
        <v>1041.9012885122759</v>
      </c>
      <c r="CY84" s="60">
        <f ca="1">AVERAGE(OFFSET($CX$3,0,0,'Données projet'!$E$13+1,1))-AVERAGE(OFFSET($H$3,0,0,'Données projet'!$E$13+1,1))</f>
        <v>597.75551942969628</v>
      </c>
      <c r="CZ84" s="60">
        <f t="shared" si="96"/>
        <v>322.81767004794284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3.8</v>
      </c>
      <c r="N85" s="14">
        <f>IF('Données projet'!$A$36&gt;35,N84+M85-V84,IF(A85&lt;'Données projet'!$A$36,$K$205^A85,IF(A85='Données projet'!$A$36,'Données projet'!$B$36,N84+M85-V84)))</f>
        <v>327.60000000000002</v>
      </c>
      <c r="O85" s="14">
        <f>N85*VLOOKUP('Données projet'!$B$9,Paramètres!$A$1:$I$89,3,0)*VLOOKUP('Données projet'!$B$9,Paramètres!$A$1:$I$89,5,0)</f>
        <v>296.41248000000002</v>
      </c>
      <c r="P85" s="14">
        <f t="shared" si="87"/>
        <v>70.423855708154761</v>
      </c>
      <c r="Q85" s="22">
        <f t="shared" si="54"/>
        <v>638.90661802503621</v>
      </c>
      <c r="R85" s="60">
        <f t="shared" si="55"/>
        <v>932.23995135836958</v>
      </c>
      <c r="S85" s="60">
        <f ca="1">AVERAGE(OFFSET($R$3,0,0,'Données projet'!$E$9+1,1))-AVERAGE(OFFSET($H$3,0,0,'Données projet'!$E$9+1,1))</f>
        <v>509.56241660612449</v>
      </c>
      <c r="T85" s="60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327.60000000000002</v>
      </c>
      <c r="AJ85" s="14">
        <f>AI85*VLOOKUP('Données projet'!$B$10,Paramètres!$A$1:$I$89,3,0)*VLOOKUP('Données projet'!$B$10,Paramètres!$A$1:$I$89,5,0)</f>
        <v>332.18640000000005</v>
      </c>
      <c r="AK85" s="14">
        <f t="shared" si="89"/>
        <v>77.88342931194974</v>
      </c>
      <c r="AL85" s="22">
        <f t="shared" si="58"/>
        <v>714.20495271831248</v>
      </c>
      <c r="AM85" s="60">
        <f t="shared" si="59"/>
        <v>1007.5382860516459</v>
      </c>
      <c r="AN85" s="60">
        <f ca="1">AVERAGE(OFFSET($AM$3,0,0,'Données projet'!$E$10+1,1))-AVERAGE(OFFSET($H$3,0,0,'Données projet'!$E$10+1,1))</f>
        <v>565.72091871734051</v>
      </c>
      <c r="AO85" s="60">
        <f t="shared" si="90"/>
        <v>306.61893266146666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8.9743589743589727</v>
      </c>
      <c r="BD85" s="13">
        <f>IF('Données projet'!$A$88&gt;35,BD84+BC85-BL84,IF(A85&lt;'Données projet'!$A$88,$BA$205^A85,IF(A85='Données projet'!$A$88,'Données projet'!$B$88,BD84+BC85-BL84)))</f>
        <v>338.20512820512783</v>
      </c>
      <c r="BE85" s="14">
        <f>BD85*VLOOKUP('Données projet'!$B$11,Paramètres!$A$1:$I$89,3,0)*VLOOKUP('Données projet'!$B$11,Paramètres!$A$1:$I$89,5,0)</f>
        <v>158.27999999999983</v>
      </c>
      <c r="BF85" s="14">
        <f t="shared" si="91"/>
        <v>40.454320907632543</v>
      </c>
      <c r="BG85" s="22">
        <f t="shared" si="61"/>
        <v>346.12894224745969</v>
      </c>
      <c r="BH85" s="60">
        <f t="shared" si="62"/>
        <v>639.46227558079295</v>
      </c>
      <c r="BI85" s="60">
        <f ca="1">AVERAGE(OFFSET($BH$3,0,0,'Données projet'!$E$11+1,1))-AVERAGE(OFFSET($H$3,0,0,'Données projet'!$E$11+1,1))</f>
        <v>246.64907095367749</v>
      </c>
      <c r="BJ85" s="60">
        <f t="shared" si="92"/>
        <v>145.34368562171613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</v>
      </c>
      <c r="BY85" s="13">
        <f>IF('Données projet'!$A$114&gt;35,BY84+BX85-CG84,IF(A85&lt;'Données projet'!$A$114,$BV$205^A85,IF(A85='Données projet'!$A$114,'Données projet'!$B$114,BY84+BX85-CG84)))</f>
        <v>327.60000000000002</v>
      </c>
      <c r="BZ85" s="14">
        <f>BY85*VLOOKUP('Données projet'!$B$12,Paramètres!$A$1:$I$89,3,0)*VLOOKUP('Données projet'!$B$12,Paramètres!$A$1:$I$89,5,0)</f>
        <v>316.85472000000004</v>
      </c>
      <c r="CA85" s="14">
        <f t="shared" si="93"/>
        <v>74.698541244494905</v>
      </c>
      <c r="CB85" s="22">
        <f t="shared" si="64"/>
        <v>681.95526333416194</v>
      </c>
      <c r="CC85" s="60">
        <f t="shared" si="65"/>
        <v>975.28859666749531</v>
      </c>
      <c r="CD85" s="60">
        <f ca="1">AVERAGE(OFFSET($CC$3,0,0,'Données projet'!$E$12+1,1))-AVERAGE(OFFSET($H$3,0,0,'Données projet'!$E$12+1,1))</f>
        <v>541.66888676162716</v>
      </c>
      <c r="CE85" s="60">
        <f t="shared" si="94"/>
        <v>294.45557293177131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</v>
      </c>
      <c r="CT85" s="13">
        <f>IF('Données projet'!$A$140&gt;35,CT84+CS85-DB84,IF(A85&lt;'Données projet'!$A$140,$CQ$205^A85,IF(A85='Données projet'!$A$140,'Données projet'!$B$140,CT84+CS85-DB84)))</f>
        <v>327.60000000000002</v>
      </c>
      <c r="CU85" s="18">
        <f>CT85*VLOOKUP('Données projet'!$B$13,Paramètres!$A$1:$I$89,3,0)*VLOOKUP('Données projet'!$B$13,Paramètres!$A$1:$I$89,5,0)</f>
        <v>352.62864000000002</v>
      </c>
      <c r="CV85" s="14">
        <f t="shared" si="95"/>
        <v>82.103539582981469</v>
      </c>
      <c r="CW85" s="22">
        <f t="shared" si="67"/>
        <v>757.15854610702615</v>
      </c>
      <c r="CX85" s="60">
        <f t="shared" si="68"/>
        <v>1050.4918794403595</v>
      </c>
      <c r="CY85" s="60">
        <f ca="1">AVERAGE(OFFSET($CX$3,0,0,'Données projet'!$E$13+1,1))-AVERAGE(OFFSET($H$3,0,0,'Données projet'!$E$13+1,1))</f>
        <v>597.75551942969628</v>
      </c>
      <c r="CZ85" s="60">
        <f t="shared" si="96"/>
        <v>322.81767004794284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3.8</v>
      </c>
      <c r="N86" s="14">
        <f>IF('Données projet'!$A$36&gt;35,N85+M86-V85,IF(A86&lt;'Données projet'!$A$36,$K$205^A86,IF(A86='Données projet'!$A$36,'Données projet'!$B$36,N85+M86-V85)))</f>
        <v>331.40000000000003</v>
      </c>
      <c r="O86" s="14">
        <f>N86*VLOOKUP('Données projet'!$B$9,Paramètres!$A$1:$I$89,3,0)*VLOOKUP('Données projet'!$B$9,Paramètres!$A$1:$I$89,5,0)</f>
        <v>299.85072000000002</v>
      </c>
      <c r="P86" s="14">
        <f t="shared" si="87"/>
        <v>71.145167747304328</v>
      </c>
      <c r="Q86" s="22">
        <f t="shared" si="54"/>
        <v>646.15117115988835</v>
      </c>
      <c r="R86" s="60">
        <f t="shared" si="55"/>
        <v>939.48450449322172</v>
      </c>
      <c r="S86" s="60">
        <f ca="1">AVERAGE(OFFSET($R$3,0,0,'Données projet'!$E$9+1,1))-AVERAGE(OFFSET($H$3,0,0,'Données projet'!$E$9+1,1))</f>
        <v>509.56241660612449</v>
      </c>
      <c r="T86" s="60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331.40000000000003</v>
      </c>
      <c r="AJ86" s="14">
        <f>AI86*VLOOKUP('Données projet'!$B$10,Paramètres!$A$1:$I$89,3,0)*VLOOKUP('Données projet'!$B$10,Paramètres!$A$1:$I$89,5,0)</f>
        <v>336.03960000000006</v>
      </c>
      <c r="AK86" s="14">
        <f t="shared" si="89"/>
        <v>78.681145577951611</v>
      </c>
      <c r="AL86" s="22">
        <f t="shared" si="58"/>
        <v>722.3052985482658</v>
      </c>
      <c r="AM86" s="60">
        <f t="shared" si="59"/>
        <v>1015.6386318815992</v>
      </c>
      <c r="AN86" s="60">
        <f ca="1">AVERAGE(OFFSET($AM$3,0,0,'Données projet'!$E$10+1,1))-AVERAGE(OFFSET($H$3,0,0,'Données projet'!$E$10+1,1))</f>
        <v>565.72091871734051</v>
      </c>
      <c r="AO86" s="60">
        <f t="shared" si="90"/>
        <v>306.61893266146666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8.9743589743589727</v>
      </c>
      <c r="BD86" s="13">
        <f>IF('Données projet'!$A$88&gt;35,BD85+BC86-BL85,IF(A86&lt;'Données projet'!$A$88,$BA$205^A86,IF(A86='Données projet'!$A$88,'Données projet'!$B$88,BD85+BC86-BL85)))</f>
        <v>347.17948717948678</v>
      </c>
      <c r="BE86" s="14">
        <f>BD86*VLOOKUP('Données projet'!$B$11,Paramètres!$A$1:$I$89,3,0)*VLOOKUP('Données projet'!$B$11,Paramètres!$A$1:$I$89,5,0)</f>
        <v>162.47999999999982</v>
      </c>
      <c r="BF86" s="14">
        <f t="shared" si="91"/>
        <v>41.401384607667218</v>
      </c>
      <c r="BG86" s="22">
        <f t="shared" si="61"/>
        <v>355.09341152502003</v>
      </c>
      <c r="BH86" s="60">
        <f t="shared" si="62"/>
        <v>648.42674485835335</v>
      </c>
      <c r="BI86" s="60">
        <f ca="1">AVERAGE(OFFSET($BH$3,0,0,'Données projet'!$E$11+1,1))-AVERAGE(OFFSET($H$3,0,0,'Données projet'!$E$11+1,1))</f>
        <v>246.64907095367749</v>
      </c>
      <c r="BJ86" s="60">
        <f t="shared" si="92"/>
        <v>145.34368562171613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</v>
      </c>
      <c r="BY86" s="13">
        <f>IF('Données projet'!$A$114&gt;35,BY85+BX86-CG85,IF(A86&lt;'Données projet'!$A$114,$BV$205^A86,IF(A86='Données projet'!$A$114,'Données projet'!$B$114,BY85+BX86-CG85)))</f>
        <v>331.40000000000003</v>
      </c>
      <c r="BZ86" s="14">
        <f>BY86*VLOOKUP('Données projet'!$B$12,Paramètres!$A$1:$I$89,3,0)*VLOOKUP('Données projet'!$B$12,Paramètres!$A$1:$I$89,5,0)</f>
        <v>320.53008000000005</v>
      </c>
      <c r="CA86" s="14">
        <f t="shared" si="93"/>
        <v>75.463636489064442</v>
      </c>
      <c r="CB86" s="22">
        <f t="shared" si="64"/>
        <v>689.68905621845386</v>
      </c>
      <c r="CC86" s="60">
        <f t="shared" si="65"/>
        <v>983.02238955178723</v>
      </c>
      <c r="CD86" s="60">
        <f ca="1">AVERAGE(OFFSET($CC$3,0,0,'Données projet'!$E$12+1,1))-AVERAGE(OFFSET($H$3,0,0,'Données projet'!$E$12+1,1))</f>
        <v>541.66888676162716</v>
      </c>
      <c r="CE86" s="60">
        <f t="shared" si="94"/>
        <v>294.45557293177131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</v>
      </c>
      <c r="CT86" s="13">
        <f>IF('Données projet'!$A$140&gt;35,CT85+CS86-DB85,IF(A86&lt;'Données projet'!$A$140,$CQ$205^A86,IF(A86='Données projet'!$A$140,'Données projet'!$B$140,CT85+CS86-DB85)))</f>
        <v>331.40000000000003</v>
      </c>
      <c r="CU86" s="18">
        <f>CT86*VLOOKUP('Données projet'!$B$13,Paramètres!$A$1:$I$89,3,0)*VLOOKUP('Données projet'!$B$13,Paramètres!$A$1:$I$89,5,0)</f>
        <v>356.71895999999998</v>
      </c>
      <c r="CV86" s="14">
        <f t="shared" si="95"/>
        <v>82.944480070583026</v>
      </c>
      <c r="CW86" s="22">
        <f t="shared" si="67"/>
        <v>765.74715812293209</v>
      </c>
      <c r="CX86" s="60">
        <f t="shared" si="68"/>
        <v>1059.0804914562655</v>
      </c>
      <c r="CY86" s="60">
        <f ca="1">AVERAGE(OFFSET($CX$3,0,0,'Données projet'!$E$13+1,1))-AVERAGE(OFFSET($H$3,0,0,'Données projet'!$E$13+1,1))</f>
        <v>597.75551942969628</v>
      </c>
      <c r="CZ86" s="60">
        <f t="shared" si="96"/>
        <v>322.81767004794284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3.8</v>
      </c>
      <c r="N87" s="14">
        <f>IF('Données projet'!$A$36&gt;35,N86+M87-V86,IF(A87&lt;'Données projet'!$A$36,$K$205^A87,IF(A87='Données projet'!$A$36,'Données projet'!$B$36,N86+M87-V86)))</f>
        <v>335.20000000000005</v>
      </c>
      <c r="O87" s="14">
        <f>N87*VLOOKUP('Données projet'!$B$9,Paramètres!$A$1:$I$89,3,0)*VLOOKUP('Données projet'!$B$9,Paramètres!$A$1:$I$89,5,0)</f>
        <v>303.28896000000003</v>
      </c>
      <c r="P87" s="14">
        <f t="shared" si="87"/>
        <v>71.865517670261696</v>
      </c>
      <c r="Q87" s="22">
        <f t="shared" si="54"/>
        <v>653.39404860903915</v>
      </c>
      <c r="R87" s="60">
        <f t="shared" si="55"/>
        <v>946.7273819423724</v>
      </c>
      <c r="S87" s="60">
        <f ca="1">AVERAGE(OFFSET($R$3,0,0,'Données projet'!$E$9+1,1))-AVERAGE(OFFSET($H$3,0,0,'Données projet'!$E$9+1,1))</f>
        <v>509.56241660612449</v>
      </c>
      <c r="T87" s="60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335.20000000000005</v>
      </c>
      <c r="AJ87" s="14">
        <f>AI87*VLOOKUP('Données projet'!$B$10,Paramètres!$A$1:$I$89,3,0)*VLOOKUP('Données projet'!$B$10,Paramètres!$A$1:$I$89,5,0)</f>
        <v>339.89280000000002</v>
      </c>
      <c r="AK87" s="14">
        <f t="shared" si="89"/>
        <v>79.477797816605189</v>
      </c>
      <c r="AL87" s="22">
        <f t="shared" si="58"/>
        <v>730.40379119725401</v>
      </c>
      <c r="AM87" s="60">
        <f t="shared" si="59"/>
        <v>1023.7371245305874</v>
      </c>
      <c r="AN87" s="60">
        <f ca="1">AVERAGE(OFFSET($AM$3,0,0,'Données projet'!$E$10+1,1))-AVERAGE(OFFSET($H$3,0,0,'Données projet'!$E$10+1,1))</f>
        <v>565.72091871734051</v>
      </c>
      <c r="AO87" s="60">
        <f t="shared" si="90"/>
        <v>306.61893266146666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8.9743589743589727</v>
      </c>
      <c r="BD87" s="13">
        <f>IF('Données projet'!$A$88&gt;35,BD86+BC87-BL86,IF(A87&lt;'Données projet'!$A$88,$BA$205^A87,IF(A87='Données projet'!$A$88,'Données projet'!$B$88,BD86+BC87-BL86)))</f>
        <v>356.15384615384573</v>
      </c>
      <c r="BE87" s="14">
        <f>BD87*VLOOKUP('Données projet'!$B$11,Paramètres!$A$1:$I$89,3,0)*VLOOKUP('Données projet'!$B$11,Paramètres!$A$1:$I$89,5,0)</f>
        <v>166.67999999999981</v>
      </c>
      <c r="BF87" s="14">
        <f t="shared" si="91"/>
        <v>42.345602670937915</v>
      </c>
      <c r="BG87" s="22">
        <f t="shared" si="61"/>
        <v>364.05292465188319</v>
      </c>
      <c r="BH87" s="60">
        <f t="shared" si="62"/>
        <v>657.3862579852165</v>
      </c>
      <c r="BI87" s="60">
        <f ca="1">AVERAGE(OFFSET($BH$3,0,0,'Données projet'!$E$11+1,1))-AVERAGE(OFFSET($H$3,0,0,'Données projet'!$E$11+1,1))</f>
        <v>246.64907095367749</v>
      </c>
      <c r="BJ87" s="60">
        <f t="shared" si="92"/>
        <v>145.34368562171613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</v>
      </c>
      <c r="BY87" s="13">
        <f>IF('Données projet'!$A$114&gt;35,BY86+BX87-CG86,IF(A87&lt;'Données projet'!$A$114,$BV$205^A87,IF(A87='Données projet'!$A$114,'Données projet'!$B$114,BY86+BX87-CG86)))</f>
        <v>335.20000000000005</v>
      </c>
      <c r="BZ87" s="14">
        <f>BY87*VLOOKUP('Données projet'!$B$12,Paramètres!$A$1:$I$89,3,0)*VLOOKUP('Données projet'!$B$12,Paramètres!$A$1:$I$89,5,0)</f>
        <v>324.20544000000007</v>
      </c>
      <c r="CA87" s="14">
        <f t="shared" si="93"/>
        <v>76.227711217569663</v>
      </c>
      <c r="CB87" s="22">
        <f t="shared" si="64"/>
        <v>697.42107170393399</v>
      </c>
      <c r="CC87" s="60">
        <f t="shared" si="65"/>
        <v>990.75440503726736</v>
      </c>
      <c r="CD87" s="60">
        <f ca="1">AVERAGE(OFFSET($CC$3,0,0,'Données projet'!$E$12+1,1))-AVERAGE(OFFSET($H$3,0,0,'Données projet'!$E$12+1,1))</f>
        <v>541.66888676162716</v>
      </c>
      <c r="CE87" s="60">
        <f t="shared" si="94"/>
        <v>294.45557293177131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</v>
      </c>
      <c r="CT87" s="13">
        <f>IF('Données projet'!$A$140&gt;35,CT86+CS87-DB86,IF(A87&lt;'Données projet'!$A$140,$CQ$205^A87,IF(A87='Données projet'!$A$140,'Données projet'!$B$140,CT86+CS87-DB86)))</f>
        <v>335.20000000000005</v>
      </c>
      <c r="CU87" s="18">
        <f>CT87*VLOOKUP('Données projet'!$B$13,Paramètres!$A$1:$I$89,3,0)*VLOOKUP('Données projet'!$B$13,Paramètres!$A$1:$I$89,5,0)</f>
        <v>360.80928</v>
      </c>
      <c r="CV87" s="14">
        <f t="shared" si="95"/>
        <v>83.784298876560143</v>
      </c>
      <c r="CW87" s="22">
        <f t="shared" si="67"/>
        <v>774.33381654334232</v>
      </c>
      <c r="CX87" s="60">
        <f t="shared" si="68"/>
        <v>1067.6671498766757</v>
      </c>
      <c r="CY87" s="60">
        <f ca="1">AVERAGE(OFFSET($CX$3,0,0,'Données projet'!$E$13+1,1))-AVERAGE(OFFSET($H$3,0,0,'Données projet'!$E$13+1,1))</f>
        <v>597.75551942969628</v>
      </c>
      <c r="CZ87" s="60">
        <f t="shared" si="96"/>
        <v>322.81767004794284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3.8</v>
      </c>
      <c r="N88" s="14">
        <f>IF('Données projet'!$A$36&gt;35,N87+M88-V87,IF(A88&lt;'Données projet'!$A$36,$K$205^A88,IF(A88='Données projet'!$A$36,'Données projet'!$B$36,N87+M88-V87)))</f>
        <v>339.00000000000006</v>
      </c>
      <c r="O88" s="14">
        <f>N88*VLOOKUP('Données projet'!$B$9,Paramètres!$A$1:$I$89,3,0)*VLOOKUP('Données projet'!$B$9,Paramètres!$A$1:$I$89,5,0)</f>
        <v>306.72720000000004</v>
      </c>
      <c r="P88" s="14">
        <f t="shared" si="87"/>
        <v>72.584917646145641</v>
      </c>
      <c r="Q88" s="22">
        <f t="shared" si="54"/>
        <v>660.63527156703708</v>
      </c>
      <c r="R88" s="60">
        <f t="shared" si="55"/>
        <v>953.96860490037034</v>
      </c>
      <c r="S88" s="60">
        <f ca="1">AVERAGE(OFFSET($R$3,0,0,'Données projet'!$E$9+1,1))-AVERAGE(OFFSET($H$3,0,0,'Données projet'!$E$9+1,1))</f>
        <v>509.56241660612449</v>
      </c>
      <c r="T88" s="60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339.00000000000006</v>
      </c>
      <c r="AJ88" s="14">
        <f>AI88*VLOOKUP('Données projet'!$B$10,Paramètres!$A$1:$I$89,3,0)*VLOOKUP('Données projet'!$B$10,Paramètres!$A$1:$I$89,5,0)</f>
        <v>343.74600000000009</v>
      </c>
      <c r="AK88" s="14">
        <f t="shared" si="89"/>
        <v>80.273399486030513</v>
      </c>
      <c r="AL88" s="22">
        <f t="shared" si="58"/>
        <v>738.50045410483654</v>
      </c>
      <c r="AM88" s="60">
        <f t="shared" si="59"/>
        <v>1031.8337874381698</v>
      </c>
      <c r="AN88" s="60">
        <f ca="1">AVERAGE(OFFSET($AM$3,0,0,'Données projet'!$E$10+1,1))-AVERAGE(OFFSET($H$3,0,0,'Données projet'!$E$10+1,1))</f>
        <v>565.72091871734051</v>
      </c>
      <c r="AO88" s="60">
        <f t="shared" si="90"/>
        <v>306.61893266146666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8.9743589743589727</v>
      </c>
      <c r="BD88" s="13">
        <f>IF('Données projet'!$A$88&gt;35,BD87+BC88-BL87,IF(A88&lt;'Données projet'!$A$88,$BA$205^A88,IF(A88='Données projet'!$A$88,'Données projet'!$B$88,BD87+BC88-BL87)))</f>
        <v>365.12820512820468</v>
      </c>
      <c r="BE88" s="14">
        <f>BD88*VLOOKUP('Données projet'!$B$11,Paramètres!$A$1:$I$89,3,0)*VLOOKUP('Données projet'!$B$11,Paramètres!$A$1:$I$89,5,0)</f>
        <v>170.8799999999998</v>
      </c>
      <c r="BF88" s="14">
        <f t="shared" si="91"/>
        <v>43.287055047972629</v>
      </c>
      <c r="BG88" s="22">
        <f t="shared" si="61"/>
        <v>373.00762087521866</v>
      </c>
      <c r="BH88" s="60">
        <f t="shared" si="62"/>
        <v>666.34095420855192</v>
      </c>
      <c r="BI88" s="60">
        <f ca="1">AVERAGE(OFFSET($BH$3,0,0,'Données projet'!$E$11+1,1))-AVERAGE(OFFSET($H$3,0,0,'Données projet'!$E$11+1,1))</f>
        <v>246.64907095367749</v>
      </c>
      <c r="BJ88" s="60">
        <f t="shared" si="92"/>
        <v>145.34368562171613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3.8</v>
      </c>
      <c r="BY88" s="13">
        <f>IF('Données projet'!$A$114&gt;35,BY87+BX88-CG87,IF(A88&lt;'Données projet'!$A$114,$BV$205^A88,IF(A88='Données projet'!$A$114,'Données projet'!$B$114,BY87+BX88-CG87)))</f>
        <v>339.00000000000006</v>
      </c>
      <c r="BZ88" s="14">
        <f>BY88*VLOOKUP('Données projet'!$B$12,Paramètres!$A$1:$I$89,3,0)*VLOOKUP('Données projet'!$B$12,Paramètres!$A$1:$I$89,5,0)</f>
        <v>327.88080000000008</v>
      </c>
      <c r="CA88" s="14">
        <f t="shared" si="93"/>
        <v>76.99077833778739</v>
      </c>
      <c r="CB88" s="22">
        <f t="shared" si="64"/>
        <v>705.15133227164642</v>
      </c>
      <c r="CC88" s="60">
        <f t="shared" si="65"/>
        <v>998.48466560497968</v>
      </c>
      <c r="CD88" s="60">
        <f ca="1">AVERAGE(OFFSET($CC$3,0,0,'Données projet'!$E$12+1,1))-AVERAGE(OFFSET($H$3,0,0,'Données projet'!$E$12+1,1))</f>
        <v>541.66888676162716</v>
      </c>
      <c r="CE88" s="60">
        <f t="shared" si="94"/>
        <v>294.45557293177131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3.8</v>
      </c>
      <c r="CT88" s="13">
        <f>IF('Données projet'!$A$140&gt;35,CT87+CS88-DB87,IF(A88&lt;'Données projet'!$A$140,$CQ$205^A88,IF(A88='Données projet'!$A$140,'Données projet'!$B$140,CT87+CS88-DB87)))</f>
        <v>339.00000000000006</v>
      </c>
      <c r="CU88" s="18">
        <f>CT88*VLOOKUP('Données projet'!$B$13,Paramètres!$A$1:$I$89,3,0)*VLOOKUP('Données projet'!$B$13,Paramètres!$A$1:$I$89,5,0)</f>
        <v>364.89960000000008</v>
      </c>
      <c r="CV88" s="14">
        <f t="shared" si="95"/>
        <v>84.623010188260508</v>
      </c>
      <c r="CW88" s="22">
        <f t="shared" si="67"/>
        <v>782.91854607788719</v>
      </c>
      <c r="CX88" s="60">
        <f t="shared" si="68"/>
        <v>1076.2518794112204</v>
      </c>
      <c r="CY88" s="60">
        <f ca="1">AVERAGE(OFFSET($CX$3,0,0,'Données projet'!$E$13+1,1))-AVERAGE(OFFSET($H$3,0,0,'Données projet'!$E$13+1,1))</f>
        <v>597.75551942969628</v>
      </c>
      <c r="CZ88" s="60">
        <f t="shared" si="96"/>
        <v>322.81767004794284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</v>
      </c>
      <c r="N89" s="14">
        <f>IF('Données projet'!$A$36&gt;35,N88+M89-V88,IF(A89&lt;'Données projet'!$A$36,$K$205^A89,IF(A89='Données projet'!$A$36,'Données projet'!$B$36,N88+M89-V88)))</f>
        <v>342.80000000000007</v>
      </c>
      <c r="O89" s="14">
        <f>N89*VLOOKUP('Données projet'!$B$9,Paramètres!$A$1:$I$89,3,0)*VLOOKUP('Données projet'!$B$9,Paramètres!$A$1:$I$89,5,0)</f>
        <v>310.16544000000005</v>
      </c>
      <c r="P89" s="14">
        <f t="shared" si="87"/>
        <v>73.303379555549114</v>
      </c>
      <c r="Q89" s="22">
        <f t="shared" si="54"/>
        <v>667.87486072591469</v>
      </c>
      <c r="R89" s="60">
        <f t="shared" si="55"/>
        <v>961.20819405924794</v>
      </c>
      <c r="S89" s="60">
        <f ca="1">AVERAGE(OFFSET($R$3,0,0,'Données projet'!$E$9+1,1))-AVERAGE(OFFSET($H$3,0,0,'Données projet'!$E$9+1,1))</f>
        <v>509.56241660612449</v>
      </c>
      <c r="T89" s="60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</v>
      </c>
      <c r="AI89" s="14">
        <f>IF('Données projet'!$A$62&gt;35,AI88+AH89-AQ88,IF(A89&lt;'Données projet'!$A$62,$AF$205^A89,IF(A89='Données projet'!$A$62,'Données projet'!$B$62,AI88+AH89-AQ88)))</f>
        <v>342.80000000000007</v>
      </c>
      <c r="AJ89" s="14">
        <f>AI89*VLOOKUP('Données projet'!$B$10,Paramètres!$A$1:$I$89,3,0)*VLOOKUP('Données projet'!$B$10,Paramètres!$A$1:$I$89,5,0)</f>
        <v>347.59920000000011</v>
      </c>
      <c r="AK89" s="14">
        <f t="shared" si="89"/>
        <v>81.067963725259943</v>
      </c>
      <c r="AL89" s="22">
        <f t="shared" si="58"/>
        <v>746.59531015482787</v>
      </c>
      <c r="AM89" s="60">
        <f t="shared" si="59"/>
        <v>1039.9286434881612</v>
      </c>
      <c r="AN89" s="60">
        <f ca="1">AVERAGE(OFFSET($AM$3,0,0,'Données projet'!$E$10+1,1))-AVERAGE(OFFSET($H$3,0,0,'Données projet'!$E$10+1,1))</f>
        <v>565.72091871734051</v>
      </c>
      <c r="AO89" s="60">
        <f t="shared" si="90"/>
        <v>306.61893266146666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8.9743589743589727</v>
      </c>
      <c r="BD89" s="13">
        <f>IF('Données projet'!$A$88&gt;35,BD88+BC89-BL88,IF(A89&lt;'Données projet'!$A$88,$BA$205^A89,IF(A89='Données projet'!$A$88,'Données projet'!$B$88,BD88+BC89-BL88)))</f>
        <v>374.10256410256363</v>
      </c>
      <c r="BE89" s="14">
        <f>BD89*VLOOKUP('Données projet'!$B$11,Paramètres!$A$1:$I$89,3,0)*VLOOKUP('Données projet'!$B$11,Paramètres!$A$1:$I$89,5,0)</f>
        <v>175.07999999999976</v>
      </c>
      <c r="BF89" s="14">
        <f t="shared" si="91"/>
        <v>44.225817535095111</v>
      </c>
      <c r="BG89" s="22">
        <f t="shared" si="61"/>
        <v>381.95763220695682</v>
      </c>
      <c r="BH89" s="60">
        <f t="shared" si="62"/>
        <v>675.29096554029013</v>
      </c>
      <c r="BI89" s="60">
        <f ca="1">AVERAGE(OFFSET($BH$3,0,0,'Données projet'!$E$11+1,1))-AVERAGE(OFFSET($H$3,0,0,'Données projet'!$E$11+1,1))</f>
        <v>246.64907095367749</v>
      </c>
      <c r="BJ89" s="60">
        <f t="shared" si="92"/>
        <v>145.34368562171613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</v>
      </c>
      <c r="BY89" s="13">
        <f>IF('Données projet'!$A$114&gt;35,BY88+BX89-CG88,IF(A89&lt;'Données projet'!$A$114,$BV$205^A89,IF(A89='Données projet'!$A$114,'Données projet'!$B$114,BY88+BX89-CG88)))</f>
        <v>342.80000000000007</v>
      </c>
      <c r="BZ89" s="14">
        <f>BY89*VLOOKUP('Données projet'!$B$12,Paramètres!$A$1:$I$89,3,0)*VLOOKUP('Données projet'!$B$12,Paramètres!$A$1:$I$89,5,0)</f>
        <v>331.55616000000003</v>
      </c>
      <c r="CA89" s="14">
        <f t="shared" si="93"/>
        <v>77.7528504514556</v>
      </c>
      <c r="CB89" s="22">
        <f t="shared" si="64"/>
        <v>712.87985986961849</v>
      </c>
      <c r="CC89" s="60">
        <f t="shared" si="65"/>
        <v>1006.2131932029517</v>
      </c>
      <c r="CD89" s="60">
        <f ca="1">AVERAGE(OFFSET($CC$3,0,0,'Données projet'!$E$12+1,1))-AVERAGE(OFFSET($H$3,0,0,'Données projet'!$E$12+1,1))</f>
        <v>541.66888676162716</v>
      </c>
      <c r="CE89" s="60">
        <f t="shared" si="94"/>
        <v>294.45557293177131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3.8</v>
      </c>
      <c r="CT89" s="13">
        <f>IF('Données projet'!$A$140&gt;35,CT88+CS89-DB88,IF(A89&lt;'Données projet'!$A$140,$CQ$205^A89,IF(A89='Données projet'!$A$140,'Données projet'!$B$140,CT88+CS89-DB88)))</f>
        <v>342.80000000000007</v>
      </c>
      <c r="CU89" s="18">
        <f>CT89*VLOOKUP('Données projet'!$B$13,Paramètres!$A$1:$I$89,3,0)*VLOOKUP('Données projet'!$B$13,Paramètres!$A$1:$I$89,5,0)</f>
        <v>368.9899200000001</v>
      </c>
      <c r="CV89" s="14">
        <f t="shared" si="95"/>
        <v>85.460627856654483</v>
      </c>
      <c r="CW89" s="22">
        <f t="shared" si="67"/>
        <v>791.50137085033987</v>
      </c>
      <c r="CX89" s="60">
        <f t="shared" si="68"/>
        <v>1084.8347041836732</v>
      </c>
      <c r="CY89" s="60">
        <f ca="1">AVERAGE(OFFSET($CX$3,0,0,'Données projet'!$E$13+1,1))-AVERAGE(OFFSET($H$3,0,0,'Données projet'!$E$13+1,1))</f>
        <v>597.75551942969628</v>
      </c>
      <c r="CZ89" s="60">
        <f t="shared" si="96"/>
        <v>322.81767004794284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</v>
      </c>
      <c r="N90" s="14">
        <f>IF('Données projet'!$A$36&gt;35,N89+M90-V89,IF(A90&lt;'Données projet'!$A$36,$K$205^A90,IF(A90='Données projet'!$A$36,'Données projet'!$B$36,N89+M90-V89)))</f>
        <v>346.60000000000008</v>
      </c>
      <c r="O90" s="14">
        <f>N90*VLOOKUP('Données projet'!$B$9,Paramètres!$A$1:$I$89,3,0)*VLOOKUP('Données projet'!$B$9,Paramètres!$A$1:$I$89,5,0)</f>
        <v>313.60368000000005</v>
      </c>
      <c r="P90" s="14">
        <f t="shared" si="87"/>
        <v>74.020915000501219</v>
      </c>
      <c r="Q90" s="22">
        <f t="shared" si="54"/>
        <v>675.11283629253967</v>
      </c>
      <c r="R90" s="60">
        <f t="shared" si="55"/>
        <v>968.44616962587293</v>
      </c>
      <c r="S90" s="60">
        <f ca="1">AVERAGE(OFFSET($R$3,0,0,'Données projet'!$E$9+1,1))-AVERAGE(OFFSET($H$3,0,0,'Données projet'!$E$9+1,1))</f>
        <v>509.56241660612449</v>
      </c>
      <c r="T90" s="60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</v>
      </c>
      <c r="AI90" s="14">
        <f>IF('Données projet'!$A$62&gt;35,AI89+AH90-AQ89,IF(A90&lt;'Données projet'!$A$62,$AF$205^A90,IF(A90='Données projet'!$A$62,'Données projet'!$B$62,AI89+AH90-AQ89)))</f>
        <v>346.60000000000008</v>
      </c>
      <c r="AJ90" s="14">
        <f>AI90*VLOOKUP('Données projet'!$B$10,Paramètres!$A$1:$I$89,3,0)*VLOOKUP('Données projet'!$B$10,Paramètres!$A$1:$I$89,5,0)</f>
        <v>351.45240000000007</v>
      </c>
      <c r="AK90" s="14">
        <f t="shared" si="89"/>
        <v>81.861503365255544</v>
      </c>
      <c r="AL90" s="22">
        <f t="shared" si="58"/>
        <v>754.68838169448679</v>
      </c>
      <c r="AM90" s="60">
        <f t="shared" si="59"/>
        <v>1048.0217150278202</v>
      </c>
      <c r="AN90" s="60">
        <f ca="1">AVERAGE(OFFSET($AM$3,0,0,'Données projet'!$E$10+1,1))-AVERAGE(OFFSET($H$3,0,0,'Données projet'!$E$10+1,1))</f>
        <v>565.72091871734051</v>
      </c>
      <c r="AO90" s="60">
        <f t="shared" si="90"/>
        <v>306.61893266146666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383.07692307692304</v>
      </c>
      <c r="BB90" s="13">
        <f>VLOOKUP(A90,'Données projet'!$A$87:$I$107,9,0)</f>
        <v>8.9743589743589727</v>
      </c>
      <c r="BC90" s="13">
        <f t="array" ref="BC90">INDEX(BB:BB,MIN(IF(ISNUMBER(BB90:BB286),ROW(BB90:BB286),"")))</f>
        <v>8.9743589743589727</v>
      </c>
      <c r="BD90" s="13">
        <f>IF('Données projet'!$A$88&gt;35,BD89+BC90-BL89,IF(A90&lt;'Données projet'!$A$88,$BA$205^A90,IF(A90='Données projet'!$A$88,'Données projet'!$B$88,BD89+BC90-BL89)))</f>
        <v>383.07692307692258</v>
      </c>
      <c r="BE90" s="14">
        <f>BD90*VLOOKUP('Données projet'!$B$11,Paramètres!$A$1:$I$89,3,0)*VLOOKUP('Données projet'!$B$11,Paramètres!$A$1:$I$89,5,0)</f>
        <v>179.27999999999975</v>
      </c>
      <c r="BF90" s="14">
        <f t="shared" si="91"/>
        <v>45.161962084677604</v>
      </c>
      <c r="BG90" s="22">
        <f t="shared" si="61"/>
        <v>390.90308396414639</v>
      </c>
      <c r="BH90" s="60">
        <f t="shared" si="62"/>
        <v>684.23641729747965</v>
      </c>
      <c r="BI90" s="60">
        <f ca="1">AVERAGE(OFFSET($BH$3,0,0,'Données projet'!$E$11+1,1))-AVERAGE(OFFSET($H$3,0,0,'Données projet'!$E$11+1,1))</f>
        <v>246.64907095367749</v>
      </c>
      <c r="BJ90" s="60">
        <f t="shared" si="92"/>
        <v>145.34368562171613</v>
      </c>
      <c r="BK90" s="16">
        <f>IF(ISNA(VLOOKUP(A90,'Données projet'!$A$87:$I$107,3,0)),0,VLOOKUP(A90,'Données projet'!$A$87:$I$107,3,0))</f>
        <v>4</v>
      </c>
      <c r="BL90" s="16">
        <f>IF(ISNA(VLOOKUP(A90,'Données projet'!$A$87:$I$107,4,0)),0,VLOOKUP(A90,'Données projet'!$A$87:$I$107,4,0))</f>
        <v>83.076923076923038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</v>
      </c>
      <c r="BY90" s="13">
        <f>IF('Données projet'!$A$114&gt;35,BY89+BX90-CG89,IF(A90&lt;'Données projet'!$A$114,$BV$205^A90,IF(A90='Données projet'!$A$114,'Données projet'!$B$114,BY89+BX90-CG89)))</f>
        <v>346.60000000000008</v>
      </c>
      <c r="BZ90" s="14">
        <f>BY90*VLOOKUP('Données projet'!$B$12,Paramètres!$A$1:$I$89,3,0)*VLOOKUP('Données projet'!$B$12,Paramètres!$A$1:$I$89,5,0)</f>
        <v>335.2315200000001</v>
      </c>
      <c r="CA90" s="14">
        <f t="shared" si="93"/>
        <v>78.513939864839429</v>
      </c>
      <c r="CB90" s="22">
        <f t="shared" si="64"/>
        <v>720.60667593126209</v>
      </c>
      <c r="CC90" s="60">
        <f t="shared" si="65"/>
        <v>1013.9400092645953</v>
      </c>
      <c r="CD90" s="60">
        <f ca="1">AVERAGE(OFFSET($CC$3,0,0,'Données projet'!$E$12+1,1))-AVERAGE(OFFSET($H$3,0,0,'Données projet'!$E$12+1,1))</f>
        <v>541.66888676162716</v>
      </c>
      <c r="CE90" s="60">
        <f t="shared" si="94"/>
        <v>294.45557293177131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3.8</v>
      </c>
      <c r="CT90" s="13">
        <f>IF('Données projet'!$A$140&gt;35,CT89+CS90-DB89,IF(A90&lt;'Données projet'!$A$140,$CQ$205^A90,IF(A90='Données projet'!$A$140,'Données projet'!$B$140,CT89+CS90-DB89)))</f>
        <v>346.60000000000008</v>
      </c>
      <c r="CU90" s="18">
        <f>CT90*VLOOKUP('Données projet'!$B$13,Paramètres!$A$1:$I$89,3,0)*VLOOKUP('Données projet'!$B$13,Paramètres!$A$1:$I$89,5,0)</f>
        <v>373.08024000000006</v>
      </c>
      <c r="CV90" s="14">
        <f t="shared" si="95"/>
        <v>86.29716540794891</v>
      </c>
      <c r="CW90" s="22">
        <f t="shared" si="67"/>
        <v>800.08231441884436</v>
      </c>
      <c r="CX90" s="60">
        <f t="shared" si="68"/>
        <v>1093.4156477521776</v>
      </c>
      <c r="CY90" s="60">
        <f ca="1">AVERAGE(OFFSET($CX$3,0,0,'Données projet'!$E$13+1,1))-AVERAGE(OFFSET($H$3,0,0,'Données projet'!$E$13+1,1))</f>
        <v>597.75551942969628</v>
      </c>
      <c r="CZ90" s="60">
        <f t="shared" si="96"/>
        <v>322.81767004794284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</v>
      </c>
      <c r="N91" s="14">
        <f>IF('Données projet'!$A$36&gt;35,N90+M91-V90,IF(A91&lt;'Données projet'!$A$36,$K$205^A91,IF(A91='Données projet'!$A$36,'Données projet'!$B$36,N90+M91-V90)))</f>
        <v>350.40000000000009</v>
      </c>
      <c r="O91" s="14">
        <f>N91*VLOOKUP('Données projet'!$B$9,Paramètres!$A$1:$I$89,3,0)*VLOOKUP('Données projet'!$B$9,Paramètres!$A$1:$I$89,5,0)</f>
        <v>317.04192000000006</v>
      </c>
      <c r="P91" s="14">
        <f t="shared" si="87"/>
        <v>74.73753531397945</v>
      </c>
      <c r="Q91" s="22">
        <f t="shared" si="54"/>
        <v>682.34921800518089</v>
      </c>
      <c r="R91" s="60">
        <f t="shared" si="55"/>
        <v>975.68255133851426</v>
      </c>
      <c r="S91" s="60">
        <f ca="1">AVERAGE(OFFSET($R$3,0,0,'Données projet'!$E$9+1,1))-AVERAGE(OFFSET($H$3,0,0,'Données projet'!$E$9+1,1))</f>
        <v>509.56241660612449</v>
      </c>
      <c r="T91" s="60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</v>
      </c>
      <c r="AI91" s="14">
        <f>IF('Données projet'!$A$62&gt;35,AI90+AH91-AQ90,IF(A91&lt;'Données projet'!$A$62,$AF$205^A91,IF(A91='Données projet'!$A$62,'Données projet'!$B$62,AI90+AH91-AQ90)))</f>
        <v>350.40000000000009</v>
      </c>
      <c r="AJ91" s="14">
        <f>AI91*VLOOKUP('Données projet'!$B$10,Paramètres!$A$1:$I$89,3,0)*VLOOKUP('Données projet'!$B$10,Paramètres!$A$1:$I$89,5,0)</f>
        <v>355.30560000000014</v>
      </c>
      <c r="AK91" s="14">
        <f t="shared" si="89"/>
        <v>82.654030939428409</v>
      </c>
      <c r="AL91" s="22">
        <f t="shared" si="58"/>
        <v>762.77969055283802</v>
      </c>
      <c r="AM91" s="60">
        <f t="shared" si="59"/>
        <v>1056.1130238861713</v>
      </c>
      <c r="AN91" s="60">
        <f ca="1">AVERAGE(OFFSET($AM$3,0,0,'Données projet'!$E$10+1,1))-AVERAGE(OFFSET($H$3,0,0,'Données projet'!$E$10+1,1))</f>
        <v>565.72091871734051</v>
      </c>
      <c r="AO91" s="60">
        <f t="shared" si="90"/>
        <v>306.61893266146666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8.1410256410256405</v>
      </c>
      <c r="BD91" s="13">
        <f>IF('Données projet'!$A$88&gt;35,BD90+BC91-BL90,IF(A91&lt;'Données projet'!$A$88,$BA$205^A91,IF(A91='Données projet'!$A$88,'Données projet'!$B$88,BD90+BC91-BL90)))</f>
        <v>308.14102564102518</v>
      </c>
      <c r="BE91" s="14">
        <f>BD91*VLOOKUP('Données projet'!$B$11,Paramètres!$A$1:$I$89,3,0)*VLOOKUP('Données projet'!$B$11,Paramètres!$A$1:$I$89,5,0)</f>
        <v>144.20999999999978</v>
      </c>
      <c r="BF91" s="14">
        <f t="shared" si="91"/>
        <v>37.259788027931044</v>
      </c>
      <c r="BG91" s="22">
        <f t="shared" si="61"/>
        <v>316.05988081531285</v>
      </c>
      <c r="BH91" s="60">
        <f t="shared" si="62"/>
        <v>609.39321414864617</v>
      </c>
      <c r="BI91" s="60">
        <f ca="1">AVERAGE(OFFSET($BH$3,0,0,'Données projet'!$E$11+1,1))-AVERAGE(OFFSET($H$3,0,0,'Données projet'!$E$11+1,1))</f>
        <v>246.64907095367749</v>
      </c>
      <c r="BJ91" s="60">
        <f t="shared" si="92"/>
        <v>145.34368562171613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</v>
      </c>
      <c r="BY91" s="13">
        <f>IF('Données projet'!$A$114&gt;35,BY90+BX91-CG90,IF(A91&lt;'Données projet'!$A$114,$BV$205^A91,IF(A91='Données projet'!$A$114,'Données projet'!$B$114,BY90+BX91-CG90)))</f>
        <v>350.40000000000009</v>
      </c>
      <c r="BZ91" s="14">
        <f>BY91*VLOOKUP('Données projet'!$B$12,Paramètres!$A$1:$I$89,3,0)*VLOOKUP('Données projet'!$B$12,Paramètres!$A$1:$I$89,5,0)</f>
        <v>338.90688000000006</v>
      </c>
      <c r="CA91" s="14">
        <f t="shared" si="93"/>
        <v>79.274058598821114</v>
      </c>
      <c r="CB91" s="22">
        <f t="shared" si="64"/>
        <v>728.33180139294689</v>
      </c>
      <c r="CC91" s="60">
        <f t="shared" si="65"/>
        <v>1021.6651347262803</v>
      </c>
      <c r="CD91" s="60">
        <f ca="1">AVERAGE(OFFSET($CC$3,0,0,'Données projet'!$E$12+1,1))-AVERAGE(OFFSET($H$3,0,0,'Données projet'!$E$12+1,1))</f>
        <v>541.66888676162716</v>
      </c>
      <c r="CE91" s="60">
        <f t="shared" si="94"/>
        <v>294.45557293177131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3.8</v>
      </c>
      <c r="CT91" s="13">
        <f>IF('Données projet'!$A$140&gt;35,CT90+CS91-DB90,IF(A91&lt;'Données projet'!$A$140,$CQ$205^A91,IF(A91='Données projet'!$A$140,'Données projet'!$B$140,CT90+CS91-DB90)))</f>
        <v>350.40000000000009</v>
      </c>
      <c r="CU91" s="18">
        <f>CT91*VLOOKUP('Données projet'!$B$13,Paramètres!$A$1:$I$89,3,0)*VLOOKUP('Données projet'!$B$13,Paramètres!$A$1:$I$89,5,0)</f>
        <v>377.17056000000008</v>
      </c>
      <c r="CV91" s="14">
        <f t="shared" si="95"/>
        <v>87.132636054677789</v>
      </c>
      <c r="CW91" s="22">
        <f t="shared" si="67"/>
        <v>808.66139979523052</v>
      </c>
      <c r="CX91" s="60">
        <f t="shared" si="68"/>
        <v>1101.9947331285639</v>
      </c>
      <c r="CY91" s="60">
        <f ca="1">AVERAGE(OFFSET($CX$3,0,0,'Données projet'!$E$13+1,1))-AVERAGE(OFFSET($H$3,0,0,'Données projet'!$E$13+1,1))</f>
        <v>597.75551942969628</v>
      </c>
      <c r="CZ91" s="60">
        <f t="shared" si="96"/>
        <v>322.81767004794284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</v>
      </c>
      <c r="N92" s="14">
        <f>IF('Données projet'!$A$36&gt;35,N91+M92-V91,IF(A92&lt;'Données projet'!$A$36,$K$205^A92,IF(A92='Données projet'!$A$36,'Données projet'!$B$36,N91+M92-V91)))</f>
        <v>354.2000000000001</v>
      </c>
      <c r="O92" s="14">
        <f>N92*VLOOKUP('Données projet'!$B$9,Paramètres!$A$1:$I$89,3,0)*VLOOKUP('Données projet'!$B$9,Paramètres!$A$1:$I$89,5,0)</f>
        <v>320.48016000000007</v>
      </c>
      <c r="P92" s="14">
        <f t="shared" si="87"/>
        <v>75.453251568997672</v>
      </c>
      <c r="Q92" s="22">
        <f t="shared" si="54"/>
        <v>689.58402514933766</v>
      </c>
      <c r="R92" s="60">
        <f t="shared" si="55"/>
        <v>982.91735848267103</v>
      </c>
      <c r="S92" s="60">
        <f ca="1">AVERAGE(OFFSET($R$3,0,0,'Données projet'!$E$9+1,1))-AVERAGE(OFFSET($H$3,0,0,'Données projet'!$E$9+1,1))</f>
        <v>509.56241660612449</v>
      </c>
      <c r="T92" s="60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</v>
      </c>
      <c r="AI92" s="14">
        <f>IF('Données projet'!$A$62&gt;35,AI91+AH92-AQ91,IF(A92&lt;'Données projet'!$A$62,$AF$205^A92,IF(A92='Données projet'!$A$62,'Données projet'!$B$62,AI91+AH92-AQ91)))</f>
        <v>354.2000000000001</v>
      </c>
      <c r="AJ92" s="14">
        <f>AI92*VLOOKUP('Données projet'!$B$10,Paramètres!$A$1:$I$89,3,0)*VLOOKUP('Données projet'!$B$10,Paramètres!$A$1:$I$89,5,0)</f>
        <v>359.15880000000016</v>
      </c>
      <c r="AK92" s="14">
        <f t="shared" si="89"/>
        <v>83.445558693690174</v>
      </c>
      <c r="AL92" s="22">
        <f t="shared" si="58"/>
        <v>770.86925805817725</v>
      </c>
      <c r="AM92" s="60">
        <f t="shared" si="59"/>
        <v>1064.2025913915106</v>
      </c>
      <c r="AN92" s="60">
        <f ca="1">AVERAGE(OFFSET($AM$3,0,0,'Données projet'!$E$10+1,1))-AVERAGE(OFFSET($H$3,0,0,'Données projet'!$E$10+1,1))</f>
        <v>565.72091871734051</v>
      </c>
      <c r="AO92" s="60">
        <f t="shared" si="90"/>
        <v>306.61893266146666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8.1410256410256405</v>
      </c>
      <c r="BD92" s="13">
        <f>IF('Données projet'!$A$88&gt;35,BD91+BC92-BL91,IF(A92&lt;'Données projet'!$A$88,$BA$205^A92,IF(A92='Données projet'!$A$88,'Données projet'!$B$88,BD91+BC92-BL91)))</f>
        <v>316.28205128205082</v>
      </c>
      <c r="BE92" s="14">
        <f>BD92*VLOOKUP('Données projet'!$B$11,Paramètres!$A$1:$I$89,3,0)*VLOOKUP('Données projet'!$B$11,Paramètres!$A$1:$I$89,5,0)</f>
        <v>148.01999999999978</v>
      </c>
      <c r="BF92" s="14">
        <f t="shared" si="91"/>
        <v>38.12827612701787</v>
      </c>
      <c r="BG92" s="22">
        <f t="shared" si="61"/>
        <v>324.20824758788905</v>
      </c>
      <c r="BH92" s="60">
        <f t="shared" si="62"/>
        <v>617.54158092122236</v>
      </c>
      <c r="BI92" s="60">
        <f ca="1">AVERAGE(OFFSET($BH$3,0,0,'Données projet'!$E$11+1,1))-AVERAGE(OFFSET($H$3,0,0,'Données projet'!$E$11+1,1))</f>
        <v>246.64907095367749</v>
      </c>
      <c r="BJ92" s="60">
        <f t="shared" si="92"/>
        <v>145.34368562171613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</v>
      </c>
      <c r="BY92" s="13">
        <f>IF('Données projet'!$A$114&gt;35,BY91+BX92-CG91,IF(A92&lt;'Données projet'!$A$114,$BV$205^A92,IF(A92='Données projet'!$A$114,'Données projet'!$B$114,BY91+BX92-CG91)))</f>
        <v>354.2000000000001</v>
      </c>
      <c r="BZ92" s="14">
        <f>BY92*VLOOKUP('Données projet'!$B$12,Paramètres!$A$1:$I$89,3,0)*VLOOKUP('Données projet'!$B$12,Paramètres!$A$1:$I$89,5,0)</f>
        <v>342.58224000000013</v>
      </c>
      <c r="CA92" s="14">
        <f t="shared" si="93"/>
        <v>80.033218398540058</v>
      </c>
      <c r="CB92" s="22">
        <f t="shared" si="64"/>
        <v>736.05525671079067</v>
      </c>
      <c r="CC92" s="60">
        <f t="shared" si="65"/>
        <v>1029.3885900441239</v>
      </c>
      <c r="CD92" s="60">
        <f ca="1">AVERAGE(OFFSET($CC$3,0,0,'Données projet'!$E$12+1,1))-AVERAGE(OFFSET($H$3,0,0,'Données projet'!$E$12+1,1))</f>
        <v>541.66888676162716</v>
      </c>
      <c r="CE92" s="60">
        <f t="shared" si="94"/>
        <v>294.45557293177131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3.8</v>
      </c>
      <c r="CT92" s="13">
        <f>IF('Données projet'!$A$140&gt;35,CT91+CS92-DB91,IF(A92&lt;'Données projet'!$A$140,$CQ$205^A92,IF(A92='Données projet'!$A$140,'Données projet'!$B$140,CT91+CS92-DB91)))</f>
        <v>354.2000000000001</v>
      </c>
      <c r="CU92" s="18">
        <f>CT92*VLOOKUP('Données projet'!$B$13,Paramètres!$A$1:$I$89,3,0)*VLOOKUP('Données projet'!$B$13,Paramètres!$A$1:$I$89,5,0)</f>
        <v>381.2608800000001</v>
      </c>
      <c r="CV92" s="14">
        <f t="shared" si="95"/>
        <v>87.967052706296414</v>
      </c>
      <c r="CW92" s="22">
        <f t="shared" si="67"/>
        <v>817.23864946346646</v>
      </c>
      <c r="CX92" s="60">
        <f t="shared" si="68"/>
        <v>1110.5719827967998</v>
      </c>
      <c r="CY92" s="60">
        <f ca="1">AVERAGE(OFFSET($CX$3,0,0,'Données projet'!$E$13+1,1))-AVERAGE(OFFSET($H$3,0,0,'Données projet'!$E$13+1,1))</f>
        <v>597.75551942969628</v>
      </c>
      <c r="CZ92" s="60">
        <f t="shared" si="96"/>
        <v>322.81767004794284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3.8</v>
      </c>
      <c r="M93" s="13">
        <f t="array" ref="M93">INDEX(L:L,MIN(IF(ISNUMBER(L93:L289),ROW(L93:L289),"")))</f>
        <v>3.8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0">
        <f t="shared" si="55"/>
        <v>990.15060990620236</v>
      </c>
      <c r="S93" s="60">
        <f ca="1">AVERAGE(OFFSET($R$3,0,0,'Données projet'!$E$9+1,1))-AVERAGE(OFFSET($H$3,0,0,'Données projet'!$E$9+1,1))</f>
        <v>509.56241660612449</v>
      </c>
      <c r="T93" s="60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358</v>
      </c>
      <c r="AG93" s="13">
        <f>VLOOKUP(A93,'Données projet'!$A$61:$I$81,9,0)</f>
        <v>3.8</v>
      </c>
      <c r="AH93" s="13">
        <f t="array" ref="AH93">INDEX(AG:AG,MIN(IF(ISNUMBER(AG93:AG289),ROW(AG93:AG289),"")))</f>
        <v>3.8</v>
      </c>
      <c r="AI93" s="14">
        <f>IF('Données projet'!$A$62&gt;35,AI92+AH93-AQ92,IF(A93&lt;'Données projet'!$A$62,$AF$205^A93,IF(A93='Données projet'!$A$62,'Données projet'!$B$62,AI92+AH93-AQ92)))</f>
        <v>358.00000000000011</v>
      </c>
      <c r="AJ93" s="14">
        <f>AI93*VLOOKUP('Données projet'!$B$10,Paramètres!$A$1:$I$89,3,0)*VLOOKUP('Données projet'!$B$10,Paramètres!$A$1:$I$89,5,0)</f>
        <v>363.01200000000011</v>
      </c>
      <c r="AK93" s="14">
        <f t="shared" si="89"/>
        <v>84.23609859605908</v>
      </c>
      <c r="AL93" s="22">
        <f t="shared" si="58"/>
        <v>778.95710505480304</v>
      </c>
      <c r="AM93" s="60">
        <f t="shared" si="59"/>
        <v>1072.2904383881364</v>
      </c>
      <c r="AN93" s="60">
        <f ca="1">AVERAGE(OFFSET($AM$3,0,0,'Données projet'!$E$10+1,1))-AVERAGE(OFFSET($H$3,0,0,'Données projet'!$E$10+1,1))</f>
        <v>565.72091871734051</v>
      </c>
      <c r="AO93" s="60">
        <f t="shared" si="90"/>
        <v>306.61893266146666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8.1410256410256405</v>
      </c>
      <c r="BD93" s="13">
        <f>IF('Données projet'!$A$88&gt;35,BD92+BC93-BL92,IF(A93&lt;'Données projet'!$A$88,$BA$205^A93,IF(A93='Données projet'!$A$88,'Données projet'!$B$88,BD92+BC93-BL92)))</f>
        <v>324.42307692307645</v>
      </c>
      <c r="BE93" s="14">
        <f>BD93*VLOOKUP('Données projet'!$B$11,Paramètres!$A$1:$I$89,3,0)*VLOOKUP('Données projet'!$B$11,Paramètres!$A$1:$I$89,5,0)</f>
        <v>151.82999999999979</v>
      </c>
      <c r="BF93" s="14">
        <f t="shared" si="91"/>
        <v>38.994165732360706</v>
      </c>
      <c r="BG93" s="22">
        <f t="shared" si="61"/>
        <v>332.35208865052783</v>
      </c>
      <c r="BH93" s="60">
        <f t="shared" si="62"/>
        <v>625.68542198386115</v>
      </c>
      <c r="BI93" s="60">
        <f ca="1">AVERAGE(OFFSET($BH$3,0,0,'Données projet'!$E$11+1,1))-AVERAGE(OFFSET($H$3,0,0,'Données projet'!$E$11+1,1))</f>
        <v>246.64907095367749</v>
      </c>
      <c r="BJ93" s="60">
        <f t="shared" si="92"/>
        <v>145.34368562171613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358</v>
      </c>
      <c r="BW93" s="13">
        <f>VLOOKUP(A93,'Données projet'!$A$113:$I$133,9,0)</f>
        <v>3.8</v>
      </c>
      <c r="BX93" s="13">
        <f t="array" ref="BX93">INDEX(BW:BW,MIN(IF(ISNUMBER(BW93:BW289),ROW(BW93:BW289),"")))</f>
        <v>3.8</v>
      </c>
      <c r="BY93" s="13">
        <f>IF('Données projet'!$A$114&gt;35,BY92+BX93-CG92,IF(A93&lt;'Données projet'!$A$114,$BV$205^A93,IF(A93='Données projet'!$A$114,'Données projet'!$B$114,BY92+BX93-CG92)))</f>
        <v>358.00000000000011</v>
      </c>
      <c r="BZ93" s="14">
        <f>BY93*VLOOKUP('Données projet'!$B$12,Paramètres!$A$1:$I$89,3,0)*VLOOKUP('Données projet'!$B$12,Paramètres!$A$1:$I$89,5,0)</f>
        <v>346.25760000000014</v>
      </c>
      <c r="CA93" s="14">
        <f t="shared" si="93"/>
        <v>80.791430742606195</v>
      </c>
      <c r="CB93" s="22">
        <f t="shared" si="64"/>
        <v>743.77706187670594</v>
      </c>
      <c r="CC93" s="60">
        <f t="shared" si="65"/>
        <v>1037.1103952100393</v>
      </c>
      <c r="CD93" s="60">
        <f ca="1">AVERAGE(OFFSET($CC$3,0,0,'Données projet'!$E$12+1,1))-AVERAGE(OFFSET($H$3,0,0,'Données projet'!$E$12+1,1))</f>
        <v>541.66888676162716</v>
      </c>
      <c r="CE93" s="60">
        <f t="shared" si="94"/>
        <v>294.45557293177131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56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358</v>
      </c>
      <c r="CR93" s="13">
        <f>VLOOKUP(A93,'Données projet'!$A$139:$I$159,9,0)</f>
        <v>3.8</v>
      </c>
      <c r="CS93" s="13">
        <f t="array" ref="CS93">INDEX(CR:CR,MIN(IF(ISNUMBER(CR93:CR289),ROW(CR93:CR289),"")))</f>
        <v>3.8</v>
      </c>
      <c r="CT93" s="13">
        <f>IF('Données projet'!$A$140&gt;35,CT92+CS93-DB92,IF(A93&lt;'Données projet'!$A$140,$CQ$205^A93,IF(A93='Données projet'!$A$140,'Données projet'!$B$140,CT92+CS93-DB92)))</f>
        <v>358.00000000000011</v>
      </c>
      <c r="CU93" s="18">
        <f>CT93*VLOOKUP('Données projet'!$B$13,Paramètres!$A$1:$I$89,3,0)*VLOOKUP('Données projet'!$B$13,Paramètres!$A$1:$I$89,5,0)</f>
        <v>385.35120000000012</v>
      </c>
      <c r="CV93" s="14">
        <f t="shared" si="95"/>
        <v>88.800427979309902</v>
      </c>
      <c r="CW93" s="22">
        <f t="shared" si="67"/>
        <v>825.81408539729819</v>
      </c>
      <c r="CX93" s="60">
        <f t="shared" si="68"/>
        <v>1119.1474187306314</v>
      </c>
      <c r="CY93" s="60">
        <f ca="1">AVERAGE(OFFSET($CX$3,0,0,'Données projet'!$E$13+1,1))-AVERAGE(OFFSET($H$3,0,0,'Données projet'!$E$13+1,1))</f>
        <v>597.75551942969628</v>
      </c>
      <c r="CZ93" s="60">
        <f t="shared" si="96"/>
        <v>322.81767004794284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56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0">
        <f t="shared" si="55"/>
        <v>894.65494548957918</v>
      </c>
      <c r="S94" s="60">
        <f ca="1">AVERAGE(OFFSET($R$3,0,0,'Données projet'!$E$9+1,1))-AVERAGE(OFFSET($H$3,0,0,'Données projet'!$E$9+1,1))</f>
        <v>509.56241660612449</v>
      </c>
      <c r="T94" s="60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307.90000000000009</v>
      </c>
      <c r="AJ94" s="14">
        <f>AI94*VLOOKUP('Données projet'!$B$10,Paramètres!$A$1:$I$89,3,0)*VLOOKUP('Données projet'!$B$10,Paramètres!$A$1:$I$89,5,0)</f>
        <v>312.21060000000011</v>
      </c>
      <c r="AK94" s="14">
        <f t="shared" si="89"/>
        <v>73.730300342886324</v>
      </c>
      <c r="AL94" s="22">
        <f t="shared" si="58"/>
        <v>672.18040143052724</v>
      </c>
      <c r="AM94" s="60">
        <f t="shared" si="59"/>
        <v>965.51373476386061</v>
      </c>
      <c r="AN94" s="60">
        <f ca="1">AVERAGE(OFFSET($AM$3,0,0,'Données projet'!$E$10+1,1))-AVERAGE(OFFSET($H$3,0,0,'Données projet'!$E$10+1,1))</f>
        <v>565.72091871734051</v>
      </c>
      <c r="AO94" s="60">
        <f t="shared" si="90"/>
        <v>306.61893266146666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8.1410256410256405</v>
      </c>
      <c r="BD94" s="13">
        <f>IF('Données projet'!$A$88&gt;35,BD93+BC94-BL93,IF(A94&lt;'Données projet'!$A$88,$BA$205^A94,IF(A94='Données projet'!$A$88,'Données projet'!$B$88,BD93+BC94-BL93)))</f>
        <v>332.56410256410209</v>
      </c>
      <c r="BE94" s="14">
        <f>BD94*VLOOKUP('Données projet'!$B$11,Paramètres!$A$1:$I$89,3,0)*VLOOKUP('Données projet'!$B$11,Paramètres!$A$1:$I$89,5,0)</f>
        <v>155.63999999999979</v>
      </c>
      <c r="BF94" s="14">
        <f t="shared" si="91"/>
        <v>39.857529549413819</v>
      </c>
      <c r="BG94" s="22">
        <f t="shared" si="61"/>
        <v>340.49153063189533</v>
      </c>
      <c r="BH94" s="60">
        <f t="shared" si="62"/>
        <v>633.82486396522859</v>
      </c>
      <c r="BI94" s="60">
        <f ca="1">AVERAGE(OFFSET($BH$3,0,0,'Données projet'!$E$11+1,1))-AVERAGE(OFFSET($H$3,0,0,'Données projet'!$E$11+1,1))</f>
        <v>246.64907095367749</v>
      </c>
      <c r="BJ94" s="60">
        <f t="shared" si="92"/>
        <v>145.34368562171613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5.9</v>
      </c>
      <c r="BY94" s="13">
        <f>IF('Données projet'!$A$114&gt;35,BY93+BX94-CG93,IF(A94&lt;'Données projet'!$A$114,$BV$205^A94,IF(A94='Données projet'!$A$114,'Données projet'!$B$114,BY93+BX94-CG93)))</f>
        <v>307.90000000000009</v>
      </c>
      <c r="BZ94" s="14">
        <f>BY94*VLOOKUP('Données projet'!$B$12,Paramètres!$A$1:$I$89,3,0)*VLOOKUP('Données projet'!$B$12,Paramètres!$A$1:$I$89,5,0)</f>
        <v>297.80088000000012</v>
      </c>
      <c r="CA94" s="14">
        <f t="shared" si="93"/>
        <v>70.715246231293804</v>
      </c>
      <c r="CB94" s="22">
        <f t="shared" si="64"/>
        <v>641.83225318617019</v>
      </c>
      <c r="CC94" s="60">
        <f t="shared" si="65"/>
        <v>935.16558651950345</v>
      </c>
      <c r="CD94" s="60">
        <f ca="1">AVERAGE(OFFSET($CC$3,0,0,'Données projet'!$E$12+1,1))-AVERAGE(OFFSET($H$3,0,0,'Données projet'!$E$12+1,1))</f>
        <v>541.66888676162716</v>
      </c>
      <c r="CE94" s="60">
        <f t="shared" si="94"/>
        <v>294.45557293177131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5.9</v>
      </c>
      <c r="CT94" s="13">
        <f>IF('Données projet'!$A$140&gt;35,CT93+CS94-DB93,IF(A94&lt;'Données projet'!$A$140,$CQ$205^A94,IF(A94='Données projet'!$A$140,'Données projet'!$B$140,CT93+CS94-DB93)))</f>
        <v>307.90000000000009</v>
      </c>
      <c r="CU94" s="18">
        <f>CT94*VLOOKUP('Données projet'!$B$13,Paramètres!$A$1:$I$89,3,0)*VLOOKUP('Données projet'!$B$13,Paramètres!$A$1:$I$89,5,0)</f>
        <v>331.42356000000007</v>
      </c>
      <c r="CV94" s="14">
        <f t="shared" si="95"/>
        <v>77.725373499167262</v>
      </c>
      <c r="CW94" s="22">
        <f t="shared" si="67"/>
        <v>712.60105917771659</v>
      </c>
      <c r="CX94" s="60">
        <f t="shared" si="68"/>
        <v>1005.93439251105</v>
      </c>
      <c r="CY94" s="60">
        <f ca="1">AVERAGE(OFFSET($CX$3,0,0,'Données projet'!$E$13+1,1))-AVERAGE(OFFSET($H$3,0,0,'Données projet'!$E$13+1,1))</f>
        <v>597.75551942969628</v>
      </c>
      <c r="CZ94" s="60">
        <f t="shared" si="96"/>
        <v>322.81767004794284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0">
        <f t="shared" si="55"/>
        <v>905.91634374468708</v>
      </c>
      <c r="S95" s="60">
        <f ca="1">AVERAGE(OFFSET($R$3,0,0,'Données projet'!$E$9+1,1))-AVERAGE(OFFSET($H$3,0,0,'Données projet'!$E$9+1,1))</f>
        <v>509.56241660612449</v>
      </c>
      <c r="T95" s="60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313.80000000000007</v>
      </c>
      <c r="AJ95" s="14">
        <f>AI95*VLOOKUP('Données projet'!$B$10,Paramètres!$A$1:$I$89,3,0)*VLOOKUP('Données projet'!$B$10,Paramètres!$A$1:$I$89,5,0)</f>
        <v>318.1932000000001</v>
      </c>
      <c r="AK95" s="14">
        <f t="shared" si="89"/>
        <v>74.977289985928564</v>
      </c>
      <c r="AL95" s="22">
        <f t="shared" si="58"/>
        <v>684.77193672549231</v>
      </c>
      <c r="AM95" s="60">
        <f t="shared" si="59"/>
        <v>978.10527005882568</v>
      </c>
      <c r="AN95" s="60">
        <f ca="1">AVERAGE(OFFSET($AM$3,0,0,'Données projet'!$E$10+1,1))-AVERAGE(OFFSET($H$3,0,0,'Données projet'!$E$10+1,1))</f>
        <v>565.72091871734051</v>
      </c>
      <c r="AO95" s="60">
        <f t="shared" si="90"/>
        <v>306.61893266146666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8.1410256410256405</v>
      </c>
      <c r="BD95" s="13">
        <f>IF('Données projet'!$A$88&gt;35,BD94+BC95-BL94,IF(A95&lt;'Données projet'!$A$88,$BA$205^A95,IF(A95='Données projet'!$A$88,'Données projet'!$B$88,BD94+BC95-BL94)))</f>
        <v>340.70512820512772</v>
      </c>
      <c r="BE95" s="14">
        <f>BD95*VLOOKUP('Données projet'!$B$11,Paramètres!$A$1:$I$89,3,0)*VLOOKUP('Données projet'!$B$11,Paramètres!$A$1:$I$89,5,0)</f>
        <v>159.44999999999976</v>
      </c>
      <c r="BF95" s="14">
        <f t="shared" si="91"/>
        <v>40.718436521095953</v>
      </c>
      <c r="BG95" s="22">
        <f t="shared" si="61"/>
        <v>348.62669360757508</v>
      </c>
      <c r="BH95" s="60">
        <f t="shared" si="62"/>
        <v>641.96002694090839</v>
      </c>
      <c r="BI95" s="60">
        <f ca="1">AVERAGE(OFFSET($BH$3,0,0,'Données projet'!$E$11+1,1))-AVERAGE(OFFSET($H$3,0,0,'Données projet'!$E$11+1,1))</f>
        <v>246.64907095367749</v>
      </c>
      <c r="BJ95" s="60">
        <f t="shared" si="92"/>
        <v>145.34368562171613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5.9</v>
      </c>
      <c r="BY95" s="13">
        <f>IF('Données projet'!$A$114&gt;35,BY94+BX95-CG94,IF(A95&lt;'Données projet'!$A$114,$BV$205^A95,IF(A95='Données projet'!$A$114,'Données projet'!$B$114,BY94+BX95-CG94)))</f>
        <v>313.80000000000007</v>
      </c>
      <c r="BZ95" s="14">
        <f>BY95*VLOOKUP('Données projet'!$B$12,Paramètres!$A$1:$I$89,3,0)*VLOOKUP('Données projet'!$B$12,Paramètres!$A$1:$I$89,5,0)</f>
        <v>303.50736000000006</v>
      </c>
      <c r="CA95" s="14">
        <f t="shared" si="93"/>
        <v>71.911242710970484</v>
      </c>
      <c r="CB95" s="22">
        <f t="shared" si="64"/>
        <v>653.85406638827374</v>
      </c>
      <c r="CC95" s="60">
        <f t="shared" si="65"/>
        <v>947.18739972160711</v>
      </c>
      <c r="CD95" s="60">
        <f ca="1">AVERAGE(OFFSET($CC$3,0,0,'Données projet'!$E$12+1,1))-AVERAGE(OFFSET($H$3,0,0,'Données projet'!$E$12+1,1))</f>
        <v>541.66888676162716</v>
      </c>
      <c r="CE95" s="60">
        <f t="shared" si="94"/>
        <v>294.45557293177131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5.9</v>
      </c>
      <c r="CT95" s="13">
        <f>IF('Données projet'!$A$140&gt;35,CT94+CS95-DB94,IF(A95&lt;'Données projet'!$A$140,$CQ$205^A95,IF(A95='Données projet'!$A$140,'Données projet'!$B$140,CT94+CS95-DB94)))</f>
        <v>313.80000000000007</v>
      </c>
      <c r="CU95" s="18">
        <f>CT95*VLOOKUP('Données projet'!$B$13,Paramètres!$A$1:$I$89,3,0)*VLOOKUP('Données projet'!$B$13,Paramètres!$A$1:$I$89,5,0)</f>
        <v>337.77432000000005</v>
      </c>
      <c r="CV95" s="14">
        <f t="shared" si="95"/>
        <v>79.039931222441098</v>
      </c>
      <c r="CW95" s="22">
        <f t="shared" si="67"/>
        <v>725.95148754575166</v>
      </c>
      <c r="CX95" s="60">
        <f t="shared" si="68"/>
        <v>1019.2848208790849</v>
      </c>
      <c r="CY95" s="60">
        <f ca="1">AVERAGE(OFFSET($CX$3,0,0,'Données projet'!$E$13+1,1))-AVERAGE(OFFSET($H$3,0,0,'Données projet'!$E$13+1,1))</f>
        <v>597.75551942969628</v>
      </c>
      <c r="CZ95" s="60">
        <f t="shared" si="96"/>
        <v>322.81767004794284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0">
        <f t="shared" si="55"/>
        <v>917.17344854814269</v>
      </c>
      <c r="S96" s="60">
        <f ca="1">AVERAGE(OFFSET($R$3,0,0,'Données projet'!$E$9+1,1))-AVERAGE(OFFSET($H$3,0,0,'Données projet'!$E$9+1,1))</f>
        <v>509.56241660612449</v>
      </c>
      <c r="T96" s="60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319.70000000000005</v>
      </c>
      <c r="AJ96" s="14">
        <f>AI96*VLOOKUP('Données projet'!$B$10,Paramètres!$A$1:$I$89,3,0)*VLOOKUP('Données projet'!$B$10,Paramètres!$A$1:$I$89,5,0)</f>
        <v>324.17580000000004</v>
      </c>
      <c r="AK96" s="14">
        <f t="shared" si="89"/>
        <v>76.221553371909195</v>
      </c>
      <c r="AL96" s="22">
        <f t="shared" si="58"/>
        <v>697.3587237894086</v>
      </c>
      <c r="AM96" s="60">
        <f t="shared" si="59"/>
        <v>990.69205712274197</v>
      </c>
      <c r="AN96" s="60">
        <f ca="1">AVERAGE(OFFSET($AM$3,0,0,'Données projet'!$E$10+1,1))-AVERAGE(OFFSET($H$3,0,0,'Données projet'!$E$10+1,1))</f>
        <v>565.72091871734051</v>
      </c>
      <c r="AO96" s="60">
        <f t="shared" si="90"/>
        <v>306.61893266146666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8.1410256410256405</v>
      </c>
      <c r="BD96" s="13">
        <f>IF('Données projet'!$A$88&gt;35,BD95+BC96-BL95,IF(A96&lt;'Données projet'!$A$88,$BA$205^A96,IF(A96='Données projet'!$A$88,'Données projet'!$B$88,BD95+BC96-BL95)))</f>
        <v>348.84615384615336</v>
      </c>
      <c r="BE96" s="14">
        <f>BD96*VLOOKUP('Données projet'!$B$11,Paramètres!$A$1:$I$89,3,0)*VLOOKUP('Données projet'!$B$11,Paramètres!$A$1:$I$89,5,0)</f>
        <v>163.25999999999976</v>
      </c>
      <c r="BF96" s="14">
        <f t="shared" si="91"/>
        <v>41.576952107686338</v>
      </c>
      <c r="BG96" s="22">
        <f t="shared" si="61"/>
        <v>356.75769158755321</v>
      </c>
      <c r="BH96" s="60">
        <f t="shared" si="62"/>
        <v>650.09102492088653</v>
      </c>
      <c r="BI96" s="60">
        <f ca="1">AVERAGE(OFFSET($BH$3,0,0,'Données projet'!$E$11+1,1))-AVERAGE(OFFSET($H$3,0,0,'Données projet'!$E$11+1,1))</f>
        <v>246.64907095367749</v>
      </c>
      <c r="BJ96" s="60">
        <f t="shared" si="92"/>
        <v>145.34368562171613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5.9</v>
      </c>
      <c r="BY96" s="13">
        <f>IF('Données projet'!$A$114&gt;35,BY95+BX96-CG95,IF(A96&lt;'Données projet'!$A$114,$BV$205^A96,IF(A96='Données projet'!$A$114,'Données projet'!$B$114,BY95+BX96-CG95)))</f>
        <v>319.70000000000005</v>
      </c>
      <c r="BZ96" s="14">
        <f>BY96*VLOOKUP('Données projet'!$B$12,Paramètres!$A$1:$I$89,3,0)*VLOOKUP('Données projet'!$B$12,Paramètres!$A$1:$I$89,5,0)</f>
        <v>309.21384000000006</v>
      </c>
      <c r="CA96" s="14">
        <f t="shared" si="93"/>
        <v>73.104624418450499</v>
      </c>
      <c r="CB96" s="22">
        <f t="shared" si="64"/>
        <v>665.87132552880132</v>
      </c>
      <c r="CC96" s="60">
        <f t="shared" si="65"/>
        <v>959.20465886213469</v>
      </c>
      <c r="CD96" s="60">
        <f ca="1">AVERAGE(OFFSET($CC$3,0,0,'Données projet'!$E$12+1,1))-AVERAGE(OFFSET($H$3,0,0,'Données projet'!$E$12+1,1))</f>
        <v>541.66888676162716</v>
      </c>
      <c r="CE96" s="60">
        <f t="shared" si="94"/>
        <v>294.45557293177131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5.9</v>
      </c>
      <c r="CT96" s="13">
        <f>IF('Données projet'!$A$140&gt;35,CT95+CS96-DB95,IF(A96&lt;'Données projet'!$A$140,$CQ$205^A96,IF(A96='Données projet'!$A$140,'Données projet'!$B$140,CT95+CS96-DB95)))</f>
        <v>319.70000000000005</v>
      </c>
      <c r="CU96" s="18">
        <f>CT96*VLOOKUP('Données projet'!$B$13,Paramètres!$A$1:$I$89,3,0)*VLOOKUP('Données projet'!$B$13,Paramètres!$A$1:$I$89,5,0)</f>
        <v>344.12508000000003</v>
      </c>
      <c r="CV96" s="14">
        <f t="shared" si="95"/>
        <v>80.351614966531784</v>
      </c>
      <c r="CW96" s="22">
        <f t="shared" si="67"/>
        <v>739.29691040004275</v>
      </c>
      <c r="CX96" s="60">
        <f t="shared" si="68"/>
        <v>1032.6302437333761</v>
      </c>
      <c r="CY96" s="60">
        <f ca="1">AVERAGE(OFFSET($CX$3,0,0,'Données projet'!$E$13+1,1))-AVERAGE(OFFSET($H$3,0,0,'Données projet'!$E$13+1,1))</f>
        <v>597.75551942969628</v>
      </c>
      <c r="CZ96" s="60">
        <f t="shared" si="96"/>
        <v>322.81767004794284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0">
        <f t="shared" si="55"/>
        <v>928.42634827284928</v>
      </c>
      <c r="S97" s="60">
        <f ca="1">AVERAGE(OFFSET($R$3,0,0,'Données projet'!$E$9+1,1))-AVERAGE(OFFSET($H$3,0,0,'Données projet'!$E$9+1,1))</f>
        <v>509.56241660612449</v>
      </c>
      <c r="T97" s="60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325.60000000000002</v>
      </c>
      <c r="AJ97" s="14">
        <f>AI97*VLOOKUP('Données projet'!$B$10,Paramètres!$A$1:$I$89,3,0)*VLOOKUP('Données projet'!$B$10,Paramètres!$A$1:$I$89,5,0)</f>
        <v>330.15840000000003</v>
      </c>
      <c r="AK97" s="14">
        <f t="shared" si="89"/>
        <v>77.463146615877591</v>
      </c>
      <c r="AL97" s="22">
        <f t="shared" si="58"/>
        <v>709.94086035598684</v>
      </c>
      <c r="AM97" s="60">
        <f t="shared" si="59"/>
        <v>1003.2741936893201</v>
      </c>
      <c r="AN97" s="60">
        <f ca="1">AVERAGE(OFFSET($AM$3,0,0,'Données projet'!$E$10+1,1))-AVERAGE(OFFSET($H$3,0,0,'Données projet'!$E$10+1,1))</f>
        <v>565.72091871734051</v>
      </c>
      <c r="AO97" s="60">
        <f t="shared" si="90"/>
        <v>306.61893266146666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8.1410256410256405</v>
      </c>
      <c r="BD97" s="13">
        <f>IF('Données projet'!$A$88&gt;35,BD96+BC97-BL96,IF(A97&lt;'Données projet'!$A$88,$BA$205^A97,IF(A97='Données projet'!$A$88,'Données projet'!$B$88,BD96+BC97-BL96)))</f>
        <v>356.98717948717899</v>
      </c>
      <c r="BE97" s="14">
        <f>BD97*VLOOKUP('Données projet'!$B$11,Paramètres!$A$1:$I$89,3,0)*VLOOKUP('Données projet'!$B$11,Paramètres!$A$1:$I$89,5,0)</f>
        <v>167.06999999999977</v>
      </c>
      <c r="BF97" s="14">
        <f t="shared" si="91"/>
        <v>42.433138539856941</v>
      </c>
      <c r="BG97" s="22">
        <f t="shared" si="61"/>
        <v>364.88463295691707</v>
      </c>
      <c r="BH97" s="60">
        <f t="shared" si="62"/>
        <v>658.21796629025039</v>
      </c>
      <c r="BI97" s="60">
        <f ca="1">AVERAGE(OFFSET($BH$3,0,0,'Données projet'!$E$11+1,1))-AVERAGE(OFFSET($H$3,0,0,'Données projet'!$E$11+1,1))</f>
        <v>246.64907095367749</v>
      </c>
      <c r="BJ97" s="60">
        <f t="shared" si="92"/>
        <v>145.34368562171613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5.9</v>
      </c>
      <c r="BY97" s="13">
        <f>IF('Données projet'!$A$114&gt;35,BY96+BX97-CG96,IF(A97&lt;'Données projet'!$A$114,$BV$205^A97,IF(A97='Données projet'!$A$114,'Données projet'!$B$114,BY96+BX97-CG96)))</f>
        <v>325.60000000000002</v>
      </c>
      <c r="BZ97" s="14">
        <f>BY97*VLOOKUP('Données projet'!$B$12,Paramètres!$A$1:$I$89,3,0)*VLOOKUP('Données projet'!$B$12,Paramètres!$A$1:$I$89,5,0)</f>
        <v>314.92032000000006</v>
      </c>
      <c r="CA97" s="14">
        <f t="shared" si="93"/>
        <v>74.295445174069485</v>
      </c>
      <c r="CB97" s="22">
        <f t="shared" si="64"/>
        <v>677.8841243448378</v>
      </c>
      <c r="CC97" s="60">
        <f t="shared" si="65"/>
        <v>971.21745767817106</v>
      </c>
      <c r="CD97" s="60">
        <f ca="1">AVERAGE(OFFSET($CC$3,0,0,'Données projet'!$E$12+1,1))-AVERAGE(OFFSET($H$3,0,0,'Données projet'!$E$12+1,1))</f>
        <v>541.66888676162716</v>
      </c>
      <c r="CE97" s="60">
        <f t="shared" si="94"/>
        <v>294.45557293177131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5.9</v>
      </c>
      <c r="CT97" s="13">
        <f>IF('Données projet'!$A$140&gt;35,CT96+CS97-DB96,IF(A97&lt;'Données projet'!$A$140,$CQ$205^A97,IF(A97='Données projet'!$A$140,'Données projet'!$B$140,CT96+CS97-DB96)))</f>
        <v>325.60000000000002</v>
      </c>
      <c r="CU97" s="18">
        <f>CT97*VLOOKUP('Données projet'!$B$13,Paramètres!$A$1:$I$89,3,0)*VLOOKUP('Données projet'!$B$13,Paramètres!$A$1:$I$89,5,0)</f>
        <v>350.47584000000001</v>
      </c>
      <c r="CV97" s="14">
        <f t="shared" si="95"/>
        <v>81.660483887079877</v>
      </c>
      <c r="CW97" s="22">
        <f t="shared" si="67"/>
        <v>752.63743076999742</v>
      </c>
      <c r="CX97" s="60">
        <f t="shared" si="68"/>
        <v>1045.9707641033308</v>
      </c>
      <c r="CY97" s="60">
        <f ca="1">AVERAGE(OFFSET($CX$3,0,0,'Données projet'!$E$13+1,1))-AVERAGE(OFFSET($H$3,0,0,'Données projet'!$E$13+1,1))</f>
        <v>597.75551942969628</v>
      </c>
      <c r="CZ97" s="60">
        <f t="shared" si="96"/>
        <v>322.81767004794284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0">
        <f t="shared" si="55"/>
        <v>939.67512790562569</v>
      </c>
      <c r="S98" s="60">
        <f ca="1">AVERAGE(OFFSET($R$3,0,0,'Données projet'!$E$9+1,1))-AVERAGE(OFFSET($H$3,0,0,'Données projet'!$E$9+1,1))</f>
        <v>509.56241660612449</v>
      </c>
      <c r="T98" s="60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</v>
      </c>
      <c r="AJ98" s="14">
        <f>AI98*VLOOKUP('Données projet'!$B$10,Paramètres!$A$1:$I$89,3,0)*VLOOKUP('Données projet'!$B$10,Paramètres!$A$1:$I$89,5,0)</f>
        <v>336.14100000000002</v>
      </c>
      <c r="AK98" s="14">
        <f t="shared" si="89"/>
        <v>78.70212368278645</v>
      </c>
      <c r="AL98" s="22">
        <f t="shared" si="58"/>
        <v>722.51844041418644</v>
      </c>
      <c r="AM98" s="60">
        <f t="shared" si="59"/>
        <v>1015.8517737475197</v>
      </c>
      <c r="AN98" s="60">
        <f ca="1">AVERAGE(OFFSET($AM$3,0,0,'Données projet'!$E$10+1,1))-AVERAGE(OFFSET($H$3,0,0,'Données projet'!$E$10+1,1))</f>
        <v>565.72091871734051</v>
      </c>
      <c r="AO98" s="60">
        <f t="shared" si="90"/>
        <v>306.61893266146666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8.1410256410256405</v>
      </c>
      <c r="BD98" s="13">
        <f>IF('Données projet'!$A$88&gt;35,BD97+BC98-BL97,IF(A98&lt;'Données projet'!$A$88,$BA$205^A98,IF(A98='Données projet'!$A$88,'Données projet'!$B$88,BD97+BC98-BL97)))</f>
        <v>365.12820512820463</v>
      </c>
      <c r="BE98" s="14">
        <f>BD98*VLOOKUP('Données projet'!$B$11,Paramètres!$A$1:$I$89,3,0)*VLOOKUP('Données projet'!$B$11,Paramètres!$A$1:$I$89,5,0)</f>
        <v>170.87999999999977</v>
      </c>
      <c r="BF98" s="14">
        <f t="shared" si="91"/>
        <v>43.287055047972629</v>
      </c>
      <c r="BG98" s="22">
        <f t="shared" si="61"/>
        <v>373.00762087521849</v>
      </c>
      <c r="BH98" s="60">
        <f t="shared" si="62"/>
        <v>666.34095420855181</v>
      </c>
      <c r="BI98" s="60">
        <f ca="1">AVERAGE(OFFSET($BH$3,0,0,'Données projet'!$E$11+1,1))-AVERAGE(OFFSET($H$3,0,0,'Données projet'!$E$11+1,1))</f>
        <v>246.64907095367749</v>
      </c>
      <c r="BJ98" s="60">
        <f t="shared" si="92"/>
        <v>145.34368562171613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5.9</v>
      </c>
      <c r="BY98" s="13">
        <f>IF('Données projet'!$A$114&gt;35,BY97+BX98-CG97,IF(A98&lt;'Données projet'!$A$114,$BV$205^A98,IF(A98='Données projet'!$A$114,'Données projet'!$B$114,BY97+BX98-CG97)))</f>
        <v>331.5</v>
      </c>
      <c r="BZ98" s="14">
        <f>BY98*VLOOKUP('Données projet'!$B$12,Paramètres!$A$1:$I$89,3,0)*VLOOKUP('Données projet'!$B$12,Paramètres!$A$1:$I$89,5,0)</f>
        <v>320.6268</v>
      </c>
      <c r="CA98" s="14">
        <f t="shared" si="93"/>
        <v>75.483756735990909</v>
      </c>
      <c r="CB98" s="22">
        <f t="shared" si="64"/>
        <v>689.89255298185083</v>
      </c>
      <c r="CC98" s="60">
        <f t="shared" si="65"/>
        <v>983.2258863151842</v>
      </c>
      <c r="CD98" s="60">
        <f ca="1">AVERAGE(OFFSET($CC$3,0,0,'Données projet'!$E$12+1,1))-AVERAGE(OFFSET($H$3,0,0,'Données projet'!$E$12+1,1))</f>
        <v>541.66888676162716</v>
      </c>
      <c r="CE98" s="60">
        <f t="shared" si="94"/>
        <v>294.45557293177131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5.9</v>
      </c>
      <c r="CT98" s="13">
        <f>IF('Données projet'!$A$140&gt;35,CT97+CS98-DB97,IF(A98&lt;'Données projet'!$A$140,$CQ$205^A98,IF(A98='Données projet'!$A$140,'Données projet'!$B$140,CT97+CS98-DB97)))</f>
        <v>331.5</v>
      </c>
      <c r="CU98" s="18">
        <f>CT98*VLOOKUP('Données projet'!$B$13,Paramètres!$A$1:$I$89,3,0)*VLOOKUP('Données projet'!$B$13,Paramètres!$A$1:$I$89,5,0)</f>
        <v>356.82659999999998</v>
      </c>
      <c r="CV98" s="14">
        <f t="shared" si="95"/>
        <v>82.966594873127022</v>
      </c>
      <c r="CW98" s="22">
        <f t="shared" si="67"/>
        <v>765.97314773736286</v>
      </c>
      <c r="CX98" s="60">
        <f t="shared" si="68"/>
        <v>1059.3064810706962</v>
      </c>
      <c r="CY98" s="60">
        <f ca="1">AVERAGE(OFFSET($CX$3,0,0,'Données projet'!$E$13+1,1))-AVERAGE(OFFSET($H$3,0,0,'Données projet'!$E$13+1,1))</f>
        <v>597.75551942969628</v>
      </c>
      <c r="CZ98" s="60">
        <f t="shared" si="96"/>
        <v>322.81767004794284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0">
        <f t="shared" si="55"/>
        <v>950.91986923486297</v>
      </c>
      <c r="S99" s="60">
        <f ca="1">AVERAGE(OFFSET($R$3,0,0,'Données projet'!$E$9+1,1))-AVERAGE(OFFSET($H$3,0,0,'Données projet'!$E$9+1,1))</f>
        <v>509.56241660612449</v>
      </c>
      <c r="T99" s="60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</v>
      </c>
      <c r="AJ99" s="14">
        <f>AI99*VLOOKUP('Données projet'!$B$10,Paramètres!$A$1:$I$89,3,0)*VLOOKUP('Données projet'!$B$10,Paramètres!$A$1:$I$89,5,0)</f>
        <v>342.12360000000001</v>
      </c>
      <c r="AK99" s="14">
        <f t="shared" si="89"/>
        <v>79.938536506649669</v>
      </c>
      <c r="AL99" s="22">
        <f t="shared" si="58"/>
        <v>735.09155441574819</v>
      </c>
      <c r="AM99" s="60">
        <f t="shared" si="59"/>
        <v>1028.4248877490816</v>
      </c>
      <c r="AN99" s="60">
        <f ca="1">AVERAGE(OFFSET($AM$3,0,0,'Données projet'!$E$10+1,1))-AVERAGE(OFFSET($H$3,0,0,'Données projet'!$E$10+1,1))</f>
        <v>565.72091871734051</v>
      </c>
      <c r="AO99" s="60">
        <f t="shared" si="90"/>
        <v>306.61893266146666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8.1410256410256405</v>
      </c>
      <c r="BD99" s="13">
        <f>IF('Données projet'!$A$88&gt;35,BD98+BC99-BL98,IF(A99&lt;'Données projet'!$A$88,$BA$205^A99,IF(A99='Données projet'!$A$88,'Données projet'!$B$88,BD98+BC99-BL98)))</f>
        <v>373.26923076923026</v>
      </c>
      <c r="BE99" s="14">
        <f>BD99*VLOOKUP('Données projet'!$B$11,Paramètres!$A$1:$I$89,3,0)*VLOOKUP('Données projet'!$B$11,Paramètres!$A$1:$I$89,5,0)</f>
        <v>174.68999999999974</v>
      </c>
      <c r="BF99" s="14">
        <f t="shared" si="91"/>
        <v>44.138758070364624</v>
      </c>
      <c r="BG99" s="22">
        <f t="shared" si="61"/>
        <v>381.1267536392179</v>
      </c>
      <c r="BH99" s="60">
        <f t="shared" si="62"/>
        <v>674.46008697255115</v>
      </c>
      <c r="BI99" s="60">
        <f ca="1">AVERAGE(OFFSET($BH$3,0,0,'Données projet'!$E$11+1,1))-AVERAGE(OFFSET($H$3,0,0,'Données projet'!$E$11+1,1))</f>
        <v>246.64907095367749</v>
      </c>
      <c r="BJ99" s="60">
        <f t="shared" si="92"/>
        <v>145.34368562171613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5.9</v>
      </c>
      <c r="BY99" s="13">
        <f>IF('Données projet'!$A$114&gt;35,BY98+BX99-CG98,IF(A99&lt;'Données projet'!$A$114,$BV$205^A99,IF(A99='Données projet'!$A$114,'Données projet'!$B$114,BY98+BX99-CG98)))</f>
        <v>337.4</v>
      </c>
      <c r="BZ99" s="14">
        <f>BY99*VLOOKUP('Données projet'!$B$12,Paramètres!$A$1:$I$89,3,0)*VLOOKUP('Données projet'!$B$12,Paramètres!$A$1:$I$89,5,0)</f>
        <v>326.33328</v>
      </c>
      <c r="CA99" s="14">
        <f t="shared" si="93"/>
        <v>76.669608914490098</v>
      </c>
      <c r="CB99" s="22">
        <f t="shared" si="64"/>
        <v>701.89669819273684</v>
      </c>
      <c r="CC99" s="60">
        <f t="shared" si="65"/>
        <v>995.23003152607021</v>
      </c>
      <c r="CD99" s="60">
        <f ca="1">AVERAGE(OFFSET($CC$3,0,0,'Données projet'!$E$12+1,1))-AVERAGE(OFFSET($H$3,0,0,'Données projet'!$E$12+1,1))</f>
        <v>541.66888676162716</v>
      </c>
      <c r="CE99" s="60">
        <f t="shared" si="94"/>
        <v>294.45557293177131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5.9</v>
      </c>
      <c r="CT99" s="13">
        <f>IF('Données projet'!$A$140&gt;35,CT98+CS99-DB98,IF(A99&lt;'Données projet'!$A$140,$CQ$205^A99,IF(A99='Données projet'!$A$140,'Données projet'!$B$140,CT98+CS99-DB98)))</f>
        <v>337.4</v>
      </c>
      <c r="CU99" s="18">
        <f>CT99*VLOOKUP('Données projet'!$B$13,Paramètres!$A$1:$I$89,3,0)*VLOOKUP('Données projet'!$B$13,Paramètres!$A$1:$I$89,5,0)</f>
        <v>363.17735999999996</v>
      </c>
      <c r="CV99" s="14">
        <f t="shared" si="95"/>
        <v>84.270002672729191</v>
      </c>
      <c r="CW99" s="22">
        <f t="shared" si="67"/>
        <v>779.30415665500323</v>
      </c>
      <c r="CX99" s="60">
        <f t="shared" si="68"/>
        <v>1072.6374899883365</v>
      </c>
      <c r="CY99" s="60">
        <f ca="1">AVERAGE(OFFSET($CX$3,0,0,'Données projet'!$E$13+1,1))-AVERAGE(OFFSET($H$3,0,0,'Données projet'!$E$13+1,1))</f>
        <v>597.75551942969628</v>
      </c>
      <c r="CZ99" s="60">
        <f t="shared" si="96"/>
        <v>322.81767004794284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0">
        <f t="shared" si="55"/>
        <v>962.16065102468042</v>
      </c>
      <c r="S100" s="60">
        <f ca="1">AVERAGE(OFFSET($R$3,0,0,'Données projet'!$E$9+1,1))-AVERAGE(OFFSET($H$3,0,0,'Données projet'!$E$9+1,1))</f>
        <v>509.56241660612449</v>
      </c>
      <c r="T100" s="60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343.29999999999995</v>
      </c>
      <c r="AJ100" s="14">
        <f>AI100*VLOOKUP('Données projet'!$B$10,Paramètres!$A$1:$I$89,3,0)*VLOOKUP('Données projet'!$B$10,Paramètres!$A$1:$I$89,5,0)</f>
        <v>348.1062</v>
      </c>
      <c r="AK100" s="14">
        <f t="shared" si="89"/>
        <v>81.172435101128713</v>
      </c>
      <c r="AL100" s="22">
        <f t="shared" si="58"/>
        <v>747.66028946779909</v>
      </c>
      <c r="AM100" s="60">
        <f t="shared" si="59"/>
        <v>1040.9936228011325</v>
      </c>
      <c r="AN100" s="60">
        <f ca="1">AVERAGE(OFFSET($AM$3,0,0,'Données projet'!$E$10+1,1))-AVERAGE(OFFSET($H$3,0,0,'Données projet'!$E$10+1,1))</f>
        <v>565.72091871734051</v>
      </c>
      <c r="AO100" s="60">
        <f t="shared" si="90"/>
        <v>306.61893266146666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8.1410256410256405</v>
      </c>
      <c r="BD100" s="13">
        <f>IF('Données projet'!$A$88&gt;35,BD99+BC100-BL99,IF(A100&lt;'Données projet'!$A$88,$BA$205^A100,IF(A100='Données projet'!$A$88,'Données projet'!$B$88,BD99+BC100-BL99)))</f>
        <v>381.4102564102559</v>
      </c>
      <c r="BE100" s="14">
        <f>BD100*VLOOKUP('Données projet'!$B$11,Paramètres!$A$1:$I$89,3,0)*VLOOKUP('Données projet'!$B$11,Paramètres!$A$1:$I$89,5,0)</f>
        <v>178.49999999999977</v>
      </c>
      <c r="BF100" s="14">
        <f t="shared" si="91"/>
        <v>44.988301442921504</v>
      </c>
      <c r="BG100" s="22">
        <f t="shared" si="61"/>
        <v>389.24212501308784</v>
      </c>
      <c r="BH100" s="60">
        <f t="shared" si="62"/>
        <v>682.5754583464211</v>
      </c>
      <c r="BI100" s="60">
        <f ca="1">AVERAGE(OFFSET($BH$3,0,0,'Données projet'!$E$11+1,1))-AVERAGE(OFFSET($H$3,0,0,'Données projet'!$E$11+1,1))</f>
        <v>246.64907095367749</v>
      </c>
      <c r="BJ100" s="60">
        <f t="shared" si="92"/>
        <v>145.34368562171613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5.9</v>
      </c>
      <c r="BY100" s="13">
        <f>IF('Données projet'!$A$114&gt;35,BY99+BX100-CG99,IF(A100&lt;'Données projet'!$A$114,$BV$205^A100,IF(A100='Données projet'!$A$114,'Données projet'!$B$114,BY99+BX100-CG99)))</f>
        <v>343.29999999999995</v>
      </c>
      <c r="BZ100" s="14">
        <f>BY100*VLOOKUP('Données projet'!$B$12,Paramètres!$A$1:$I$89,3,0)*VLOOKUP('Données projet'!$B$12,Paramètres!$A$1:$I$89,5,0)</f>
        <v>332.03975999999994</v>
      </c>
      <c r="CA100" s="14">
        <f t="shared" si="93"/>
        <v>77.853049678019573</v>
      </c>
      <c r="CB100" s="22">
        <f t="shared" si="64"/>
        <v>713.89664352255056</v>
      </c>
      <c r="CC100" s="60">
        <f t="shared" si="65"/>
        <v>1007.2299768558839</v>
      </c>
      <c r="CD100" s="60">
        <f ca="1">AVERAGE(OFFSET($CC$3,0,0,'Données projet'!$E$12+1,1))-AVERAGE(OFFSET($H$3,0,0,'Données projet'!$E$12+1,1))</f>
        <v>541.66888676162716</v>
      </c>
      <c r="CE100" s="60">
        <f t="shared" si="94"/>
        <v>294.45557293177131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5.9</v>
      </c>
      <c r="CT100" s="13">
        <f>IF('Données projet'!$A$140&gt;35,CT99+CS100-DB99,IF(A100&lt;'Données projet'!$A$140,$CQ$205^A100,IF(A100='Données projet'!$A$140,'Données projet'!$B$140,CT99+CS100-DB99)))</f>
        <v>343.29999999999995</v>
      </c>
      <c r="CU100" s="18">
        <f>CT100*VLOOKUP('Données projet'!$B$13,Paramètres!$A$1:$I$89,3,0)*VLOOKUP('Données projet'!$B$13,Paramètres!$A$1:$I$89,5,0)</f>
        <v>369.52811999999994</v>
      </c>
      <c r="CV100" s="14">
        <f t="shared" si="95"/>
        <v>85.570760009536031</v>
      </c>
      <c r="CW100" s="22">
        <f t="shared" si="67"/>
        <v>792.6305493499417</v>
      </c>
      <c r="CX100" s="60">
        <f t="shared" si="68"/>
        <v>1085.963882683275</v>
      </c>
      <c r="CY100" s="60">
        <f ca="1">AVERAGE(OFFSET($CX$3,0,0,'Données projet'!$E$13+1,1))-AVERAGE(OFFSET($H$3,0,0,'Données projet'!$E$13+1,1))</f>
        <v>597.75551942969628</v>
      </c>
      <c r="CZ100" s="60">
        <f t="shared" si="96"/>
        <v>322.81767004794284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0">
        <f t="shared" si="55"/>
        <v>973.39754917677396</v>
      </c>
      <c r="S101" s="60">
        <f ca="1">AVERAGE(OFFSET($R$3,0,0,'Données projet'!$E$9+1,1))-AVERAGE(OFFSET($H$3,0,0,'Données projet'!$E$9+1,1))</f>
        <v>509.56241660612449</v>
      </c>
      <c r="T101" s="60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349.19999999999993</v>
      </c>
      <c r="AJ101" s="14">
        <f>AI101*VLOOKUP('Données projet'!$B$10,Paramètres!$A$1:$I$89,3,0)*VLOOKUP('Données projet'!$B$10,Paramètres!$A$1:$I$89,5,0)</f>
        <v>354.08879999999994</v>
      </c>
      <c r="AK101" s="14">
        <f t="shared" si="89"/>
        <v>82.403867662302346</v>
      </c>
      <c r="AL101" s="22">
        <f t="shared" si="58"/>
        <v>760.22472951184307</v>
      </c>
      <c r="AM101" s="60">
        <f t="shared" si="59"/>
        <v>1053.5580628451764</v>
      </c>
      <c r="AN101" s="60">
        <f ca="1">AVERAGE(OFFSET($AM$3,0,0,'Données projet'!$E$10+1,1))-AVERAGE(OFFSET($H$3,0,0,'Données projet'!$E$10+1,1))</f>
        <v>565.72091871734051</v>
      </c>
      <c r="AO101" s="60">
        <f t="shared" si="90"/>
        <v>306.61893266146666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8.1410256410256405</v>
      </c>
      <c r="BD101" s="13">
        <f>IF('Données projet'!$A$88&gt;35,BD100+BC101-BL100,IF(A101&lt;'Données projet'!$A$88,$BA$205^A101,IF(A101='Données projet'!$A$88,'Données projet'!$B$88,BD100+BC101-BL100)))</f>
        <v>389.55128205128153</v>
      </c>
      <c r="BE101" s="14">
        <f>BD101*VLOOKUP('Données projet'!$B$11,Paramètres!$A$1:$I$89,3,0)*VLOOKUP('Données projet'!$B$11,Paramètres!$A$1:$I$89,5,0)</f>
        <v>182.30999999999975</v>
      </c>
      <c r="BF101" s="14">
        <f t="shared" si="91"/>
        <v>45.835736572036403</v>
      </c>
      <c r="BG101" s="22">
        <f t="shared" si="61"/>
        <v>397.35382452962966</v>
      </c>
      <c r="BH101" s="60">
        <f t="shared" si="62"/>
        <v>690.68715786296298</v>
      </c>
      <c r="BI101" s="60">
        <f ca="1">AVERAGE(OFFSET($BH$3,0,0,'Données projet'!$E$11+1,1))-AVERAGE(OFFSET($H$3,0,0,'Données projet'!$E$11+1,1))</f>
        <v>246.64907095367749</v>
      </c>
      <c r="BJ101" s="60">
        <f t="shared" si="92"/>
        <v>145.34368562171613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5.9</v>
      </c>
      <c r="BY101" s="13">
        <f>IF('Données projet'!$A$114&gt;35,BY100+BX101-CG100,IF(A101&lt;'Données projet'!$A$114,$BV$205^A101,IF(A101='Données projet'!$A$114,'Données projet'!$B$114,BY100+BX101-CG100)))</f>
        <v>349.19999999999993</v>
      </c>
      <c r="BZ101" s="14">
        <f>BY101*VLOOKUP('Données projet'!$B$12,Paramètres!$A$1:$I$89,3,0)*VLOOKUP('Données projet'!$B$12,Paramètres!$A$1:$I$89,5,0)</f>
        <v>337.74623999999994</v>
      </c>
      <c r="CA101" s="14">
        <f t="shared" si="93"/>
        <v>79.034125251774896</v>
      </c>
      <c r="CB101" s="22">
        <f t="shared" si="64"/>
        <v>725.89246948017444</v>
      </c>
      <c r="CC101" s="60">
        <f t="shared" si="65"/>
        <v>1019.2258028135077</v>
      </c>
      <c r="CD101" s="60">
        <f ca="1">AVERAGE(OFFSET($CC$3,0,0,'Données projet'!$E$12+1,1))-AVERAGE(OFFSET($H$3,0,0,'Données projet'!$E$12+1,1))</f>
        <v>541.66888676162716</v>
      </c>
      <c r="CE101" s="60">
        <f t="shared" si="94"/>
        <v>294.45557293177131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5.9</v>
      </c>
      <c r="CT101" s="13">
        <f>IF('Données projet'!$A$140&gt;35,CT100+CS101-DB100,IF(A101&lt;'Données projet'!$A$140,$CQ$205^A101,IF(A101='Données projet'!$A$140,'Données projet'!$B$140,CT100+CS101-DB100)))</f>
        <v>349.19999999999993</v>
      </c>
      <c r="CU101" s="18">
        <f>CT101*VLOOKUP('Données projet'!$B$13,Paramètres!$A$1:$I$89,3,0)*VLOOKUP('Données projet'!$B$13,Paramètres!$A$1:$I$89,5,0)</f>
        <v>375.87887999999987</v>
      </c>
      <c r="CV101" s="14">
        <f t="shared" si="95"/>
        <v>86.868917691128829</v>
      </c>
      <c r="CW101" s="22">
        <f t="shared" si="67"/>
        <v>805.9524143120492</v>
      </c>
      <c r="CX101" s="60">
        <f t="shared" si="68"/>
        <v>1099.2857476453826</v>
      </c>
      <c r="CY101" s="60">
        <f ca="1">AVERAGE(OFFSET($CX$3,0,0,'Données projet'!$E$13+1,1))-AVERAGE(OFFSET($H$3,0,0,'Données projet'!$E$13+1,1))</f>
        <v>597.75551942969628</v>
      </c>
      <c r="CZ101" s="60">
        <f t="shared" si="96"/>
        <v>322.81767004794284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0">
        <f t="shared" si="55"/>
        <v>984.63063688101329</v>
      </c>
      <c r="S102" s="60">
        <f ca="1">AVERAGE(OFFSET($R$3,0,0,'Données projet'!$E$9+1,1))-AVERAGE(OFFSET($H$3,0,0,'Données projet'!$E$9+1,1))</f>
        <v>509.56241660612449</v>
      </c>
      <c r="T102" s="60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355.09999999999991</v>
      </c>
      <c r="AJ102" s="14">
        <f>AI102*VLOOKUP('Données projet'!$B$10,Paramètres!$A$1:$I$89,3,0)*VLOOKUP('Données projet'!$B$10,Paramètres!$A$1:$I$89,5,0)</f>
        <v>360.07139999999993</v>
      </c>
      <c r="AK102" s="14">
        <f t="shared" si="89"/>
        <v>83.632880664293282</v>
      </c>
      <c r="AL102" s="22">
        <f t="shared" si="58"/>
        <v>772.78495549031061</v>
      </c>
      <c r="AM102" s="60">
        <f t="shared" si="59"/>
        <v>1066.118288823644</v>
      </c>
      <c r="AN102" s="60">
        <f ca="1">AVERAGE(OFFSET($AM$3,0,0,'Données projet'!$E$10+1,1))-AVERAGE(OFFSET($H$3,0,0,'Données projet'!$E$10+1,1))</f>
        <v>565.72091871734051</v>
      </c>
      <c r="AO102" s="60">
        <f t="shared" si="90"/>
        <v>306.61893266146666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397.69230769230768</v>
      </c>
      <c r="BB102" s="13">
        <f>VLOOKUP(A102,'Données projet'!$A$87:$I$107,9,0)</f>
        <v>8.1410256410256405</v>
      </c>
      <c r="BC102" s="13">
        <f t="array" ref="BC102">INDEX(BB:BB,MIN(IF(ISNUMBER(BB102:BB298),ROW(BB102:BB298),"")))</f>
        <v>8.1410256410256405</v>
      </c>
      <c r="BD102" s="13">
        <f>IF('Données projet'!$A$88&gt;35,BD101+BC102-BL101,IF(A102&lt;'Données projet'!$A$88,$BA$205^A102,IF(A102='Données projet'!$A$88,'Données projet'!$B$88,BD101+BC102-BL101)))</f>
        <v>397.69230769230717</v>
      </c>
      <c r="BE102" s="14">
        <f>BD102*VLOOKUP('Données projet'!$B$11,Paramètres!$A$1:$I$89,3,0)*VLOOKUP('Données projet'!$B$11,Paramètres!$A$1:$I$89,5,0)</f>
        <v>186.11999999999975</v>
      </c>
      <c r="BF102" s="14">
        <f t="shared" si="91"/>
        <v>46.681112592689374</v>
      </c>
      <c r="BG102" s="22">
        <f t="shared" si="61"/>
        <v>405.46193776560017</v>
      </c>
      <c r="BH102" s="60">
        <f t="shared" si="62"/>
        <v>698.79527109893343</v>
      </c>
      <c r="BI102" s="60">
        <f ca="1">AVERAGE(OFFSET($BH$3,0,0,'Données projet'!$E$11+1,1))-AVERAGE(OFFSET($H$3,0,0,'Données projet'!$E$11+1,1))</f>
        <v>246.64907095367749</v>
      </c>
      <c r="BJ102" s="60">
        <f t="shared" si="92"/>
        <v>145.34368562171613</v>
      </c>
      <c r="BK102" s="16">
        <f>IF(ISNA(VLOOKUP(A102,'Données projet'!$A$87:$I$107,3,0)),0,VLOOKUP(A102,'Données projet'!$A$87:$I$107,3,0))</f>
        <v>5</v>
      </c>
      <c r="BL102" s="16">
        <f>IF(ISNA(VLOOKUP(A102,'Données projet'!$A$87:$I$107,4,0)),0,VLOOKUP(A102,'Données projet'!$A$87:$I$107,4,0))</f>
        <v>198.46153846153845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5.9</v>
      </c>
      <c r="BY102" s="13">
        <f>IF('Données projet'!$A$114&gt;35,BY101+BX102-CG101,IF(A102&lt;'Données projet'!$A$114,$BV$205^A102,IF(A102='Données projet'!$A$114,'Données projet'!$B$114,BY101+BX102-CG101)))</f>
        <v>355.09999999999991</v>
      </c>
      <c r="BZ102" s="14">
        <f>BY102*VLOOKUP('Données projet'!$B$12,Paramètres!$A$1:$I$89,3,0)*VLOOKUP('Données projet'!$B$12,Paramètres!$A$1:$I$89,5,0)</f>
        <v>343.45271999999994</v>
      </c>
      <c r="CA102" s="14">
        <f t="shared" si="93"/>
        <v>80.212880209411935</v>
      </c>
      <c r="CB102" s="22">
        <f t="shared" si="64"/>
        <v>737.88425369805884</v>
      </c>
      <c r="CC102" s="60">
        <f t="shared" si="65"/>
        <v>1031.2175870313922</v>
      </c>
      <c r="CD102" s="60">
        <f ca="1">AVERAGE(OFFSET($CC$3,0,0,'Données projet'!$E$12+1,1))-AVERAGE(OFFSET($H$3,0,0,'Données projet'!$E$12+1,1))</f>
        <v>541.66888676162716</v>
      </c>
      <c r="CE102" s="60">
        <f t="shared" si="94"/>
        <v>294.45557293177131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5.9</v>
      </c>
      <c r="CT102" s="13">
        <f>IF('Données projet'!$A$140&gt;35,CT101+CS102-DB101,IF(A102&lt;'Données projet'!$A$140,$CQ$205^A102,IF(A102='Données projet'!$A$140,'Données projet'!$B$140,CT101+CS102-DB101)))</f>
        <v>355.09999999999991</v>
      </c>
      <c r="CU102" s="18">
        <f>CT102*VLOOKUP('Données projet'!$B$13,Paramètres!$A$1:$I$89,3,0)*VLOOKUP('Données projet'!$B$13,Paramètres!$A$1:$I$89,5,0)</f>
        <v>382.2296399999999</v>
      </c>
      <c r="CV102" s="14">
        <f t="shared" si="95"/>
        <v>88.164524709828427</v>
      </c>
      <c r="CW102" s="22">
        <f t="shared" si="67"/>
        <v>819.26983686961751</v>
      </c>
      <c r="CX102" s="60">
        <f t="shared" si="68"/>
        <v>1112.6031702029509</v>
      </c>
      <c r="CY102" s="60">
        <f ca="1">AVERAGE(OFFSET($CX$3,0,0,'Données projet'!$E$13+1,1))-AVERAGE(OFFSET($H$3,0,0,'Données projet'!$E$13+1,1))</f>
        <v>597.75551942969628</v>
      </c>
      <c r="CZ102" s="60">
        <f t="shared" si="96"/>
        <v>322.81767004794284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0">
        <f t="shared" si="55"/>
        <v>995.85998475574775</v>
      </c>
      <c r="S103" s="60">
        <f ca="1">AVERAGE(OFFSET($R$3,0,0,'Données projet'!$E$9+1,1))-AVERAGE(OFFSET($H$3,0,0,'Données projet'!$E$9+1,1))</f>
        <v>509.56241660612449</v>
      </c>
      <c r="T103" s="60">
        <f t="shared" si="88"/>
        <v>278.21741231699929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360.99999999999989</v>
      </c>
      <c r="AJ103" s="14">
        <f>AI103*VLOOKUP('Données projet'!$B$10,Paramètres!$A$1:$I$89,3,0)*VLOOKUP('Données projet'!$B$10,Paramètres!$A$1:$I$89,5,0)</f>
        <v>366.05399999999986</v>
      </c>
      <c r="AK103" s="14">
        <f t="shared" si="89"/>
        <v>84.85951894835965</v>
      </c>
      <c r="AL103" s="22">
        <f t="shared" si="58"/>
        <v>785.34104550172617</v>
      </c>
      <c r="AM103" s="60">
        <f t="shared" si="59"/>
        <v>1078.6743788350595</v>
      </c>
      <c r="AN103" s="60">
        <f ca="1">AVERAGE(OFFSET($AM$3,0,0,'Données projet'!$E$10+1,1))-AVERAGE(OFFSET($H$3,0,0,'Données projet'!$E$10+1,1))</f>
        <v>565.72091871734051</v>
      </c>
      <c r="AO103" s="60">
        <f t="shared" si="90"/>
        <v>306.61893266146666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5.6923076923076907</v>
      </c>
      <c r="BD103" s="13">
        <f>IF('Données projet'!$A$88&gt;35,BD102+BC103-BL102,IF(A103&lt;'Données projet'!$A$88,$BA$205^A103,IF(A103='Données projet'!$A$88,'Données projet'!$B$88,BD102+BC103-BL102)))</f>
        <v>204.92307692307639</v>
      </c>
      <c r="BE103" s="14">
        <f>BD103*VLOOKUP('Données projet'!$B$11,Paramètres!$A$1:$I$89,3,0)*VLOOKUP('Données projet'!$B$11,Paramètres!$A$1:$I$89,5,0)</f>
        <v>95.903999999999741</v>
      </c>
      <c r="BF103" s="14">
        <f t="shared" si="91"/>
        <v>25.983819565312803</v>
      </c>
      <c r="BG103" s="22">
        <f t="shared" si="61"/>
        <v>212.28795240958598</v>
      </c>
      <c r="BH103" s="60">
        <f t="shared" si="62"/>
        <v>505.62128574291933</v>
      </c>
      <c r="BI103" s="60">
        <f ca="1">AVERAGE(OFFSET($BH$3,0,0,'Données projet'!$E$11+1,1))-AVERAGE(OFFSET($H$3,0,0,'Données projet'!$E$11+1,1))</f>
        <v>246.64907095367749</v>
      </c>
      <c r="BJ103" s="60">
        <f t="shared" si="92"/>
        <v>145.34368562171613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361</v>
      </c>
      <c r="BW103" s="13">
        <f>VLOOKUP(A103,'Données projet'!$A$113:$I$133,9,0)</f>
        <v>5.9</v>
      </c>
      <c r="BX103" s="13">
        <f t="array" ref="BX103">INDEX(BW:BW,MIN(IF(ISNUMBER(BW103:BW299),ROW(BW103:BW299),"")))</f>
        <v>5.9</v>
      </c>
      <c r="BY103" s="13">
        <f>IF('Données projet'!$A$114&gt;35,BY102+BX103-CG102,IF(A103&lt;'Données projet'!$A$114,$BV$205^A103,IF(A103='Données projet'!$A$114,'Données projet'!$B$114,BY102+BX103-CG102)))</f>
        <v>360.99999999999989</v>
      </c>
      <c r="BZ103" s="14">
        <f>BY103*VLOOKUP('Données projet'!$B$12,Paramètres!$A$1:$I$89,3,0)*VLOOKUP('Données projet'!$B$12,Paramètres!$A$1:$I$89,5,0)</f>
        <v>349.15919999999988</v>
      </c>
      <c r="CA103" s="14">
        <f t="shared" si="93"/>
        <v>81.389357558494837</v>
      </c>
      <c r="CB103" s="22">
        <f t="shared" si="64"/>
        <v>749.87207108104496</v>
      </c>
      <c r="CC103" s="60">
        <f t="shared" si="65"/>
        <v>1043.2054044143783</v>
      </c>
      <c r="CD103" s="60">
        <f ca="1">AVERAGE(OFFSET($CC$3,0,0,'Données projet'!$E$12+1,1))-AVERAGE(OFFSET($H$3,0,0,'Données projet'!$E$12+1,1))</f>
        <v>541.66888676162716</v>
      </c>
      <c r="CE103" s="60">
        <f t="shared" si="94"/>
        <v>294.45557293177131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55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361</v>
      </c>
      <c r="CR103" s="13">
        <f>VLOOKUP(A103,'Données projet'!$A$139:$I$159,9,0)</f>
        <v>5.9</v>
      </c>
      <c r="CS103" s="13">
        <f t="array" ref="CS103">INDEX(CR:CR,MIN(IF(ISNUMBER(CR103:CR299),ROW(CR103:CR299),"")))</f>
        <v>5.9</v>
      </c>
      <c r="CT103" s="13">
        <f>IF('Données projet'!$A$140&gt;35,CT102+CS103-DB102,IF(A103&lt;'Données projet'!$A$140,$CQ$205^A103,IF(A103='Données projet'!$A$140,'Données projet'!$B$140,CT102+CS103-DB102)))</f>
        <v>360.99999999999989</v>
      </c>
      <c r="CU103" s="18">
        <f>CT103*VLOOKUP('Données projet'!$B$13,Paramètres!$A$1:$I$89,3,0)*VLOOKUP('Données projet'!$B$13,Paramètres!$A$1:$I$89,5,0)</f>
        <v>388.58039999999983</v>
      </c>
      <c r="CV103" s="14">
        <f t="shared" si="95"/>
        <v>89.457628336614817</v>
      </c>
      <c r="CW103" s="22">
        <f t="shared" si="67"/>
        <v>832.58289935293715</v>
      </c>
      <c r="CX103" s="60">
        <f t="shared" si="68"/>
        <v>1125.9162326862704</v>
      </c>
      <c r="CY103" s="60">
        <f ca="1">AVERAGE(OFFSET($CX$3,0,0,'Données projet'!$E$13+1,1))-AVERAGE(OFFSET($H$3,0,0,'Données projet'!$E$13+1,1))</f>
        <v>597.75551942969628</v>
      </c>
      <c r="CZ103" s="60">
        <f t="shared" si="96"/>
        <v>322.81767004794284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55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311.39999999999986</v>
      </c>
      <c r="O104" s="14">
        <f>N104*VLOOKUP('Données projet'!$B$9,Paramètres!$A$1:$I$89,3,0)*VLOOKUP('Données projet'!$B$9,Paramètres!$A$1:$I$89,5,0)</f>
        <v>281.75471999999985</v>
      </c>
      <c r="P104" s="14">
        <f t="shared" si="87"/>
        <v>67.337696723120317</v>
      </c>
      <c r="Q104" s="22">
        <f t="shared" si="107"/>
        <v>608.0026257927675</v>
      </c>
      <c r="R104" s="60">
        <f t="shared" si="55"/>
        <v>901.33595912610076</v>
      </c>
      <c r="S104" s="60">
        <f ca="1">AVERAGE(OFFSET($R$3,0,0,'Données projet'!$E$9+1,1))-AVERAGE(OFFSET($H$3,0,0,'Données projet'!$E$9+1,1))</f>
        <v>509.56241660612449</v>
      </c>
      <c r="T104" s="60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311.39999999999986</v>
      </c>
      <c r="AJ104" s="14">
        <f>AI104*VLOOKUP('Données projet'!$B$10,Paramètres!$A$1:$I$89,3,0)*VLOOKUP('Données projet'!$B$10,Paramètres!$A$1:$I$89,5,0)</f>
        <v>315.75959999999986</v>
      </c>
      <c r="AK104" s="14">
        <f t="shared" si="89"/>
        <v>74.470372149154613</v>
      </c>
      <c r="AL104" s="22">
        <f t="shared" si="58"/>
        <v>679.65053482644407</v>
      </c>
      <c r="AM104" s="60">
        <f t="shared" si="59"/>
        <v>972.98386815977733</v>
      </c>
      <c r="AN104" s="60">
        <f ca="1">AVERAGE(OFFSET($AM$3,0,0,'Données projet'!$E$10+1,1))-AVERAGE(OFFSET($H$3,0,0,'Données projet'!$E$10+1,1))</f>
        <v>565.72091871734051</v>
      </c>
      <c r="AO104" s="60">
        <f t="shared" si="90"/>
        <v>306.61893266146666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5.6923076923076907</v>
      </c>
      <c r="BD104" s="13">
        <f>IF('Données projet'!$A$88&gt;35,BD103+BC104-BL103,IF(A104&lt;'Données projet'!$A$88,$BA$205^A104,IF(A104='Données projet'!$A$88,'Données projet'!$B$88,BD103+BC104-BL103)))</f>
        <v>210.61538461538407</v>
      </c>
      <c r="BE104" s="14">
        <f>BD104*VLOOKUP('Données projet'!$B$11,Paramètres!$A$1:$I$89,3,0)*VLOOKUP('Données projet'!$B$11,Paramètres!$A$1:$I$89,5,0)</f>
        <v>98.567999999999756</v>
      </c>
      <c r="BF104" s="14">
        <f t="shared" si="91"/>
        <v>26.620557442262673</v>
      </c>
      <c r="BG104" s="22">
        <f t="shared" si="61"/>
        <v>218.03673754527372</v>
      </c>
      <c r="BH104" s="60">
        <f t="shared" si="62"/>
        <v>511.37007087860707</v>
      </c>
      <c r="BI104" s="60">
        <f ca="1">AVERAGE(OFFSET($BH$3,0,0,'Données projet'!$E$11+1,1))-AVERAGE(OFFSET($H$3,0,0,'Données projet'!$E$11+1,1))</f>
        <v>246.64907095367749</v>
      </c>
      <c r="BJ104" s="60">
        <f t="shared" si="92"/>
        <v>145.34368562171613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311.39999999999986</v>
      </c>
      <c r="BZ104" s="14">
        <f>BY104*VLOOKUP('Données projet'!$B$12,Paramètres!$A$1:$I$89,3,0)*VLOOKUP('Données projet'!$B$12,Paramètres!$A$1:$I$89,5,0)</f>
        <v>301.18607999999989</v>
      </c>
      <c r="CA104" s="14">
        <f t="shared" si="93"/>
        <v>71.425054271756295</v>
      </c>
      <c r="CB104" s="22">
        <f t="shared" si="64"/>
        <v>648.96439218997534</v>
      </c>
      <c r="CC104" s="60">
        <f t="shared" si="65"/>
        <v>942.2977255233086</v>
      </c>
      <c r="CD104" s="60">
        <f ca="1">AVERAGE(OFFSET($CC$3,0,0,'Données projet'!$E$12+1,1))-AVERAGE(OFFSET($H$3,0,0,'Données projet'!$E$12+1,1))</f>
        <v>541.66888676162716</v>
      </c>
      <c r="CE104" s="60">
        <f t="shared" si="94"/>
        <v>294.45557293177131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311.39999999999986</v>
      </c>
      <c r="CU104" s="18">
        <f>CT104*VLOOKUP('Données projet'!$B$13,Paramètres!$A$1:$I$89,3,0)*VLOOKUP('Données projet'!$B$13,Paramètres!$A$1:$I$89,5,0)</f>
        <v>335.19095999999985</v>
      </c>
      <c r="CV104" s="14">
        <f t="shared" si="95"/>
        <v>78.505546064461171</v>
      </c>
      <c r="CW104" s="22">
        <f t="shared" si="67"/>
        <v>720.52141472893618</v>
      </c>
      <c r="CX104" s="60">
        <f t="shared" si="68"/>
        <v>1013.8547480622694</v>
      </c>
      <c r="CY104" s="60">
        <f ca="1">AVERAGE(OFFSET($CX$3,0,0,'Données projet'!$E$13+1,1))-AVERAGE(OFFSET($H$3,0,0,'Données projet'!$E$13+1,1))</f>
        <v>597.75551942969628</v>
      </c>
      <c r="CZ104" s="60">
        <f t="shared" si="96"/>
        <v>322.81767004794284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316.79999999999984</v>
      </c>
      <c r="O105" s="14">
        <f>N105*VLOOKUP('Données projet'!$B$9,Paramètres!$A$1:$I$89,3,0)*VLOOKUP('Données projet'!$B$9,Paramètres!$A$1:$I$89,5,0)</f>
        <v>286.64063999999985</v>
      </c>
      <c r="P105" s="14">
        <f t="shared" si="87"/>
        <v>68.368446832003599</v>
      </c>
      <c r="Q105" s="22">
        <f t="shared" si="107"/>
        <v>618.3074928990726</v>
      </c>
      <c r="R105" s="60">
        <f t="shared" si="55"/>
        <v>911.64082623240597</v>
      </c>
      <c r="S105" s="60">
        <f ca="1">AVERAGE(OFFSET($R$3,0,0,'Données projet'!$E$9+1,1))-AVERAGE(OFFSET($H$3,0,0,'Données projet'!$E$9+1,1))</f>
        <v>509.56241660612449</v>
      </c>
      <c r="T105" s="60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316.79999999999984</v>
      </c>
      <c r="AJ105" s="14">
        <f>AI105*VLOOKUP('Données projet'!$B$10,Paramètres!$A$1:$I$89,3,0)*VLOOKUP('Données projet'!$B$10,Paramètres!$A$1:$I$89,5,0)</f>
        <v>321.23519999999985</v>
      </c>
      <c r="AK105" s="14">
        <f t="shared" si="89"/>
        <v>75.610303390297929</v>
      </c>
      <c r="AL105" s="22">
        <f t="shared" si="58"/>
        <v>691.17258507143526</v>
      </c>
      <c r="AM105" s="60">
        <f t="shared" si="59"/>
        <v>984.50591840476864</v>
      </c>
      <c r="AN105" s="60">
        <f ca="1">AVERAGE(OFFSET($AM$3,0,0,'Données projet'!$E$10+1,1))-AVERAGE(OFFSET($H$3,0,0,'Données projet'!$E$10+1,1))</f>
        <v>565.72091871734051</v>
      </c>
      <c r="AO105" s="60">
        <f t="shared" si="90"/>
        <v>306.61893266146666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5.6923076923076907</v>
      </c>
      <c r="BD105" s="13">
        <f>IF('Données projet'!$A$88&gt;35,BD104+BC105-BL104,IF(A105&lt;'Données projet'!$A$88,$BA$205^A105,IF(A105='Données projet'!$A$88,'Données projet'!$B$88,BD104+BC105-BL104)))</f>
        <v>216.30769230769175</v>
      </c>
      <c r="BE105" s="14">
        <f>BD105*VLOOKUP('Données projet'!$B$11,Paramètres!$A$1:$I$89,3,0)*VLOOKUP('Données projet'!$B$11,Paramètres!$A$1:$I$89,5,0)</f>
        <v>101.23199999999974</v>
      </c>
      <c r="BF105" s="14">
        <f t="shared" si="91"/>
        <v>27.255295066527388</v>
      </c>
      <c r="BG105" s="22">
        <f t="shared" si="61"/>
        <v>223.78203890753477</v>
      </c>
      <c r="BH105" s="60">
        <f t="shared" si="62"/>
        <v>517.11537224086806</v>
      </c>
      <c r="BI105" s="60">
        <f ca="1">AVERAGE(OFFSET($BH$3,0,0,'Données projet'!$E$11+1,1))-AVERAGE(OFFSET($H$3,0,0,'Données projet'!$E$11+1,1))</f>
        <v>246.64907095367749</v>
      </c>
      <c r="BJ105" s="60">
        <f t="shared" si="92"/>
        <v>145.34368562171613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316.79999999999984</v>
      </c>
      <c r="BZ105" s="14">
        <f>BY105*VLOOKUP('Données projet'!$B$12,Paramètres!$A$1:$I$89,3,0)*VLOOKUP('Données projet'!$B$12,Paramètres!$A$1:$I$89,5,0)</f>
        <v>306.40895999999987</v>
      </c>
      <c r="CA105" s="14">
        <f t="shared" si="93"/>
        <v>72.518370290127407</v>
      </c>
      <c r="CB105" s="22">
        <f t="shared" si="64"/>
        <v>659.96510025530495</v>
      </c>
      <c r="CC105" s="60">
        <f t="shared" si="65"/>
        <v>953.29843358863832</v>
      </c>
      <c r="CD105" s="60">
        <f ca="1">AVERAGE(OFFSET($CC$3,0,0,'Données projet'!$E$12+1,1))-AVERAGE(OFFSET($H$3,0,0,'Données projet'!$E$12+1,1))</f>
        <v>541.66888676162716</v>
      </c>
      <c r="CE105" s="60">
        <f t="shared" si="94"/>
        <v>294.45557293177131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316.79999999999984</v>
      </c>
      <c r="CU105" s="18">
        <f>CT105*VLOOKUP('Données projet'!$B$13,Paramètres!$A$1:$I$89,3,0)*VLOOKUP('Données projet'!$B$13,Paramètres!$A$1:$I$89,5,0)</f>
        <v>341.00351999999981</v>
      </c>
      <c r="CV105" s="14">
        <f t="shared" si="95"/>
        <v>79.70724443092908</v>
      </c>
      <c r="CW105" s="22">
        <f t="shared" si="67"/>
        <v>732.73791471720108</v>
      </c>
      <c r="CX105" s="60">
        <f t="shared" si="68"/>
        <v>1026.0712480505345</v>
      </c>
      <c r="CY105" s="60">
        <f ca="1">AVERAGE(OFFSET($CX$3,0,0,'Données projet'!$E$13+1,1))-AVERAGE(OFFSET($H$3,0,0,'Données projet'!$E$13+1,1))</f>
        <v>597.75551942969628</v>
      </c>
      <c r="CZ105" s="60">
        <f t="shared" si="96"/>
        <v>322.81767004794284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322.19999999999982</v>
      </c>
      <c r="O106" s="14">
        <f>N106*VLOOKUP('Données projet'!$B$9,Paramètres!$A$1:$I$89,3,0)*VLOOKUP('Données projet'!$B$9,Paramètres!$A$1:$I$89,5,0)</f>
        <v>291.52655999999985</v>
      </c>
      <c r="P106" s="14">
        <f t="shared" si="87"/>
        <v>69.397153761857183</v>
      </c>
      <c r="Q106" s="22">
        <f t="shared" si="107"/>
        <v>628.60880146856755</v>
      </c>
      <c r="R106" s="60">
        <f t="shared" si="55"/>
        <v>921.94213480190092</v>
      </c>
      <c r="S106" s="60">
        <f ca="1">AVERAGE(OFFSET($R$3,0,0,'Données projet'!$E$9+1,1))-AVERAGE(OFFSET($H$3,0,0,'Données projet'!$E$9+1,1))</f>
        <v>509.56241660612449</v>
      </c>
      <c r="T106" s="60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322.19999999999982</v>
      </c>
      <c r="AJ106" s="14">
        <f>AI106*VLOOKUP('Données projet'!$B$10,Paramètres!$A$1:$I$89,3,0)*VLOOKUP('Données projet'!$B$10,Paramètres!$A$1:$I$89,5,0)</f>
        <v>326.71079999999984</v>
      </c>
      <c r="AK106" s="14">
        <f t="shared" si="89"/>
        <v>76.747975030799822</v>
      </c>
      <c r="AL106" s="22">
        <f t="shared" si="58"/>
        <v>702.69069984530927</v>
      </c>
      <c r="AM106" s="60">
        <f t="shared" si="59"/>
        <v>996.02403317864264</v>
      </c>
      <c r="AN106" s="60">
        <f ca="1">AVERAGE(OFFSET($AM$3,0,0,'Données projet'!$E$10+1,1))-AVERAGE(OFFSET($H$3,0,0,'Données projet'!$E$10+1,1))</f>
        <v>565.72091871734051</v>
      </c>
      <c r="AO106" s="60">
        <f t="shared" si="90"/>
        <v>306.61893266146666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5.6923076923076907</v>
      </c>
      <c r="BD106" s="13">
        <f>IF('Données projet'!$A$88&gt;35,BD105+BC106-BL105,IF(A106&lt;'Données projet'!$A$88,$BA$205^A106,IF(A106='Données projet'!$A$88,'Données projet'!$B$88,BD105+BC106-BL105)))</f>
        <v>221.99999999999943</v>
      </c>
      <c r="BE106" s="14">
        <f>BD106*VLOOKUP('Données projet'!$B$11,Paramètres!$A$1:$I$89,3,0)*VLOOKUP('Données projet'!$B$11,Paramètres!$A$1:$I$89,5,0)</f>
        <v>103.89599999999973</v>
      </c>
      <c r="BF106" s="14">
        <f t="shared" si="91"/>
        <v>27.888091127225749</v>
      </c>
      <c r="BG106" s="22">
        <f t="shared" si="61"/>
        <v>229.52395871325101</v>
      </c>
      <c r="BH106" s="60">
        <f t="shared" si="62"/>
        <v>522.85729204658435</v>
      </c>
      <c r="BI106" s="60">
        <f ca="1">AVERAGE(OFFSET($BH$3,0,0,'Données projet'!$E$11+1,1))-AVERAGE(OFFSET($H$3,0,0,'Données projet'!$E$11+1,1))</f>
        <v>246.64907095367749</v>
      </c>
      <c r="BJ106" s="60">
        <f t="shared" si="92"/>
        <v>145.34368562171613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322.19999999999982</v>
      </c>
      <c r="BZ106" s="14">
        <f>BY106*VLOOKUP('Données projet'!$B$12,Paramètres!$A$1:$I$89,3,0)*VLOOKUP('Données projet'!$B$12,Paramètres!$A$1:$I$89,5,0)</f>
        <v>311.63183999999984</v>
      </c>
      <c r="CA106" s="14">
        <f t="shared" si="93"/>
        <v>73.609519109735089</v>
      </c>
      <c r="CB106" s="22">
        <f t="shared" si="64"/>
        <v>670.96203378278835</v>
      </c>
      <c r="CC106" s="60">
        <f t="shared" si="65"/>
        <v>964.29536711612172</v>
      </c>
      <c r="CD106" s="60">
        <f ca="1">AVERAGE(OFFSET($CC$3,0,0,'Données projet'!$E$12+1,1))-AVERAGE(OFFSET($H$3,0,0,'Données projet'!$E$12+1,1))</f>
        <v>541.66888676162716</v>
      </c>
      <c r="CE106" s="60">
        <f t="shared" si="94"/>
        <v>294.45557293177131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322.19999999999982</v>
      </c>
      <c r="CU106" s="18">
        <f>CT106*VLOOKUP('Données projet'!$B$13,Paramètres!$A$1:$I$89,3,0)*VLOOKUP('Données projet'!$B$13,Paramètres!$A$1:$I$89,5,0)</f>
        <v>346.81607999999983</v>
      </c>
      <c r="CV106" s="14">
        <f t="shared" si="95"/>
        <v>80.90656076039194</v>
      </c>
      <c r="CW106" s="22">
        <f t="shared" si="67"/>
        <v>744.95026599101573</v>
      </c>
      <c r="CX106" s="60">
        <f t="shared" si="68"/>
        <v>1038.2835993243491</v>
      </c>
      <c r="CY106" s="60">
        <f ca="1">AVERAGE(OFFSET($CX$3,0,0,'Données projet'!$E$13+1,1))-AVERAGE(OFFSET($H$3,0,0,'Données projet'!$E$13+1,1))</f>
        <v>597.75551942969628</v>
      </c>
      <c r="CZ106" s="60">
        <f t="shared" si="96"/>
        <v>322.81767004794284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327.5999999999998</v>
      </c>
      <c r="O107" s="14">
        <f>N107*VLOOKUP('Données projet'!$B$9,Paramètres!$A$1:$I$89,3,0)*VLOOKUP('Données projet'!$B$9,Paramètres!$A$1:$I$89,5,0)</f>
        <v>296.41247999999979</v>
      </c>
      <c r="P107" s="14">
        <f t="shared" si="87"/>
        <v>70.423855708154704</v>
      </c>
      <c r="Q107" s="22">
        <f t="shared" si="107"/>
        <v>638.90661802503575</v>
      </c>
      <c r="R107" s="60">
        <f t="shared" si="55"/>
        <v>932.23995135836913</v>
      </c>
      <c r="S107" s="60">
        <f ca="1">AVERAGE(OFFSET($R$3,0,0,'Données projet'!$E$9+1,1))-AVERAGE(OFFSET($H$3,0,0,'Données projet'!$E$9+1,1))</f>
        <v>509.56241660612449</v>
      </c>
      <c r="T107" s="60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327.5999999999998</v>
      </c>
      <c r="AJ107" s="14">
        <f>AI107*VLOOKUP('Données projet'!$B$10,Paramètres!$A$1:$I$89,3,0)*VLOOKUP('Données projet'!$B$10,Paramètres!$A$1:$I$89,5,0)</f>
        <v>332.18639999999982</v>
      </c>
      <c r="AK107" s="14">
        <f t="shared" si="89"/>
        <v>77.88342931194974</v>
      </c>
      <c r="AL107" s="22">
        <f t="shared" si="58"/>
        <v>714.20495271831214</v>
      </c>
      <c r="AM107" s="60">
        <f t="shared" si="59"/>
        <v>1007.5382860516454</v>
      </c>
      <c r="AN107" s="60">
        <f ca="1">AVERAGE(OFFSET($AM$3,0,0,'Données projet'!$E$10+1,1))-AVERAGE(OFFSET($H$3,0,0,'Données projet'!$E$10+1,1))</f>
        <v>565.72091871734051</v>
      </c>
      <c r="AO107" s="60">
        <f t="shared" si="90"/>
        <v>306.61893266146666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5.6923076923076907</v>
      </c>
      <c r="BD107" s="13">
        <f>IF('Données projet'!$A$88&gt;35,BD106+BC107-BL106,IF(A107&lt;'Données projet'!$A$88,$BA$205^A107,IF(A107='Données projet'!$A$88,'Données projet'!$B$88,BD106+BC107-BL106)))</f>
        <v>227.69230769230711</v>
      </c>
      <c r="BE107" s="14">
        <f>BD107*VLOOKUP('Données projet'!$B$11,Paramètres!$A$1:$I$89,3,0)*VLOOKUP('Données projet'!$B$11,Paramètres!$A$1:$I$89,5,0)</f>
        <v>106.55999999999973</v>
      </c>
      <c r="BF107" s="14">
        <f t="shared" si="91"/>
        <v>28.519001132310215</v>
      </c>
      <c r="BG107" s="22">
        <f t="shared" si="61"/>
        <v>235.26259363877315</v>
      </c>
      <c r="BH107" s="60">
        <f t="shared" si="62"/>
        <v>528.59592697210644</v>
      </c>
      <c r="BI107" s="60">
        <f ca="1">AVERAGE(OFFSET($BH$3,0,0,'Données projet'!$E$11+1,1))-AVERAGE(OFFSET($H$3,0,0,'Données projet'!$E$11+1,1))</f>
        <v>246.64907095367749</v>
      </c>
      <c r="BJ107" s="60">
        <f t="shared" si="92"/>
        <v>145.34368562171613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327.5999999999998</v>
      </c>
      <c r="BZ107" s="14">
        <f>BY107*VLOOKUP('Données projet'!$B$12,Paramètres!$A$1:$I$89,3,0)*VLOOKUP('Données projet'!$B$12,Paramètres!$A$1:$I$89,5,0)</f>
        <v>316.85471999999982</v>
      </c>
      <c r="CA107" s="14">
        <f t="shared" si="93"/>
        <v>74.698541244494848</v>
      </c>
      <c r="CB107" s="22">
        <f t="shared" si="64"/>
        <v>681.95526333416149</v>
      </c>
      <c r="CC107" s="60">
        <f t="shared" si="65"/>
        <v>975.28859666749486</v>
      </c>
      <c r="CD107" s="60">
        <f ca="1">AVERAGE(OFFSET($CC$3,0,0,'Données projet'!$E$12+1,1))-AVERAGE(OFFSET($H$3,0,0,'Données projet'!$E$12+1,1))</f>
        <v>541.66888676162716</v>
      </c>
      <c r="CE107" s="60">
        <f t="shared" si="94"/>
        <v>294.45557293177131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327.5999999999998</v>
      </c>
      <c r="CU107" s="18">
        <f>CT107*VLOOKUP('Données projet'!$B$13,Paramètres!$A$1:$I$89,3,0)*VLOOKUP('Données projet'!$B$13,Paramètres!$A$1:$I$89,5,0)</f>
        <v>352.62863999999979</v>
      </c>
      <c r="CV107" s="14">
        <f t="shared" si="95"/>
        <v>82.103539582981469</v>
      </c>
      <c r="CW107" s="22">
        <f t="shared" si="67"/>
        <v>757.1585461070257</v>
      </c>
      <c r="CX107" s="60">
        <f t="shared" si="68"/>
        <v>1050.4918794403591</v>
      </c>
      <c r="CY107" s="60">
        <f ca="1">AVERAGE(OFFSET($CX$3,0,0,'Données projet'!$E$13+1,1))-AVERAGE(OFFSET($H$3,0,0,'Données projet'!$E$13+1,1))</f>
        <v>597.75551942969628</v>
      </c>
      <c r="CZ107" s="60">
        <f t="shared" si="96"/>
        <v>322.81767004794284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332.99999999999977</v>
      </c>
      <c r="O108" s="14">
        <f>N108*VLOOKUP('Données projet'!$B$9,Paramètres!$A$1:$I$89,3,0)*VLOOKUP('Données projet'!$B$9,Paramètres!$A$1:$I$89,5,0)</f>
        <v>301.29839999999979</v>
      </c>
      <c r="P108" s="14">
        <f t="shared" si="87"/>
        <v>71.448589534990461</v>
      </c>
      <c r="Q108" s="22">
        <f t="shared" si="107"/>
        <v>649.20100677344124</v>
      </c>
      <c r="R108" s="60">
        <f t="shared" si="55"/>
        <v>942.53434010677461</v>
      </c>
      <c r="S108" s="60">
        <f ca="1">AVERAGE(OFFSET($R$3,0,0,'Données projet'!$E$9+1,1))-AVERAGE(OFFSET($H$3,0,0,'Données projet'!$E$9+1,1))</f>
        <v>509.56241660612449</v>
      </c>
      <c r="T108" s="60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332.99999999999977</v>
      </c>
      <c r="AJ108" s="14">
        <f>AI108*VLOOKUP('Données projet'!$B$10,Paramètres!$A$1:$I$89,3,0)*VLOOKUP('Données projet'!$B$10,Paramètres!$A$1:$I$89,5,0)</f>
        <v>337.66199999999975</v>
      </c>
      <c r="AK108" s="14">
        <f t="shared" si="89"/>
        <v>79.016707002632614</v>
      </c>
      <c r="AL108" s="22">
        <f t="shared" si="58"/>
        <v>725.71541469625129</v>
      </c>
      <c r="AM108" s="60">
        <f t="shared" si="59"/>
        <v>1019.0487480295847</v>
      </c>
      <c r="AN108" s="60">
        <f ca="1">AVERAGE(OFFSET($AM$3,0,0,'Données projet'!$E$10+1,1))-AVERAGE(OFFSET($H$3,0,0,'Données projet'!$E$10+1,1))</f>
        <v>565.72091871734051</v>
      </c>
      <c r="AO108" s="60">
        <f t="shared" si="90"/>
        <v>306.61893266146666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5.6923076923076907</v>
      </c>
      <c r="BD108" s="13">
        <f>IF('Données projet'!$A$88&gt;35,BD107+BC108-BL107,IF(A108&lt;'Données projet'!$A$88,$BA$205^A108,IF(A108='Données projet'!$A$88,'Données projet'!$B$88,BD107+BC108-BL107)))</f>
        <v>233.38461538461479</v>
      </c>
      <c r="BE108" s="14">
        <f>BD108*VLOOKUP('Données projet'!$B$11,Paramètres!$A$1:$I$89,3,0)*VLOOKUP('Données projet'!$B$11,Paramètres!$A$1:$I$89,5,0)</f>
        <v>109.22399999999972</v>
      </c>
      <c r="BF108" s="14">
        <f t="shared" si="91"/>
        <v>29.148077656155348</v>
      </c>
      <c r="BG108" s="22">
        <f t="shared" si="61"/>
        <v>240.99803525113671</v>
      </c>
      <c r="BH108" s="60">
        <f t="shared" si="62"/>
        <v>534.33136858447006</v>
      </c>
      <c r="BI108" s="60">
        <f ca="1">AVERAGE(OFFSET($BH$3,0,0,'Données projet'!$E$11+1,1))-AVERAGE(OFFSET($H$3,0,0,'Données projet'!$E$11+1,1))</f>
        <v>246.64907095367749</v>
      </c>
      <c r="BJ108" s="60">
        <f t="shared" si="92"/>
        <v>145.34368562171613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332.99999999999977</v>
      </c>
      <c r="BZ108" s="14">
        <f>BY108*VLOOKUP('Données projet'!$B$12,Paramètres!$A$1:$I$89,3,0)*VLOOKUP('Données projet'!$B$12,Paramètres!$A$1:$I$89,5,0)</f>
        <v>322.07759999999979</v>
      </c>
      <c r="CA108" s="14">
        <f t="shared" si="93"/>
        <v>75.785475796129404</v>
      </c>
      <c r="CB108" s="22">
        <f t="shared" si="64"/>
        <v>692.94485701159158</v>
      </c>
      <c r="CC108" s="60">
        <f t="shared" si="65"/>
        <v>986.27819034492495</v>
      </c>
      <c r="CD108" s="60">
        <f ca="1">AVERAGE(OFFSET($CC$3,0,0,'Données projet'!$E$12+1,1))-AVERAGE(OFFSET($H$3,0,0,'Données projet'!$E$12+1,1))</f>
        <v>541.66888676162716</v>
      </c>
      <c r="CE108" s="60">
        <f t="shared" si="94"/>
        <v>294.45557293177131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332.99999999999977</v>
      </c>
      <c r="CU108" s="18">
        <f>CT108*VLOOKUP('Données projet'!$B$13,Paramètres!$A$1:$I$89,3,0)*VLOOKUP('Données projet'!$B$13,Paramètres!$A$1:$I$89,5,0)</f>
        <v>358.4411999999997</v>
      </c>
      <c r="CV108" s="14">
        <f t="shared" si="95"/>
        <v>83.298223876643164</v>
      </c>
      <c r="CW108" s="22">
        <f t="shared" si="67"/>
        <v>769.36282991848623</v>
      </c>
      <c r="CX108" s="60">
        <f t="shared" si="68"/>
        <v>1062.6961632518196</v>
      </c>
      <c r="CY108" s="60">
        <f ca="1">AVERAGE(OFFSET($CX$3,0,0,'Données projet'!$E$13+1,1))-AVERAGE(OFFSET($H$3,0,0,'Données projet'!$E$13+1,1))</f>
        <v>597.75551942969628</v>
      </c>
      <c r="CZ108" s="60">
        <f t="shared" si="96"/>
        <v>322.81767004794284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</v>
      </c>
      <c r="N109" s="14">
        <f>IF('Données projet'!$A$36&gt;35,N108+M109-V108,IF(A109&lt;'Données projet'!$A$36,$K$205^A109,IF(A109='Données projet'!$A$36,'Données projet'!$B$36,N108+M109-V108)))</f>
        <v>338.39999999999975</v>
      </c>
      <c r="O109" s="14">
        <f>N109*VLOOKUP('Données projet'!$B$9,Paramètres!$A$1:$I$89,3,0)*VLOOKUP('Données projet'!$B$9,Paramètres!$A$1:$I$89,5,0)</f>
        <v>306.18431999999979</v>
      </c>
      <c r="P109" s="14">
        <f t="shared" si="87"/>
        <v>72.471390842310868</v>
      </c>
      <c r="Q109" s="22">
        <f t="shared" si="107"/>
        <v>659.49202971702437</v>
      </c>
      <c r="R109" s="60">
        <f t="shared" si="55"/>
        <v>952.82536305035774</v>
      </c>
      <c r="S109" s="60">
        <f ca="1">AVERAGE(OFFSET($R$3,0,0,'Données projet'!$E$9+1,1))-AVERAGE(OFFSET($H$3,0,0,'Données projet'!$E$9+1,1))</f>
        <v>509.56241660612449</v>
      </c>
      <c r="T109" s="60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338.39999999999975</v>
      </c>
      <c r="AJ109" s="14">
        <f>AI109*VLOOKUP('Données projet'!$B$10,Paramètres!$A$1:$I$89,3,0)*VLOOKUP('Données projet'!$B$10,Paramètres!$A$1:$I$89,5,0)</f>
        <v>343.13759999999974</v>
      </c>
      <c r="AK109" s="14">
        <f t="shared" si="89"/>
        <v>80.14784747368239</v>
      </c>
      <c r="AL109" s="22">
        <f t="shared" si="58"/>
        <v>737.22215434999634</v>
      </c>
      <c r="AM109" s="60">
        <f t="shared" si="59"/>
        <v>1030.5554876833296</v>
      </c>
      <c r="AN109" s="60">
        <f ca="1">AVERAGE(OFFSET($AM$3,0,0,'Données projet'!$E$10+1,1))-AVERAGE(OFFSET($H$3,0,0,'Données projet'!$E$10+1,1))</f>
        <v>565.72091871734051</v>
      </c>
      <c r="AO109" s="60">
        <f t="shared" si="90"/>
        <v>306.61893266146666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5.6923076923076907</v>
      </c>
      <c r="BD109" s="13">
        <f>IF('Données projet'!$A$88&gt;35,BD108+BC109-BL108,IF(A109&lt;'Données projet'!$A$88,$BA$205^A109,IF(A109='Données projet'!$A$88,'Données projet'!$B$88,BD108+BC109-BL108)))</f>
        <v>239.07692307692247</v>
      </c>
      <c r="BE109" s="14">
        <f>BD109*VLOOKUP('Données projet'!$B$11,Paramètres!$A$1:$I$89,3,0)*VLOOKUP('Données projet'!$B$11,Paramètres!$A$1:$I$89,5,0)</f>
        <v>111.88799999999971</v>
      </c>
      <c r="BF109" s="14">
        <f t="shared" si="91"/>
        <v>29.775370562311089</v>
      </c>
      <c r="BG109" s="22">
        <f t="shared" si="61"/>
        <v>246.73037039602465</v>
      </c>
      <c r="BH109" s="60">
        <f t="shared" si="62"/>
        <v>540.06370372935794</v>
      </c>
      <c r="BI109" s="60">
        <f ca="1">AVERAGE(OFFSET($BH$3,0,0,'Données projet'!$E$11+1,1))-AVERAGE(OFFSET($H$3,0,0,'Données projet'!$E$11+1,1))</f>
        <v>246.64907095367749</v>
      </c>
      <c r="BJ109" s="60">
        <f t="shared" si="92"/>
        <v>145.34368562171613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5.4</v>
      </c>
      <c r="BY109" s="13">
        <f>IF('Données projet'!$A$114&gt;35,BY108+BX109-CG108,IF(A109&lt;'Données projet'!$A$114,$BV$205^A109,IF(A109='Données projet'!$A$114,'Données projet'!$B$114,BY108+BX109-CG108)))</f>
        <v>338.39999999999975</v>
      </c>
      <c r="BZ109" s="14">
        <f>BY109*VLOOKUP('Données projet'!$B$12,Paramètres!$A$1:$I$89,3,0)*VLOOKUP('Données projet'!$B$12,Paramètres!$A$1:$I$89,5,0)</f>
        <v>327.30047999999977</v>
      </c>
      <c r="CA109" s="14">
        <f t="shared" si="93"/>
        <v>76.870360525480351</v>
      </c>
      <c r="CB109" s="22">
        <f t="shared" si="64"/>
        <v>703.93088058187789</v>
      </c>
      <c r="CC109" s="60">
        <f t="shared" si="65"/>
        <v>997.26421391521126</v>
      </c>
      <c r="CD109" s="60">
        <f ca="1">AVERAGE(OFFSET($CC$3,0,0,'Données projet'!$E$12+1,1))-AVERAGE(OFFSET($H$3,0,0,'Données projet'!$E$12+1,1))</f>
        <v>541.66888676162716</v>
      </c>
      <c r="CE109" s="60">
        <f t="shared" si="94"/>
        <v>294.45557293177131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5.4</v>
      </c>
      <c r="CT109" s="13">
        <f>IF('Données projet'!$A$140&gt;35,CT108+CS109-DB108,IF(A109&lt;'Données projet'!$A$140,$CQ$205^A109,IF(A109='Données projet'!$A$140,'Données projet'!$B$140,CT108+CS109-DB108)))</f>
        <v>338.39999999999975</v>
      </c>
      <c r="CU109" s="18">
        <f>CT109*VLOOKUP('Données projet'!$B$13,Paramètres!$A$1:$I$89,3,0)*VLOOKUP('Données projet'!$B$13,Paramètres!$A$1:$I$89,5,0)</f>
        <v>364.25375999999972</v>
      </c>
      <c r="CV109" s="14">
        <f t="shared" si="95"/>
        <v>84.490655145517607</v>
      </c>
      <c r="CW109" s="22">
        <f t="shared" si="67"/>
        <v>781.56318971177598</v>
      </c>
      <c r="CX109" s="60">
        <f t="shared" si="68"/>
        <v>1074.8965230451092</v>
      </c>
      <c r="CY109" s="60">
        <f ca="1">AVERAGE(OFFSET($CX$3,0,0,'Données projet'!$E$13+1,1))-AVERAGE(OFFSET($H$3,0,0,'Données projet'!$E$13+1,1))</f>
        <v>597.75551942969628</v>
      </c>
      <c r="CZ109" s="60">
        <f t="shared" si="96"/>
        <v>322.81767004794284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</v>
      </c>
      <c r="N110" s="14">
        <f>IF('Données projet'!$A$36&gt;35,N109+M110-V109,IF(A110&lt;'Données projet'!$A$36,$K$205^A110,IF(A110='Données projet'!$A$36,'Données projet'!$B$36,N109+M110-V109)))</f>
        <v>343.79999999999973</v>
      </c>
      <c r="O110" s="14">
        <f>N110*VLOOKUP('Données projet'!$B$9,Paramètres!$A$1:$I$89,3,0)*VLOOKUP('Données projet'!$B$9,Paramètres!$A$1:$I$89,5,0)</f>
        <v>311.07023999999973</v>
      </c>
      <c r="P110" s="14">
        <f t="shared" si="87"/>
        <v>73.492294028732417</v>
      </c>
      <c r="Q110" s="22">
        <f t="shared" si="107"/>
        <v>669.77974676670851</v>
      </c>
      <c r="R110" s="60">
        <f t="shared" si="55"/>
        <v>963.11308010004177</v>
      </c>
      <c r="S110" s="60">
        <f ca="1">AVERAGE(OFFSET($R$3,0,0,'Données projet'!$E$9+1,1))-AVERAGE(OFFSET($H$3,0,0,'Données projet'!$E$9+1,1))</f>
        <v>509.56241660612449</v>
      </c>
      <c r="T110" s="60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343.79999999999973</v>
      </c>
      <c r="AJ110" s="14">
        <f>AI110*VLOOKUP('Données projet'!$B$10,Paramètres!$A$1:$I$89,3,0)*VLOOKUP('Données projet'!$B$10,Paramètres!$A$1:$I$89,5,0)</f>
        <v>348.61319999999972</v>
      </c>
      <c r="AK110" s="14">
        <f t="shared" si="89"/>
        <v>81.276888767352929</v>
      </c>
      <c r="AL110" s="22">
        <f t="shared" si="58"/>
        <v>748.72523793647258</v>
      </c>
      <c r="AM110" s="60">
        <f t="shared" si="59"/>
        <v>1042.058571269806</v>
      </c>
      <c r="AN110" s="60">
        <f ca="1">AVERAGE(OFFSET($AM$3,0,0,'Données projet'!$E$10+1,1))-AVERAGE(OFFSET($H$3,0,0,'Données projet'!$E$10+1,1))</f>
        <v>565.72091871734051</v>
      </c>
      <c r="AO110" s="60">
        <f t="shared" si="90"/>
        <v>306.61893266146666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5.6923076923076907</v>
      </c>
      <c r="BD110" s="13">
        <f>IF('Données projet'!$A$88&gt;35,BD109+BC110-BL109,IF(A110&lt;'Données projet'!$A$88,$BA$205^A110,IF(A110='Données projet'!$A$88,'Données projet'!$B$88,BD109+BC110-BL109)))</f>
        <v>244.76923076923015</v>
      </c>
      <c r="BE110" s="14">
        <f>BD110*VLOOKUP('Données projet'!$B$11,Paramètres!$A$1:$I$89,3,0)*VLOOKUP('Données projet'!$B$11,Paramètres!$A$1:$I$89,5,0)</f>
        <v>114.55199999999971</v>
      </c>
      <c r="BF110" s="14">
        <f t="shared" si="91"/>
        <v>30.400927204443892</v>
      </c>
      <c r="BG110" s="22">
        <f t="shared" si="61"/>
        <v>252.45968154773928</v>
      </c>
      <c r="BH110" s="60">
        <f t="shared" si="62"/>
        <v>545.79301488107262</v>
      </c>
      <c r="BI110" s="60">
        <f ca="1">AVERAGE(OFFSET($BH$3,0,0,'Données projet'!$E$11+1,1))-AVERAGE(OFFSET($H$3,0,0,'Données projet'!$E$11+1,1))</f>
        <v>246.64907095367749</v>
      </c>
      <c r="BJ110" s="60">
        <f t="shared" si="92"/>
        <v>145.34368562171613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5.4</v>
      </c>
      <c r="BY110" s="13">
        <f>IF('Données projet'!$A$114&gt;35,BY109+BX110-CG109,IF(A110&lt;'Données projet'!$A$114,$BV$205^A110,IF(A110='Données projet'!$A$114,'Données projet'!$B$114,BY109+BX110-CG109)))</f>
        <v>343.79999999999973</v>
      </c>
      <c r="BZ110" s="14">
        <f>BY110*VLOOKUP('Données projet'!$B$12,Paramètres!$A$1:$I$89,3,0)*VLOOKUP('Données projet'!$B$12,Paramètres!$A$1:$I$89,5,0)</f>
        <v>332.52335999999974</v>
      </c>
      <c r="CA110" s="14">
        <f t="shared" si="93"/>
        <v>77.953231919139512</v>
      </c>
      <c r="CB110" s="22">
        <f t="shared" si="64"/>
        <v>714.91339759250093</v>
      </c>
      <c r="CC110" s="60">
        <f t="shared" si="65"/>
        <v>1008.2467309258343</v>
      </c>
      <c r="CD110" s="60">
        <f ca="1">AVERAGE(OFFSET($CC$3,0,0,'Données projet'!$E$12+1,1))-AVERAGE(OFFSET($H$3,0,0,'Données projet'!$E$12+1,1))</f>
        <v>541.66888676162716</v>
      </c>
      <c r="CE110" s="60">
        <f t="shared" si="94"/>
        <v>294.45557293177131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5.4</v>
      </c>
      <c r="CT110" s="13">
        <f>IF('Données projet'!$A$140&gt;35,CT109+CS110-DB109,IF(A110&lt;'Données projet'!$A$140,$CQ$205^A110,IF(A110='Données projet'!$A$140,'Données projet'!$B$140,CT109+CS110-DB109)))</f>
        <v>343.79999999999973</v>
      </c>
      <c r="CU110" s="18">
        <f>CT110*VLOOKUP('Données projet'!$B$13,Paramètres!$A$1:$I$89,3,0)*VLOOKUP('Données projet'!$B$13,Paramètres!$A$1:$I$89,5,0)</f>
        <v>370.06631999999968</v>
      </c>
      <c r="CV110" s="14">
        <f t="shared" si="95"/>
        <v>85.68087349317679</v>
      </c>
      <c r="CW110" s="22">
        <f t="shared" si="67"/>
        <v>793.75969533394903</v>
      </c>
      <c r="CX110" s="60">
        <f t="shared" si="68"/>
        <v>1087.0930286672824</v>
      </c>
      <c r="CY110" s="60">
        <f ca="1">AVERAGE(OFFSET($CX$3,0,0,'Données projet'!$E$13+1,1))-AVERAGE(OFFSET($H$3,0,0,'Données projet'!$E$13+1,1))</f>
        <v>597.75551942969628</v>
      </c>
      <c r="CZ110" s="60">
        <f t="shared" si="96"/>
        <v>322.81767004794284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</v>
      </c>
      <c r="N111" s="14">
        <f>IF('Données projet'!$A$36&gt;35,N110+M111-V110,IF(A111&lt;'Données projet'!$A$36,$K$205^A111,IF(A111='Données projet'!$A$36,'Données projet'!$B$36,N110+M111-V110)))</f>
        <v>349.1999999999997</v>
      </c>
      <c r="O111" s="14">
        <f>N111*VLOOKUP('Données projet'!$B$9,Paramètres!$A$1:$I$89,3,0)*VLOOKUP('Données projet'!$B$9,Paramètres!$A$1:$I$89,5,0)</f>
        <v>315.95615999999973</v>
      </c>
      <c r="P111" s="14">
        <f t="shared" si="87"/>
        <v>74.511332350300975</v>
      </c>
      <c r="Q111" s="22">
        <f t="shared" si="107"/>
        <v>680.06421584344037</v>
      </c>
      <c r="R111" s="60">
        <f t="shared" si="55"/>
        <v>973.39754917677374</v>
      </c>
      <c r="S111" s="60">
        <f ca="1">AVERAGE(OFFSET($R$3,0,0,'Données projet'!$E$9+1,1))-AVERAGE(OFFSET($H$3,0,0,'Données projet'!$E$9+1,1))</f>
        <v>509.56241660612449</v>
      </c>
      <c r="T111" s="60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349.1999999999997</v>
      </c>
      <c r="AJ111" s="14">
        <f>AI111*VLOOKUP('Données projet'!$B$10,Paramètres!$A$1:$I$89,3,0)*VLOOKUP('Données projet'!$B$10,Paramètres!$A$1:$I$89,5,0)</f>
        <v>354.08879999999971</v>
      </c>
      <c r="AK111" s="14">
        <f t="shared" si="89"/>
        <v>82.403867662302346</v>
      </c>
      <c r="AL111" s="22">
        <f t="shared" si="58"/>
        <v>760.22472951184272</v>
      </c>
      <c r="AM111" s="60">
        <f t="shared" si="59"/>
        <v>1053.558062845176</v>
      </c>
      <c r="AN111" s="60">
        <f ca="1">AVERAGE(OFFSET($AM$3,0,0,'Données projet'!$E$10+1,1))-AVERAGE(OFFSET($H$3,0,0,'Données projet'!$E$10+1,1))</f>
        <v>565.72091871734051</v>
      </c>
      <c r="AO111" s="60">
        <f t="shared" si="90"/>
        <v>306.61893266146666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5.6923076923076907</v>
      </c>
      <c r="BD111" s="13">
        <f>IF('Données projet'!$A$88&gt;35,BD110+BC111-BL110,IF(A111&lt;'Données projet'!$A$88,$BA$205^A111,IF(A111='Données projet'!$A$88,'Données projet'!$B$88,BD110+BC111-BL110)))</f>
        <v>250.46153846153783</v>
      </c>
      <c r="BE111" s="14">
        <f>BD111*VLOOKUP('Données projet'!$B$11,Paramètres!$A$1:$I$89,3,0)*VLOOKUP('Données projet'!$B$11,Paramètres!$A$1:$I$89,5,0)</f>
        <v>117.21599999999971</v>
      </c>
      <c r="BF111" s="14">
        <f t="shared" si="91"/>
        <v>31.024792608059023</v>
      </c>
      <c r="BG111" s="22">
        <f t="shared" si="61"/>
        <v>258.18604712570226</v>
      </c>
      <c r="BH111" s="60">
        <f t="shared" si="62"/>
        <v>551.51938045903557</v>
      </c>
      <c r="BI111" s="60">
        <f ca="1">AVERAGE(OFFSET($BH$3,0,0,'Données projet'!$E$11+1,1))-AVERAGE(OFFSET($H$3,0,0,'Données projet'!$E$11+1,1))</f>
        <v>246.64907095367749</v>
      </c>
      <c r="BJ111" s="60">
        <f t="shared" si="92"/>
        <v>145.34368562171613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5.4</v>
      </c>
      <c r="BY111" s="13">
        <f>IF('Données projet'!$A$114&gt;35,BY110+BX111-CG110,IF(A111&lt;'Données projet'!$A$114,$BV$205^A111,IF(A111='Données projet'!$A$114,'Données projet'!$B$114,BY110+BX111-CG110)))</f>
        <v>349.1999999999997</v>
      </c>
      <c r="BZ111" s="14">
        <f>BY111*VLOOKUP('Données projet'!$B$12,Paramètres!$A$1:$I$89,3,0)*VLOOKUP('Données projet'!$B$12,Paramètres!$A$1:$I$89,5,0)</f>
        <v>337.74623999999972</v>
      </c>
      <c r="CA111" s="14">
        <f t="shared" si="93"/>
        <v>79.034125251774825</v>
      </c>
      <c r="CB111" s="22">
        <f t="shared" si="64"/>
        <v>725.89246948017399</v>
      </c>
      <c r="CC111" s="60">
        <f t="shared" si="65"/>
        <v>1019.2258028135072</v>
      </c>
      <c r="CD111" s="60">
        <f ca="1">AVERAGE(OFFSET($CC$3,0,0,'Données projet'!$E$12+1,1))-AVERAGE(OFFSET($H$3,0,0,'Données projet'!$E$12+1,1))</f>
        <v>541.66888676162716</v>
      </c>
      <c r="CE111" s="60">
        <f t="shared" si="94"/>
        <v>294.45557293177131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5.4</v>
      </c>
      <c r="CT111" s="13">
        <f>IF('Données projet'!$A$140&gt;35,CT110+CS111-DB110,IF(A111&lt;'Données projet'!$A$140,$CQ$205^A111,IF(A111='Données projet'!$A$140,'Données projet'!$B$140,CT110+CS111-DB110)))</f>
        <v>349.1999999999997</v>
      </c>
      <c r="CU111" s="18">
        <f>CT111*VLOOKUP('Données projet'!$B$13,Paramètres!$A$1:$I$89,3,0)*VLOOKUP('Données projet'!$B$13,Paramètres!$A$1:$I$89,5,0)</f>
        <v>375.8788799999997</v>
      </c>
      <c r="CV111" s="14">
        <f t="shared" si="95"/>
        <v>86.868917691128757</v>
      </c>
      <c r="CW111" s="22">
        <f t="shared" si="67"/>
        <v>805.95241431204852</v>
      </c>
      <c r="CX111" s="60">
        <f t="shared" si="68"/>
        <v>1099.2857476453819</v>
      </c>
      <c r="CY111" s="60">
        <f ca="1">AVERAGE(OFFSET($CX$3,0,0,'Données projet'!$E$13+1,1))-AVERAGE(OFFSET($H$3,0,0,'Données projet'!$E$13+1,1))</f>
        <v>597.75551942969628</v>
      </c>
      <c r="CZ111" s="60">
        <f t="shared" si="96"/>
        <v>322.81767004794284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</v>
      </c>
      <c r="N112" s="14">
        <f>IF('Données projet'!$A$36&gt;35,N111+M112-V111,IF(A112&lt;'Données projet'!$A$36,$K$205^A112,IF(A112='Données projet'!$A$36,'Données projet'!$B$36,N111+M112-V111)))</f>
        <v>354.59999999999968</v>
      </c>
      <c r="O112" s="14">
        <f>N112*VLOOKUP('Données projet'!$B$9,Paramètres!$A$1:$I$89,3,0)*VLOOKUP('Données projet'!$B$9,Paramètres!$A$1:$I$89,5,0)</f>
        <v>320.84207999999973</v>
      </c>
      <c r="P112" s="14">
        <f t="shared" si="87"/>
        <v>75.528537975513771</v>
      </c>
      <c r="Q112" s="22">
        <f t="shared" si="107"/>
        <v>690.34549297401929</v>
      </c>
      <c r="R112" s="60">
        <f t="shared" si="55"/>
        <v>983.67882630735267</v>
      </c>
      <c r="S112" s="60">
        <f ca="1">AVERAGE(OFFSET($R$3,0,0,'Données projet'!$E$9+1,1))-AVERAGE(OFFSET($H$3,0,0,'Données projet'!$E$9+1,1))</f>
        <v>509.56241660612449</v>
      </c>
      <c r="T112" s="60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354.59999999999968</v>
      </c>
      <c r="AJ112" s="14">
        <f>AI112*VLOOKUP('Données projet'!$B$10,Paramètres!$A$1:$I$89,3,0)*VLOOKUP('Données projet'!$B$10,Paramètres!$A$1:$I$89,5,0)</f>
        <v>359.56439999999969</v>
      </c>
      <c r="AK112" s="14">
        <f t="shared" si="89"/>
        <v>83.528819734442351</v>
      </c>
      <c r="AL112" s="22">
        <f t="shared" si="58"/>
        <v>771.72069103748652</v>
      </c>
      <c r="AM112" s="60">
        <f t="shared" si="59"/>
        <v>1065.0540243708199</v>
      </c>
      <c r="AN112" s="60">
        <f ca="1">AVERAGE(OFFSET($AM$3,0,0,'Données projet'!$E$10+1,1))-AVERAGE(OFFSET($H$3,0,0,'Données projet'!$E$10+1,1))</f>
        <v>565.72091871734051</v>
      </c>
      <c r="AO112" s="60">
        <f t="shared" si="90"/>
        <v>306.61893266146666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256.15384615384613</v>
      </c>
      <c r="BB112" s="13">
        <f>VLOOKUP(A112,'Données projet'!$A$87:$I$107,9,0)</f>
        <v>5.6923076923076907</v>
      </c>
      <c r="BC112" s="13">
        <f t="array" ref="BC112">INDEX(BB:BB,MIN(IF(ISNUMBER(BB112:BB308),ROW(BB112:BB308),"")))</f>
        <v>5.6923076923076907</v>
      </c>
      <c r="BD112" s="13">
        <f>IF('Données projet'!$A$88&gt;35,BD111+BC112-BL111,IF(A112&lt;'Données projet'!$A$88,$BA$205^A112,IF(A112='Données projet'!$A$88,'Données projet'!$B$88,BD111+BC112-BL111)))</f>
        <v>256.15384615384551</v>
      </c>
      <c r="BE112" s="14">
        <f>BD112*VLOOKUP('Données projet'!$B$11,Paramètres!$A$1:$I$89,3,0)*VLOOKUP('Données projet'!$B$11,Paramètres!$A$1:$I$89,5,0)</f>
        <v>119.8799999999997</v>
      </c>
      <c r="BF112" s="14">
        <f t="shared" si="91"/>
        <v>31.647009635236898</v>
      </c>
      <c r="BG112" s="22">
        <f t="shared" si="61"/>
        <v>263.90954178137036</v>
      </c>
      <c r="BH112" s="60">
        <f t="shared" si="62"/>
        <v>557.24287511470368</v>
      </c>
      <c r="BI112" s="60">
        <f ca="1">AVERAGE(OFFSET($BH$3,0,0,'Données projet'!$E$11+1,1))-AVERAGE(OFFSET($H$3,0,0,'Données projet'!$E$11+1,1))</f>
        <v>246.64907095367749</v>
      </c>
      <c r="BJ112" s="60">
        <f t="shared" si="92"/>
        <v>145.34368562171613</v>
      </c>
      <c r="BK112" s="16">
        <f>IF(ISNA(VLOOKUP(A112,'Données projet'!$A$87:$I$107,3,0)),0,VLOOKUP(A112,'Données projet'!$A$87:$I$107,3,0))</f>
        <v>6</v>
      </c>
      <c r="BL112" s="16">
        <f>IF(ISNA(VLOOKUP(A112,'Données projet'!$A$87:$I$107,4,0)),0,VLOOKUP(A112,'Données projet'!$A$87:$I$107,4,0))</f>
        <v>256.15384615384613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5.4</v>
      </c>
      <c r="BY112" s="13">
        <f>IF('Données projet'!$A$114&gt;35,BY111+BX112-CG111,IF(A112&lt;'Données projet'!$A$114,$BV$205^A112,IF(A112='Données projet'!$A$114,'Données projet'!$B$114,BY111+BX112-CG111)))</f>
        <v>354.59999999999968</v>
      </c>
      <c r="BZ112" s="14">
        <f>BY112*VLOOKUP('Données projet'!$B$12,Paramètres!$A$1:$I$89,3,0)*VLOOKUP('Données projet'!$B$12,Paramètres!$A$1:$I$89,5,0)</f>
        <v>342.96911999999969</v>
      </c>
      <c r="CA112" s="14">
        <f t="shared" si="93"/>
        <v>80.113074644491633</v>
      </c>
      <c r="CB112" s="22">
        <f t="shared" si="64"/>
        <v>736.86815567248902</v>
      </c>
      <c r="CC112" s="60">
        <f t="shared" si="65"/>
        <v>1030.2014890058224</v>
      </c>
      <c r="CD112" s="60">
        <f ca="1">AVERAGE(OFFSET($CC$3,0,0,'Données projet'!$E$12+1,1))-AVERAGE(OFFSET($H$3,0,0,'Données projet'!$E$12+1,1))</f>
        <v>541.66888676162716</v>
      </c>
      <c r="CE112" s="60">
        <f t="shared" si="94"/>
        <v>294.45557293177131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5.4</v>
      </c>
      <c r="CT112" s="13">
        <f>IF('Données projet'!$A$140&gt;35,CT111+CS112-DB111,IF(A112&lt;'Données projet'!$A$140,$CQ$205^A112,IF(A112='Données projet'!$A$140,'Données projet'!$B$140,CT111+CS112-DB111)))</f>
        <v>354.59999999999968</v>
      </c>
      <c r="CU112" s="18">
        <f>CT112*VLOOKUP('Données projet'!$B$13,Paramètres!$A$1:$I$89,3,0)*VLOOKUP('Données projet'!$B$13,Paramètres!$A$1:$I$89,5,0)</f>
        <v>381.6914399999996</v>
      </c>
      <c r="CV112" s="14">
        <f t="shared" si="95"/>
        <v>88.054825242964469</v>
      </c>
      <c r="CW112" s="22">
        <f t="shared" si="67"/>
        <v>818.14141196482899</v>
      </c>
      <c r="CX112" s="60">
        <f t="shared" si="68"/>
        <v>1111.4747452981624</v>
      </c>
      <c r="CY112" s="60">
        <f ca="1">AVERAGE(OFFSET($CX$3,0,0,'Données projet'!$E$13+1,1))-AVERAGE(OFFSET($H$3,0,0,'Données projet'!$E$13+1,1))</f>
        <v>597.75551942969628</v>
      </c>
      <c r="CZ112" s="60">
        <f t="shared" si="96"/>
        <v>322.81767004794284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360</v>
      </c>
      <c r="L113" s="13">
        <f>VLOOKUP(A113,'Données projet'!$A$35:$I$55,9,0)</f>
        <v>5.4</v>
      </c>
      <c r="M113" s="13">
        <f t="array" ref="M113">INDEX(L:L,MIN(IF(ISNUMBER(L113:L309),ROW(L113:L309),"")))</f>
        <v>5.4</v>
      </c>
      <c r="N113" s="14">
        <f>IF('Données projet'!$A$36&gt;35,N112+M113-V112,IF(A113&lt;'Données projet'!$A$36,$K$205^A113,IF(A113='Données projet'!$A$36,'Données projet'!$B$36,N112+M113-V112)))</f>
        <v>359.99999999999966</v>
      </c>
      <c r="O113" s="14">
        <f>N113*VLOOKUP('Données projet'!$B$9,Paramètres!$A$1:$I$89,3,0)*VLOOKUP('Données projet'!$B$9,Paramètres!$A$1:$I$89,5,0)</f>
        <v>325.72799999999967</v>
      </c>
      <c r="P113" s="14">
        <f t="shared" si="87"/>
        <v>76.543942036893981</v>
      </c>
      <c r="Q113" s="22">
        <f t="shared" si="107"/>
        <v>700.62363238092303</v>
      </c>
      <c r="R113" s="60">
        <f t="shared" si="55"/>
        <v>993.95696571425628</v>
      </c>
      <c r="S113" s="60">
        <f ca="1">AVERAGE(OFFSET($R$3,0,0,'Données projet'!$E$9+1,1))-AVERAGE(OFFSET($H$3,0,0,'Données projet'!$E$9+1,1))</f>
        <v>509.56241660612449</v>
      </c>
      <c r="T113" s="60">
        <f t="shared" si="88"/>
        <v>278.21741231699929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360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359.99999999999966</v>
      </c>
      <c r="AJ113" s="14">
        <f>AI113*VLOOKUP('Données projet'!$B$10,Paramètres!$A$1:$I$89,3,0)*VLOOKUP('Données projet'!$B$10,Paramètres!$A$1:$I$89,5,0)</f>
        <v>365.03999999999968</v>
      </c>
      <c r="AK113" s="14">
        <f t="shared" si="89"/>
        <v>84.651779413976342</v>
      </c>
      <c r="AL113" s="22">
        <f t="shared" si="58"/>
        <v>783.21318247934141</v>
      </c>
      <c r="AM113" s="60">
        <f t="shared" si="59"/>
        <v>1076.5465158126747</v>
      </c>
      <c r="AN113" s="60">
        <f ca="1">AVERAGE(OFFSET($AM$3,0,0,'Données projet'!$E$10+1,1))-AVERAGE(OFFSET($H$3,0,0,'Données projet'!$E$10+1,1))</f>
        <v>565.72091871734051</v>
      </c>
      <c r="AO113" s="60">
        <f t="shared" si="90"/>
        <v>306.61893266146666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53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-6.2527760746888816E-13</v>
      </c>
      <c r="BE113" s="14">
        <f>BD113*VLOOKUP('Données projet'!$B$11,Paramètres!$A$1:$I$89,3,0)*VLOOKUP('Données projet'!$B$11,Paramètres!$A$1:$I$89,5,0)</f>
        <v>-2.9262992029543964E-13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246.64907095367749</v>
      </c>
      <c r="BJ113" s="60">
        <f t="shared" si="92"/>
        <v>145.34368562171613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360</v>
      </c>
      <c r="BW113" s="13">
        <f>VLOOKUP(A113,'Données projet'!$A$113:$I$133,9,0)</f>
        <v>5.4</v>
      </c>
      <c r="BX113" s="13">
        <f t="array" ref="BX113">INDEX(BW:BW,MIN(IF(ISNUMBER(BW113:BW309),ROW(BW113:BW309),"")))</f>
        <v>5.4</v>
      </c>
      <c r="BY113" s="13">
        <f>IF('Données projet'!$A$114&gt;35,BY112+BX113-CG112,IF(A113&lt;'Données projet'!$A$114,$BV$205^A113,IF(A113='Données projet'!$A$114,'Données projet'!$B$114,BY112+BX113-CG112)))</f>
        <v>359.99999999999966</v>
      </c>
      <c r="BZ113" s="14">
        <f>BY113*VLOOKUP('Données projet'!$B$12,Paramètres!$A$1:$I$89,3,0)*VLOOKUP('Données projet'!$B$12,Paramètres!$A$1:$I$89,5,0)</f>
        <v>348.19199999999967</v>
      </c>
      <c r="CA113" s="14">
        <f t="shared" si="93"/>
        <v>81.190113119538651</v>
      </c>
      <c r="CB113" s="22">
        <f t="shared" si="64"/>
        <v>747.84051368319581</v>
      </c>
      <c r="CC113" s="60">
        <f t="shared" si="65"/>
        <v>1041.1738470165292</v>
      </c>
      <c r="CD113" s="60">
        <f ca="1">AVERAGE(OFFSET($CC$3,0,0,'Données projet'!$E$12+1,1))-AVERAGE(OFFSET($H$3,0,0,'Données projet'!$E$12+1,1))</f>
        <v>541.66888676162716</v>
      </c>
      <c r="CE113" s="60">
        <f t="shared" si="94"/>
        <v>294.45557293177131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53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360</v>
      </c>
      <c r="CR113" s="13">
        <f>VLOOKUP(A113,'Données projet'!$A$139:$I$159,9,0)</f>
        <v>5.4</v>
      </c>
      <c r="CS113" s="13">
        <f t="array" ref="CS113">INDEX(CR:CR,MIN(IF(ISNUMBER(CR113:CR309),ROW(CR113:CR309),"")))</f>
        <v>5.4</v>
      </c>
      <c r="CT113" s="13">
        <f>IF('Données projet'!$A$140&gt;35,CT112+CS113-DB112,IF(A113&lt;'Données projet'!$A$140,$CQ$205^A113,IF(A113='Données projet'!$A$140,'Données projet'!$B$140,CT112+CS113-DB112)))</f>
        <v>359.99999999999966</v>
      </c>
      <c r="CU113" s="18">
        <f>CT113*VLOOKUP('Données projet'!$B$13,Paramètres!$A$1:$I$89,3,0)*VLOOKUP('Données projet'!$B$13,Paramètres!$A$1:$I$89,5,0)</f>
        <v>387.50399999999962</v>
      </c>
      <c r="CV113" s="14">
        <f t="shared" si="95"/>
        <v>89.238632444486413</v>
      </c>
      <c r="CW113" s="22">
        <f t="shared" si="67"/>
        <v>830.3267515074798</v>
      </c>
      <c r="CX113" s="60">
        <f t="shared" si="68"/>
        <v>1123.6600848408132</v>
      </c>
      <c r="CY113" s="60">
        <f ca="1">AVERAGE(OFFSET($CX$3,0,0,'Données projet'!$E$13+1,1))-AVERAGE(OFFSET($H$3,0,0,'Données projet'!$E$13+1,1))</f>
        <v>597.75551942969628</v>
      </c>
      <c r="CZ113" s="60">
        <f t="shared" si="96"/>
        <v>322.81767004794284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53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311.49999999999966</v>
      </c>
      <c r="O114" s="14">
        <f>N114*VLOOKUP('Données projet'!$B$9,Paramètres!$A$1:$I$89,3,0)*VLOOKUP('Données projet'!$B$9,Paramètres!$A$1:$I$89,5,0)</f>
        <v>281.84519999999969</v>
      </c>
      <c r="P114" s="14">
        <f t="shared" si="87"/>
        <v>67.356803491560427</v>
      </c>
      <c r="Q114" s="22">
        <f t="shared" si="107"/>
        <v>608.19348941446708</v>
      </c>
      <c r="R114" s="60">
        <f t="shared" si="55"/>
        <v>901.52682274780045</v>
      </c>
      <c r="S114" s="60">
        <f ca="1">AVERAGE(OFFSET($R$3,0,0,'Données projet'!$E$9+1,1))-AVERAGE(OFFSET($H$3,0,0,'Données projet'!$E$9+1,1))</f>
        <v>509.56241660612449</v>
      </c>
      <c r="T114" s="60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311.49999999999966</v>
      </c>
      <c r="AJ114" s="14">
        <f>AI114*VLOOKUP('Données projet'!$B$10,Paramètres!$A$1:$I$89,3,0)*VLOOKUP('Données projet'!$B$10,Paramètres!$A$1:$I$89,5,0)</f>
        <v>315.86099999999971</v>
      </c>
      <c r="AK114" s="14">
        <f t="shared" si="89"/>
        <v>74.491502782151358</v>
      </c>
      <c r="AL114" s="22">
        <f t="shared" si="58"/>
        <v>679.86394234557974</v>
      </c>
      <c r="AM114" s="60">
        <f t="shared" si="59"/>
        <v>973.197275678913</v>
      </c>
      <c r="AN114" s="60">
        <f ca="1">AVERAGE(OFFSET($AM$3,0,0,'Données projet'!$E$10+1,1))-AVERAGE(OFFSET($H$3,0,0,'Données projet'!$E$10+1,1))</f>
        <v>565.72091871734051</v>
      </c>
      <c r="AO114" s="60">
        <f t="shared" si="90"/>
        <v>306.61893266146666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-6.2527760746888816E-13</v>
      </c>
      <c r="BE114" s="14">
        <f>BD114*VLOOKUP('Données projet'!$B$11,Paramètres!$A$1:$I$89,3,0)*VLOOKUP('Données projet'!$B$11,Paramètres!$A$1:$I$89,5,0)</f>
        <v>-2.9262992029543964E-13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246.64907095367749</v>
      </c>
      <c r="BJ114" s="60">
        <f t="shared" si="92"/>
        <v>145.34368562171613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</v>
      </c>
      <c r="BY114" s="13">
        <f>IF('Données projet'!$A$114&gt;35,BY113+BX114-CG113,IF(A114&lt;'Données projet'!$A$114,$BV$205^A114,IF(A114='Données projet'!$A$114,'Données projet'!$B$114,BY113+BX114-CG113)))</f>
        <v>311.49999999999966</v>
      </c>
      <c r="BZ114" s="14">
        <f>BY114*VLOOKUP('Données projet'!$B$12,Paramètres!$A$1:$I$89,3,0)*VLOOKUP('Données projet'!$B$12,Paramètres!$A$1:$I$89,5,0)</f>
        <v>301.28279999999967</v>
      </c>
      <c r="CA114" s="14">
        <f t="shared" si="93"/>
        <v>71.445320809508672</v>
      </c>
      <c r="CB114" s="22">
        <f t="shared" si="64"/>
        <v>649.16814374322701</v>
      </c>
      <c r="CC114" s="60">
        <f t="shared" si="65"/>
        <v>942.50147707656038</v>
      </c>
      <c r="CD114" s="60">
        <f ca="1">AVERAGE(OFFSET($CC$3,0,0,'Données projet'!$E$12+1,1))-AVERAGE(OFFSET($H$3,0,0,'Données projet'!$E$12+1,1))</f>
        <v>541.66888676162716</v>
      </c>
      <c r="CE114" s="60">
        <f t="shared" si="94"/>
        <v>294.45557293177131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</v>
      </c>
      <c r="CT114" s="13">
        <f>IF('Données projet'!$A$140&gt;35,CT113+CS114-DB113,IF(A114&lt;'Données projet'!$A$140,$CQ$205^A114,IF(A114='Données projet'!$A$140,'Données projet'!$B$140,CT113+CS114-DB113)))</f>
        <v>311.49999999999966</v>
      </c>
      <c r="CU114" s="18">
        <f>CT114*VLOOKUP('Données projet'!$B$13,Paramètres!$A$1:$I$89,3,0)*VLOOKUP('Données projet'!$B$13,Paramètres!$A$1:$I$89,5,0)</f>
        <v>335.29859999999962</v>
      </c>
      <c r="CV114" s="14">
        <f t="shared" si="95"/>
        <v>78.527821659898976</v>
      </c>
      <c r="CW114" s="22">
        <f t="shared" si="67"/>
        <v>720.74768439099</v>
      </c>
      <c r="CX114" s="60">
        <f t="shared" si="68"/>
        <v>1014.0810177243234</v>
      </c>
      <c r="CY114" s="60">
        <f ca="1">AVERAGE(OFFSET($CX$3,0,0,'Données projet'!$E$13+1,1))-AVERAGE(OFFSET($H$3,0,0,'Données projet'!$E$13+1,1))</f>
        <v>597.75551942969628</v>
      </c>
      <c r="CZ114" s="60">
        <f t="shared" si="96"/>
        <v>322.81767004794284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315.99999999999966</v>
      </c>
      <c r="O115" s="14">
        <f>N115*VLOOKUP('Données projet'!$B$9,Paramètres!$A$1:$I$89,3,0)*VLOOKUP('Données projet'!$B$9,Paramètres!$A$1:$I$89,5,0)</f>
        <v>285.91679999999968</v>
      </c>
      <c r="P115" s="14">
        <f t="shared" si="87"/>
        <v>68.215872977287475</v>
      </c>
      <c r="Q115" s="22">
        <f t="shared" si="107"/>
        <v>616.7810721021084</v>
      </c>
      <c r="R115" s="60">
        <f t="shared" si="55"/>
        <v>910.11440543544177</v>
      </c>
      <c r="S115" s="60">
        <f ca="1">AVERAGE(OFFSET($R$3,0,0,'Données projet'!$E$9+1,1))-AVERAGE(OFFSET($H$3,0,0,'Données projet'!$E$9+1,1))</f>
        <v>509.56241660612449</v>
      </c>
      <c r="T115" s="60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315.99999999999966</v>
      </c>
      <c r="AJ115" s="14">
        <f>AI115*VLOOKUP('Données projet'!$B$10,Paramètres!$A$1:$I$89,3,0)*VLOOKUP('Données projet'!$B$10,Paramètres!$A$1:$I$89,5,0)</f>
        <v>320.42399999999964</v>
      </c>
      <c r="AK115" s="14">
        <f t="shared" si="89"/>
        <v>75.441568308852254</v>
      </c>
      <c r="AL115" s="22">
        <f t="shared" si="58"/>
        <v>689.4658648045837</v>
      </c>
      <c r="AM115" s="60">
        <f t="shared" si="59"/>
        <v>982.79919813791707</v>
      </c>
      <c r="AN115" s="60">
        <f ca="1">AVERAGE(OFFSET($AM$3,0,0,'Données projet'!$E$10+1,1))-AVERAGE(OFFSET($H$3,0,0,'Données projet'!$E$10+1,1))</f>
        <v>565.72091871734051</v>
      </c>
      <c r="AO115" s="60">
        <f t="shared" si="90"/>
        <v>306.61893266146666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-6.2527760746888816E-13</v>
      </c>
      <c r="BE115" s="14">
        <f>BD115*VLOOKUP('Données projet'!$B$11,Paramètres!$A$1:$I$89,3,0)*VLOOKUP('Données projet'!$B$11,Paramètres!$A$1:$I$89,5,0)</f>
        <v>-2.9262992029543964E-13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246.64907095367749</v>
      </c>
      <c r="BJ115" s="60">
        <f t="shared" si="92"/>
        <v>145.34368562171613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</v>
      </c>
      <c r="BY115" s="13">
        <f>IF('Données projet'!$A$114&gt;35,BY114+BX115-CG114,IF(A115&lt;'Données projet'!$A$114,$BV$205^A115,IF(A115='Données projet'!$A$114,'Données projet'!$B$114,BY114+BX115-CG114)))</f>
        <v>315.99999999999966</v>
      </c>
      <c r="BZ115" s="14">
        <f>BY115*VLOOKUP('Données projet'!$B$12,Paramètres!$A$1:$I$89,3,0)*VLOOKUP('Données projet'!$B$12,Paramètres!$A$1:$I$89,5,0)</f>
        <v>305.63519999999966</v>
      </c>
      <c r="CA115" s="14">
        <f t="shared" si="93"/>
        <v>72.356535294517755</v>
      </c>
      <c r="CB115" s="22">
        <f t="shared" si="64"/>
        <v>658.33560563795118</v>
      </c>
      <c r="CC115" s="60">
        <f t="shared" si="65"/>
        <v>951.66893897128443</v>
      </c>
      <c r="CD115" s="60">
        <f ca="1">AVERAGE(OFFSET($CC$3,0,0,'Données projet'!$E$12+1,1))-AVERAGE(OFFSET($H$3,0,0,'Données projet'!$E$12+1,1))</f>
        <v>541.66888676162716</v>
      </c>
      <c r="CE115" s="60">
        <f t="shared" si="94"/>
        <v>294.45557293177131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</v>
      </c>
      <c r="CT115" s="13">
        <f>IF('Données projet'!$A$140&gt;35,CT114+CS115-DB114,IF(A115&lt;'Données projet'!$A$140,$CQ$205^A115,IF(A115='Données projet'!$A$140,'Données projet'!$B$140,CT114+CS115-DB114)))</f>
        <v>315.99999999999966</v>
      </c>
      <c r="CU115" s="18">
        <f>CT115*VLOOKUP('Données projet'!$B$13,Paramètres!$A$1:$I$89,3,0)*VLOOKUP('Données projet'!$B$13,Paramètres!$A$1:$I$89,5,0)</f>
        <v>340.14239999999961</v>
      </c>
      <c r="CV115" s="14">
        <f t="shared" si="95"/>
        <v>79.529366446344909</v>
      </c>
      <c r="CW115" s="22">
        <f t="shared" si="67"/>
        <v>730.92832656071676</v>
      </c>
      <c r="CX115" s="60">
        <f t="shared" si="68"/>
        <v>1024.2616598940501</v>
      </c>
      <c r="CY115" s="60">
        <f ca="1">AVERAGE(OFFSET($CX$3,0,0,'Données projet'!$E$13+1,1))-AVERAGE(OFFSET($H$3,0,0,'Données projet'!$E$13+1,1))</f>
        <v>597.75551942969628</v>
      </c>
      <c r="CZ115" s="60">
        <f t="shared" si="96"/>
        <v>322.81767004794284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320.49999999999966</v>
      </c>
      <c r="O116" s="14">
        <f>N116*VLOOKUP('Données projet'!$B$9,Paramètres!$A$1:$I$89,3,0)*VLOOKUP('Données projet'!$B$9,Paramètres!$A$1:$I$89,5,0)</f>
        <v>289.98839999999967</v>
      </c>
      <c r="P116" s="14">
        <f t="shared" si="87"/>
        <v>69.073519602481454</v>
      </c>
      <c r="Q116" s="22">
        <f t="shared" si="107"/>
        <v>625.36617664098787</v>
      </c>
      <c r="R116" s="60">
        <f t="shared" si="55"/>
        <v>918.69950997432124</v>
      </c>
      <c r="S116" s="60">
        <f ca="1">AVERAGE(OFFSET($R$3,0,0,'Données projet'!$E$9+1,1))-AVERAGE(OFFSET($H$3,0,0,'Données projet'!$E$9+1,1))</f>
        <v>509.56241660612449</v>
      </c>
      <c r="T116" s="60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320.49999999999966</v>
      </c>
      <c r="AJ116" s="14">
        <f>AI116*VLOOKUP('Données projet'!$B$10,Paramètres!$A$1:$I$89,3,0)*VLOOKUP('Données projet'!$B$10,Paramètres!$A$1:$I$89,5,0)</f>
        <v>324.98699999999968</v>
      </c>
      <c r="AK116" s="14">
        <f t="shared" si="89"/>
        <v>76.390060259999316</v>
      </c>
      <c r="AL116" s="22">
        <f t="shared" si="58"/>
        <v>699.06504661949828</v>
      </c>
      <c r="AM116" s="60">
        <f t="shared" si="59"/>
        <v>992.39837995283165</v>
      </c>
      <c r="AN116" s="60">
        <f ca="1">AVERAGE(OFFSET($AM$3,0,0,'Données projet'!$E$10+1,1))-AVERAGE(OFFSET($H$3,0,0,'Données projet'!$E$10+1,1))</f>
        <v>565.72091871734051</v>
      </c>
      <c r="AO116" s="60">
        <f t="shared" si="90"/>
        <v>306.61893266146666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-6.2527760746888816E-13</v>
      </c>
      <c r="BE116" s="14">
        <f>BD116*VLOOKUP('Données projet'!$B$11,Paramètres!$A$1:$I$89,3,0)*VLOOKUP('Données projet'!$B$11,Paramètres!$A$1:$I$89,5,0)</f>
        <v>-2.9262992029543964E-13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246.64907095367749</v>
      </c>
      <c r="BJ116" s="60">
        <f t="shared" si="92"/>
        <v>145.34368562171613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</v>
      </c>
      <c r="BY116" s="13">
        <f>IF('Données projet'!$A$114&gt;35,BY115+BX116-CG115,IF(A116&lt;'Données projet'!$A$114,$BV$205^A116,IF(A116='Données projet'!$A$114,'Données projet'!$B$114,BY115+BX116-CG115)))</f>
        <v>320.49999999999966</v>
      </c>
      <c r="BZ116" s="14">
        <f>BY116*VLOOKUP('Données projet'!$B$12,Paramètres!$A$1:$I$89,3,0)*VLOOKUP('Données projet'!$B$12,Paramètres!$A$1:$I$89,5,0)</f>
        <v>309.98759999999965</v>
      </c>
      <c r="CA116" s="14">
        <f t="shared" si="93"/>
        <v>73.266240552218378</v>
      </c>
      <c r="CB116" s="22">
        <f t="shared" si="64"/>
        <v>667.50043896177965</v>
      </c>
      <c r="CC116" s="60">
        <f t="shared" si="65"/>
        <v>960.83377229511302</v>
      </c>
      <c r="CD116" s="60">
        <f ca="1">AVERAGE(OFFSET($CC$3,0,0,'Données projet'!$E$12+1,1))-AVERAGE(OFFSET($H$3,0,0,'Données projet'!$E$12+1,1))</f>
        <v>541.66888676162716</v>
      </c>
      <c r="CE116" s="60">
        <f t="shared" si="94"/>
        <v>294.45557293177131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</v>
      </c>
      <c r="CT116" s="13">
        <f>IF('Données projet'!$A$140&gt;35,CT115+CS116-DB115,IF(A116&lt;'Données projet'!$A$140,$CQ$205^A116,IF(A116='Données projet'!$A$140,'Données projet'!$B$140,CT115+CS116-DB115)))</f>
        <v>320.49999999999966</v>
      </c>
      <c r="CU116" s="18">
        <f>CT116*VLOOKUP('Données projet'!$B$13,Paramètres!$A$1:$I$89,3,0)*VLOOKUP('Données projet'!$B$13,Paramètres!$A$1:$I$89,5,0)</f>
        <v>344.98619999999966</v>
      </c>
      <c r="CV116" s="14">
        <f t="shared" si="95"/>
        <v>80.529252393113296</v>
      </c>
      <c r="CW116" s="22">
        <f t="shared" si="67"/>
        <v>741.10607958467165</v>
      </c>
      <c r="CX116" s="60">
        <f t="shared" si="68"/>
        <v>1034.439412918005</v>
      </c>
      <c r="CY116" s="60">
        <f ca="1">AVERAGE(OFFSET($CX$3,0,0,'Données projet'!$E$13+1,1))-AVERAGE(OFFSET($H$3,0,0,'Données projet'!$E$13+1,1))</f>
        <v>597.75551942969628</v>
      </c>
      <c r="CZ116" s="60">
        <f t="shared" si="96"/>
        <v>322.81767004794284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324.99999999999966</v>
      </c>
      <c r="O117" s="14">
        <f>N117*VLOOKUP('Données projet'!$B$9,Paramètres!$A$1:$I$89,3,0)*VLOOKUP('Données projet'!$B$9,Paramètres!$A$1:$I$89,5,0)</f>
        <v>294.05999999999972</v>
      </c>
      <c r="P117" s="14">
        <f t="shared" si="87"/>
        <v>69.929765653573313</v>
      </c>
      <c r="Q117" s="22">
        <f t="shared" si="107"/>
        <v>633.94884184663977</v>
      </c>
      <c r="R117" s="60">
        <f t="shared" si="55"/>
        <v>927.28217517997314</v>
      </c>
      <c r="S117" s="60">
        <f ca="1">AVERAGE(OFFSET($R$3,0,0,'Données projet'!$E$9+1,1))-AVERAGE(OFFSET($H$3,0,0,'Données projet'!$E$9+1,1))</f>
        <v>509.56241660612449</v>
      </c>
      <c r="T117" s="60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324.99999999999966</v>
      </c>
      <c r="AJ117" s="14">
        <f>AI117*VLOOKUP('Données projet'!$B$10,Paramètres!$A$1:$I$89,3,0)*VLOOKUP('Données projet'!$B$10,Paramètres!$A$1:$I$89,5,0)</f>
        <v>329.54999999999967</v>
      </c>
      <c r="AK117" s="14">
        <f t="shared" si="89"/>
        <v>77.337003282690503</v>
      </c>
      <c r="AL117" s="22">
        <f t="shared" si="58"/>
        <v>708.66153071735198</v>
      </c>
      <c r="AM117" s="60">
        <f t="shared" si="59"/>
        <v>1001.9948640506852</v>
      </c>
      <c r="AN117" s="60">
        <f ca="1">AVERAGE(OFFSET($AM$3,0,0,'Données projet'!$E$10+1,1))-AVERAGE(OFFSET($H$3,0,0,'Données projet'!$E$10+1,1))</f>
        <v>565.72091871734051</v>
      </c>
      <c r="AO117" s="60">
        <f t="shared" si="90"/>
        <v>306.61893266146666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-6.2527760746888816E-13</v>
      </c>
      <c r="BE117" s="14">
        <f>BD117*VLOOKUP('Données projet'!$B$11,Paramètres!$A$1:$I$89,3,0)*VLOOKUP('Données projet'!$B$11,Paramètres!$A$1:$I$89,5,0)</f>
        <v>-2.9262992029543964E-13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246.64907095367749</v>
      </c>
      <c r="BJ117" s="60">
        <f t="shared" si="92"/>
        <v>145.34368562171613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</v>
      </c>
      <c r="BY117" s="13">
        <f>IF('Données projet'!$A$114&gt;35,BY116+BX117-CG116,IF(A117&lt;'Données projet'!$A$114,$BV$205^A117,IF(A117='Données projet'!$A$114,'Données projet'!$B$114,BY116+BX117-CG116)))</f>
        <v>324.99999999999966</v>
      </c>
      <c r="BZ117" s="14">
        <f>BY117*VLOOKUP('Données projet'!$B$12,Paramètres!$A$1:$I$89,3,0)*VLOOKUP('Données projet'!$B$12,Paramètres!$A$1:$I$89,5,0)</f>
        <v>314.33999999999969</v>
      </c>
      <c r="CA117" s="14">
        <f t="shared" si="93"/>
        <v>74.174460221814144</v>
      </c>
      <c r="CB117" s="22">
        <f t="shared" si="64"/>
        <v>676.66268488632568</v>
      </c>
      <c r="CC117" s="60">
        <f t="shared" si="65"/>
        <v>969.99601821965894</v>
      </c>
      <c r="CD117" s="60">
        <f ca="1">AVERAGE(OFFSET($CC$3,0,0,'Données projet'!$E$12+1,1))-AVERAGE(OFFSET($H$3,0,0,'Données projet'!$E$12+1,1))</f>
        <v>541.66888676162716</v>
      </c>
      <c r="CE117" s="60">
        <f t="shared" si="94"/>
        <v>294.45557293177131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</v>
      </c>
      <c r="CT117" s="13">
        <f>IF('Données projet'!$A$140&gt;35,CT116+CS117-DB116,IF(A117&lt;'Données projet'!$A$140,$CQ$205^A117,IF(A117='Données projet'!$A$140,'Données projet'!$B$140,CT116+CS117-DB116)))</f>
        <v>324.99999999999966</v>
      </c>
      <c r="CU117" s="18">
        <f>CT117*VLOOKUP('Données projet'!$B$13,Paramètres!$A$1:$I$89,3,0)*VLOOKUP('Données projet'!$B$13,Paramètres!$A$1:$I$89,5,0)</f>
        <v>349.82999999999959</v>
      </c>
      <c r="CV117" s="14">
        <f t="shared" si="95"/>
        <v>81.527505482803846</v>
      </c>
      <c r="CW117" s="22">
        <f t="shared" si="67"/>
        <v>751.2809887158827</v>
      </c>
      <c r="CX117" s="60">
        <f t="shared" si="68"/>
        <v>1044.6143220492161</v>
      </c>
      <c r="CY117" s="60">
        <f ca="1">AVERAGE(OFFSET($CX$3,0,0,'Données projet'!$E$13+1,1))-AVERAGE(OFFSET($H$3,0,0,'Données projet'!$E$13+1,1))</f>
        <v>597.75551942969628</v>
      </c>
      <c r="CZ117" s="60">
        <f t="shared" si="96"/>
        <v>322.81767004794284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329.49999999999966</v>
      </c>
      <c r="O118" s="14">
        <f>N118*VLOOKUP('Données projet'!$B$9,Paramètres!$A$1:$I$89,3,0)*VLOOKUP('Données projet'!$B$9,Paramètres!$A$1:$I$89,5,0)</f>
        <v>298.13159999999965</v>
      </c>
      <c r="P118" s="14">
        <f t="shared" si="87"/>
        <v>70.784632764375971</v>
      </c>
      <c r="Q118" s="22">
        <f t="shared" si="107"/>
        <v>642.52910539795425</v>
      </c>
      <c r="R118" s="60">
        <f t="shared" si="55"/>
        <v>935.86243873128751</v>
      </c>
      <c r="S118" s="60">
        <f ca="1">AVERAGE(OFFSET($R$3,0,0,'Données projet'!$E$9+1,1))-AVERAGE(OFFSET($H$3,0,0,'Données projet'!$E$9+1,1))</f>
        <v>509.56241660612449</v>
      </c>
      <c r="T118" s="60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329.49999999999966</v>
      </c>
      <c r="AJ118" s="14">
        <f>AI118*VLOOKUP('Données projet'!$B$10,Paramètres!$A$1:$I$89,3,0)*VLOOKUP('Données projet'!$B$10,Paramètres!$A$1:$I$89,5,0)</f>
        <v>334.11299999999966</v>
      </c>
      <c r="AK118" s="14">
        <f t="shared" si="89"/>
        <v>78.282421302277868</v>
      </c>
      <c r="AL118" s="22">
        <f t="shared" si="58"/>
        <v>718.25535876813331</v>
      </c>
      <c r="AM118" s="60">
        <f t="shared" si="59"/>
        <v>1011.5886921014667</v>
      </c>
      <c r="AN118" s="60">
        <f ca="1">AVERAGE(OFFSET($AM$3,0,0,'Données projet'!$E$10+1,1))-AVERAGE(OFFSET($H$3,0,0,'Données projet'!$E$10+1,1))</f>
        <v>565.72091871734051</v>
      </c>
      <c r="AO118" s="60">
        <f t="shared" si="90"/>
        <v>306.61893266146666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-6.2527760746888816E-13</v>
      </c>
      <c r="BE118" s="14">
        <f>BD118*VLOOKUP('Données projet'!$B$11,Paramètres!$A$1:$I$89,3,0)*VLOOKUP('Données projet'!$B$11,Paramètres!$A$1:$I$89,5,0)</f>
        <v>-2.9262992029543964E-13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246.64907095367749</v>
      </c>
      <c r="BJ118" s="60">
        <f t="shared" si="92"/>
        <v>145.34368562171613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4.5</v>
      </c>
      <c r="BY118" s="13">
        <f>IF('Données projet'!$A$114&gt;35,BY117+BX118-CG117,IF(A118&lt;'Données projet'!$A$114,$BV$205^A118,IF(A118='Données projet'!$A$114,'Données projet'!$B$114,BY117+BX118-CG117)))</f>
        <v>329.49999999999966</v>
      </c>
      <c r="BZ118" s="14">
        <f>BY118*VLOOKUP('Données projet'!$B$12,Paramètres!$A$1:$I$89,3,0)*VLOOKUP('Données projet'!$B$12,Paramètres!$A$1:$I$89,5,0)</f>
        <v>318.69239999999968</v>
      </c>
      <c r="CA118" s="14">
        <f t="shared" si="93"/>
        <v>75.081217250277518</v>
      </c>
      <c r="CB118" s="22">
        <f t="shared" si="64"/>
        <v>685.8223833775661</v>
      </c>
      <c r="CC118" s="60">
        <f t="shared" si="65"/>
        <v>979.15571671089947</v>
      </c>
      <c r="CD118" s="60">
        <f ca="1">AVERAGE(OFFSET($CC$3,0,0,'Données projet'!$E$12+1,1))-AVERAGE(OFFSET($H$3,0,0,'Données projet'!$E$12+1,1))</f>
        <v>541.66888676162716</v>
      </c>
      <c r="CE118" s="60">
        <f t="shared" si="94"/>
        <v>294.45557293177131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4.5</v>
      </c>
      <c r="CT118" s="13">
        <f>IF('Données projet'!$A$140&gt;35,CT117+CS118-DB117,IF(A118&lt;'Données projet'!$A$140,$CQ$205^A118,IF(A118='Données projet'!$A$140,'Données projet'!$B$140,CT117+CS118-DB117)))</f>
        <v>329.49999999999966</v>
      </c>
      <c r="CU118" s="18">
        <f>CT118*VLOOKUP('Données projet'!$B$13,Paramètres!$A$1:$I$89,3,0)*VLOOKUP('Données projet'!$B$13,Paramètres!$A$1:$I$89,5,0)</f>
        <v>354.67379999999957</v>
      </c>
      <c r="CV118" s="14">
        <f t="shared" si="95"/>
        <v>82.524150937162958</v>
      </c>
      <c r="CW118" s="22">
        <f t="shared" si="67"/>
        <v>761.45309788222482</v>
      </c>
      <c r="CX118" s="60">
        <f t="shared" si="68"/>
        <v>1054.7864312155582</v>
      </c>
      <c r="CY118" s="60">
        <f ca="1">AVERAGE(OFFSET($CX$3,0,0,'Données projet'!$E$13+1,1))-AVERAGE(OFFSET($H$3,0,0,'Données projet'!$E$13+1,1))</f>
        <v>597.75551942969628</v>
      </c>
      <c r="CZ118" s="60">
        <f t="shared" si="96"/>
        <v>322.81767004794284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333.99999999999966</v>
      </c>
      <c r="O119" s="14">
        <f>N119*VLOOKUP('Données projet'!$B$9,Paramètres!$A$1:$I$89,3,0)*VLOOKUP('Données projet'!$B$9,Paramètres!$A$1:$I$89,5,0)</f>
        <v>302.2031999999997</v>
      </c>
      <c r="P119" s="14">
        <f t="shared" si="87"/>
        <v>71.638141943842228</v>
      </c>
      <c r="Q119" s="22">
        <f t="shared" si="107"/>
        <v>651.1070038855247</v>
      </c>
      <c r="R119" s="60">
        <f t="shared" si="55"/>
        <v>944.44033721885808</v>
      </c>
      <c r="S119" s="60">
        <f ca="1">AVERAGE(OFFSET($R$3,0,0,'Données projet'!$E$9+1,1))-AVERAGE(OFFSET($H$3,0,0,'Données projet'!$E$9+1,1))</f>
        <v>509.56241660612449</v>
      </c>
      <c r="T119" s="60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333.99999999999966</v>
      </c>
      <c r="AJ119" s="14">
        <f>AI119*VLOOKUP('Données projet'!$B$10,Paramètres!$A$1:$I$89,3,0)*VLOOKUP('Données projet'!$B$10,Paramètres!$A$1:$I$89,5,0)</f>
        <v>338.6759999999997</v>
      </c>
      <c r="AK119" s="14">
        <f t="shared" si="89"/>
        <v>79.226337553065648</v>
      </c>
      <c r="AL119" s="22">
        <f t="shared" si="58"/>
        <v>727.84657123825548</v>
      </c>
      <c r="AM119" s="60">
        <f t="shared" si="59"/>
        <v>1021.1799045715888</v>
      </c>
      <c r="AN119" s="60">
        <f ca="1">AVERAGE(OFFSET($AM$3,0,0,'Données projet'!$E$10+1,1))-AVERAGE(OFFSET($H$3,0,0,'Données projet'!$E$10+1,1))</f>
        <v>565.72091871734051</v>
      </c>
      <c r="AO119" s="60">
        <f t="shared" si="90"/>
        <v>306.61893266146666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-6.2527760746888816E-13</v>
      </c>
      <c r="BE119" s="14">
        <f>BD119*VLOOKUP('Données projet'!$B$11,Paramètres!$A$1:$I$89,3,0)*VLOOKUP('Données projet'!$B$11,Paramètres!$A$1:$I$89,5,0)</f>
        <v>-2.9262992029543964E-13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246.64907095367749</v>
      </c>
      <c r="BJ119" s="60">
        <f t="shared" si="92"/>
        <v>145.34368562171613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333.99999999999966</v>
      </c>
      <c r="BZ119" s="14">
        <f>BY119*VLOOKUP('Données projet'!$B$12,Paramètres!$A$1:$I$89,3,0)*VLOOKUP('Données projet'!$B$12,Paramètres!$A$1:$I$89,5,0)</f>
        <v>323.04479999999967</v>
      </c>
      <c r="CA119" s="14">
        <f t="shared" si="93"/>
        <v>75.986533921791761</v>
      </c>
      <c r="CB119" s="22">
        <f t="shared" si="64"/>
        <v>694.97957324712013</v>
      </c>
      <c r="CC119" s="60">
        <f t="shared" si="65"/>
        <v>988.3129065804535</v>
      </c>
      <c r="CD119" s="60">
        <f ca="1">AVERAGE(OFFSET($CC$3,0,0,'Données projet'!$E$12+1,1))-AVERAGE(OFFSET($H$3,0,0,'Données projet'!$E$12+1,1))</f>
        <v>541.66888676162716</v>
      </c>
      <c r="CE119" s="60">
        <f t="shared" si="94"/>
        <v>294.45557293177131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4.5</v>
      </c>
      <c r="CT119" s="13">
        <f>IF('Données projet'!$A$140&gt;35,CT118+CS119-DB118,IF(A119&lt;'Données projet'!$A$140,$CQ$205^A119,IF(A119='Données projet'!$A$140,'Données projet'!$B$140,CT118+CS119-DB118)))</f>
        <v>333.99999999999966</v>
      </c>
      <c r="CU119" s="18">
        <f>CT119*VLOOKUP('Données projet'!$B$13,Paramètres!$A$1:$I$89,3,0)*VLOOKUP('Données projet'!$B$13,Paramètres!$A$1:$I$89,5,0)</f>
        <v>359.51759999999962</v>
      </c>
      <c r="CV119" s="14">
        <f t="shared" si="95"/>
        <v>83.519213249444618</v>
      </c>
      <c r="CW119" s="22">
        <f t="shared" si="67"/>
        <v>771.62244974278201</v>
      </c>
      <c r="CX119" s="60">
        <f t="shared" si="68"/>
        <v>1064.9557830761153</v>
      </c>
      <c r="CY119" s="60">
        <f ca="1">AVERAGE(OFFSET($CX$3,0,0,'Données projet'!$E$13+1,1))-AVERAGE(OFFSET($H$3,0,0,'Données projet'!$E$13+1,1))</f>
        <v>597.75551942969628</v>
      </c>
      <c r="CZ119" s="60">
        <f t="shared" si="96"/>
        <v>322.81767004794284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338.49999999999966</v>
      </c>
      <c r="O120" s="14">
        <f>N120*VLOOKUP('Données projet'!$B$9,Paramètres!$A$1:$I$89,3,0)*VLOOKUP('Données projet'!$B$9,Paramètres!$A$1:$I$89,5,0)</f>
        <v>306.27479999999969</v>
      </c>
      <c r="P120" s="14">
        <f t="shared" si="87"/>
        <v>72.490313602282981</v>
      </c>
      <c r="Q120" s="22">
        <f t="shared" si="107"/>
        <v>659.68257285730897</v>
      </c>
      <c r="R120" s="60">
        <f t="shared" si="55"/>
        <v>953.01590619064223</v>
      </c>
      <c r="S120" s="60">
        <f ca="1">AVERAGE(OFFSET($R$3,0,0,'Données projet'!$E$9+1,1))-AVERAGE(OFFSET($H$3,0,0,'Données projet'!$E$9+1,1))</f>
        <v>509.56241660612449</v>
      </c>
      <c r="T120" s="60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338.49999999999966</v>
      </c>
      <c r="AJ120" s="14">
        <f>AI120*VLOOKUP('Données projet'!$B$10,Paramètres!$A$1:$I$89,3,0)*VLOOKUP('Données projet'!$B$10,Paramètres!$A$1:$I$89,5,0)</f>
        <v>343.23899999999969</v>
      </c>
      <c r="AK120" s="14">
        <f t="shared" si="89"/>
        <v>80.168774607305735</v>
      </c>
      <c r="AL120" s="22">
        <f t="shared" si="58"/>
        <v>737.43520744105683</v>
      </c>
      <c r="AM120" s="60">
        <f t="shared" si="59"/>
        <v>1030.7685407743902</v>
      </c>
      <c r="AN120" s="60">
        <f ca="1">AVERAGE(OFFSET($AM$3,0,0,'Données projet'!$E$10+1,1))-AVERAGE(OFFSET($H$3,0,0,'Données projet'!$E$10+1,1))</f>
        <v>565.72091871734051</v>
      </c>
      <c r="AO120" s="60">
        <f t="shared" si="90"/>
        <v>306.61893266146666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-6.2527760746888816E-13</v>
      </c>
      <c r="BE120" s="14">
        <f>BD120*VLOOKUP('Données projet'!$B$11,Paramètres!$A$1:$I$89,3,0)*VLOOKUP('Données projet'!$B$11,Paramètres!$A$1:$I$89,5,0)</f>
        <v>-2.9262992029543964E-13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246.64907095367749</v>
      </c>
      <c r="BJ120" s="60">
        <f t="shared" si="92"/>
        <v>145.34368562171613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338.49999999999966</v>
      </c>
      <c r="BZ120" s="14">
        <f>BY120*VLOOKUP('Données projet'!$B$12,Paramètres!$A$1:$I$89,3,0)*VLOOKUP('Données projet'!$B$12,Paramètres!$A$1:$I$89,5,0)</f>
        <v>327.39719999999966</v>
      </c>
      <c r="CA120" s="14">
        <f t="shared" si="93"/>
        <v>76.890431885561796</v>
      </c>
      <c r="CB120" s="22">
        <f t="shared" si="64"/>
        <v>704.1342922006861</v>
      </c>
      <c r="CC120" s="60">
        <f t="shared" si="65"/>
        <v>997.46762553401936</v>
      </c>
      <c r="CD120" s="60">
        <f ca="1">AVERAGE(OFFSET($CC$3,0,0,'Données projet'!$E$12+1,1))-AVERAGE(OFFSET($H$3,0,0,'Données projet'!$E$12+1,1))</f>
        <v>541.66888676162716</v>
      </c>
      <c r="CE120" s="60">
        <f t="shared" si="94"/>
        <v>294.45557293177131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4.5</v>
      </c>
      <c r="CT120" s="13">
        <f>IF('Données projet'!$A$140&gt;35,CT119+CS120-DB119,IF(A120&lt;'Données projet'!$A$140,$CQ$205^A120,IF(A120='Données projet'!$A$140,'Données projet'!$B$140,CT119+CS120-DB119)))</f>
        <v>338.49999999999966</v>
      </c>
      <c r="CU120" s="18">
        <f>CT120*VLOOKUP('Données projet'!$B$13,Paramètres!$A$1:$I$89,3,0)*VLOOKUP('Données projet'!$B$13,Paramètres!$A$1:$I$89,5,0)</f>
        <v>364.36139999999961</v>
      </c>
      <c r="CV120" s="14">
        <f t="shared" si="95"/>
        <v>84.512716214977203</v>
      </c>
      <c r="CW120" s="22">
        <f t="shared" si="67"/>
        <v>781.7890857410847</v>
      </c>
      <c r="CX120" s="60">
        <f t="shared" si="68"/>
        <v>1075.1224190744181</v>
      </c>
      <c r="CY120" s="60">
        <f ca="1">AVERAGE(OFFSET($CX$3,0,0,'Données projet'!$E$13+1,1))-AVERAGE(OFFSET($H$3,0,0,'Données projet'!$E$13+1,1))</f>
        <v>597.75551942969628</v>
      </c>
      <c r="CZ120" s="60">
        <f t="shared" si="96"/>
        <v>322.81767004794284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342.99999999999966</v>
      </c>
      <c r="O121" s="14">
        <f>N121*VLOOKUP('Données projet'!$B$9,Paramètres!$A$1:$I$89,3,0)*VLOOKUP('Données projet'!$B$9,Paramètres!$A$1:$I$89,5,0)</f>
        <v>310.34639999999968</v>
      </c>
      <c r="P121" s="14">
        <f t="shared" si="87"/>
        <v>73.341167576152998</v>
      </c>
      <c r="Q121" s="22">
        <f t="shared" si="107"/>
        <v>668.25584686179923</v>
      </c>
      <c r="R121" s="60">
        <f t="shared" si="55"/>
        <v>961.58918019513249</v>
      </c>
      <c r="S121" s="60">
        <f ca="1">AVERAGE(OFFSET($R$3,0,0,'Données projet'!$E$9+1,1))-AVERAGE(OFFSET($H$3,0,0,'Données projet'!$E$9+1,1))</f>
        <v>509.56241660612449</v>
      </c>
      <c r="T121" s="60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342.99999999999966</v>
      </c>
      <c r="AJ121" s="14">
        <f>AI121*VLOOKUP('Données projet'!$B$10,Paramètres!$A$1:$I$89,3,0)*VLOOKUP('Données projet'!$B$10,Paramètres!$A$1:$I$89,5,0)</f>
        <v>347.80199999999968</v>
      </c>
      <c r="AK121" s="14">
        <f t="shared" si="89"/>
        <v>81.109754402608502</v>
      </c>
      <c r="AL121" s="22">
        <f t="shared" si="58"/>
        <v>747.02130558454246</v>
      </c>
      <c r="AM121" s="60">
        <f t="shared" si="59"/>
        <v>1040.3546389178757</v>
      </c>
      <c r="AN121" s="60">
        <f ca="1">AVERAGE(OFFSET($AM$3,0,0,'Données projet'!$E$10+1,1))-AVERAGE(OFFSET($H$3,0,0,'Données projet'!$E$10+1,1))</f>
        <v>565.72091871734051</v>
      </c>
      <c r="AO121" s="60">
        <f t="shared" si="90"/>
        <v>306.61893266146666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-6.2527760746888816E-13</v>
      </c>
      <c r="BE121" s="14">
        <f>BD121*VLOOKUP('Données projet'!$B$11,Paramètres!$A$1:$I$89,3,0)*VLOOKUP('Données projet'!$B$11,Paramètres!$A$1:$I$89,5,0)</f>
        <v>-2.9262992029543964E-13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246.64907095367749</v>
      </c>
      <c r="BJ121" s="60">
        <f t="shared" si="92"/>
        <v>145.34368562171613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342.99999999999966</v>
      </c>
      <c r="BZ121" s="14">
        <f>BY121*VLOOKUP('Données projet'!$B$12,Paramètres!$A$1:$I$89,3,0)*VLOOKUP('Données projet'!$B$12,Paramètres!$A$1:$I$89,5,0)</f>
        <v>331.7495999999997</v>
      </c>
      <c r="CA121" s="14">
        <f t="shared" si="93"/>
        <v>77.792932182102746</v>
      </c>
      <c r="CB121" s="22">
        <f t="shared" si="64"/>
        <v>713.28657688382839</v>
      </c>
      <c r="CC121" s="60">
        <f t="shared" si="65"/>
        <v>1006.6199102171618</v>
      </c>
      <c r="CD121" s="60">
        <f ca="1">AVERAGE(OFFSET($CC$3,0,0,'Données projet'!$E$12+1,1))-AVERAGE(OFFSET($H$3,0,0,'Données projet'!$E$12+1,1))</f>
        <v>541.66888676162716</v>
      </c>
      <c r="CE121" s="60">
        <f t="shared" si="94"/>
        <v>294.45557293177131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4.5</v>
      </c>
      <c r="CT121" s="13">
        <f>IF('Données projet'!$A$140&gt;35,CT120+CS121-DB120,IF(A121&lt;'Données projet'!$A$140,$CQ$205^A121,IF(A121='Données projet'!$A$140,'Données projet'!$B$140,CT120+CS121-DB120)))</f>
        <v>342.99999999999966</v>
      </c>
      <c r="CU121" s="18">
        <f>CT121*VLOOKUP('Données projet'!$B$13,Paramètres!$A$1:$I$89,3,0)*VLOOKUP('Données projet'!$B$13,Paramètres!$A$1:$I$89,5,0)</f>
        <v>369.20519999999965</v>
      </c>
      <c r="CV121" s="14">
        <f t="shared" si="95"/>
        <v>85.504682960059569</v>
      </c>
      <c r="CW121" s="22">
        <f t="shared" si="67"/>
        <v>791.95304615543637</v>
      </c>
      <c r="CX121" s="60">
        <f t="shared" si="68"/>
        <v>1085.2863794887696</v>
      </c>
      <c r="CY121" s="60">
        <f ca="1">AVERAGE(OFFSET($CX$3,0,0,'Données projet'!$E$13+1,1))-AVERAGE(OFFSET($H$3,0,0,'Données projet'!$E$13+1,1))</f>
        <v>597.75551942969628</v>
      </c>
      <c r="CZ121" s="60">
        <f t="shared" si="96"/>
        <v>322.81767004794284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347.49999999999966</v>
      </c>
      <c r="O122" s="14">
        <f>N122*VLOOKUP('Données projet'!$B$9,Paramètres!$A$1:$I$89,3,0)*VLOOKUP('Données projet'!$B$9,Paramètres!$A$1:$I$89,5,0)</f>
        <v>314.41799999999967</v>
      </c>
      <c r="P122" s="14">
        <f t="shared" si="87"/>
        <v>74.190723151497266</v>
      </c>
      <c r="Q122" s="22">
        <f t="shared" si="107"/>
        <v>676.82685948885705</v>
      </c>
      <c r="R122" s="60">
        <f t="shared" si="55"/>
        <v>970.16019282219031</v>
      </c>
      <c r="S122" s="60">
        <f ca="1">AVERAGE(OFFSET($R$3,0,0,'Données projet'!$E$9+1,1))-AVERAGE(OFFSET($H$3,0,0,'Données projet'!$E$9+1,1))</f>
        <v>509.56241660612449</v>
      </c>
      <c r="T122" s="60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347.49999999999966</v>
      </c>
      <c r="AJ122" s="14">
        <f>AI122*VLOOKUP('Données projet'!$B$10,Paramètres!$A$1:$I$89,3,0)*VLOOKUP('Données projet'!$B$10,Paramètres!$A$1:$I$89,5,0)</f>
        <v>352.36499999999967</v>
      </c>
      <c r="AK122" s="14">
        <f t="shared" si="89"/>
        <v>82.049298267873496</v>
      </c>
      <c r="AL122" s="22">
        <f t="shared" si="58"/>
        <v>756.60490281654575</v>
      </c>
      <c r="AM122" s="60">
        <f t="shared" si="59"/>
        <v>1049.938236149879</v>
      </c>
      <c r="AN122" s="60">
        <f ca="1">AVERAGE(OFFSET($AM$3,0,0,'Données projet'!$E$10+1,1))-AVERAGE(OFFSET($H$3,0,0,'Données projet'!$E$10+1,1))</f>
        <v>565.72091871734051</v>
      </c>
      <c r="AO122" s="60">
        <f t="shared" si="90"/>
        <v>306.61893266146666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-6.2527760746888816E-13</v>
      </c>
      <c r="BE122" s="14">
        <f>BD122*VLOOKUP('Données projet'!$B$11,Paramètres!$A$1:$I$89,3,0)*VLOOKUP('Données projet'!$B$11,Paramètres!$A$1:$I$89,5,0)</f>
        <v>-2.9262992029543964E-13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246.64907095367749</v>
      </c>
      <c r="BJ122" s="60">
        <f t="shared" si="92"/>
        <v>145.34368562171613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347.49999999999966</v>
      </c>
      <c r="BZ122" s="14">
        <f>BY122*VLOOKUP('Données projet'!$B$12,Paramètres!$A$1:$I$89,3,0)*VLOOKUP('Données projet'!$B$12,Paramètres!$A$1:$I$89,5,0)</f>
        <v>336.10199999999969</v>
      </c>
      <c r="CA122" s="14">
        <f t="shared" si="93"/>
        <v>78.694055268111242</v>
      </c>
      <c r="CB122" s="22">
        <f t="shared" si="64"/>
        <v>722.4364629252932</v>
      </c>
      <c r="CC122" s="60">
        <f t="shared" si="65"/>
        <v>1015.7697962586265</v>
      </c>
      <c r="CD122" s="60">
        <f ca="1">AVERAGE(OFFSET($CC$3,0,0,'Données projet'!$E$12+1,1))-AVERAGE(OFFSET($H$3,0,0,'Données projet'!$E$12+1,1))</f>
        <v>541.66888676162716</v>
      </c>
      <c r="CE122" s="60">
        <f t="shared" si="94"/>
        <v>294.45557293177131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4.5</v>
      </c>
      <c r="CT122" s="13">
        <f>IF('Données projet'!$A$140&gt;35,CT121+CS122-DB121,IF(A122&lt;'Données projet'!$A$140,$CQ$205^A122,IF(A122='Données projet'!$A$140,'Données projet'!$B$140,CT121+CS122-DB121)))</f>
        <v>347.49999999999966</v>
      </c>
      <c r="CU122" s="18">
        <f>CT122*VLOOKUP('Données projet'!$B$13,Paramètres!$A$1:$I$89,3,0)*VLOOKUP('Données projet'!$B$13,Paramètres!$A$1:$I$89,5,0)</f>
        <v>374.04899999999964</v>
      </c>
      <c r="CV122" s="14">
        <f t="shared" si="95"/>
        <v>86.495135969296754</v>
      </c>
      <c r="CW122" s="22">
        <f t="shared" si="67"/>
        <v>802.11437014652449</v>
      </c>
      <c r="CX122" s="60">
        <f t="shared" si="68"/>
        <v>1095.4477034798579</v>
      </c>
      <c r="CY122" s="60">
        <f ca="1">AVERAGE(OFFSET($CX$3,0,0,'Données projet'!$E$13+1,1))-AVERAGE(OFFSET($H$3,0,0,'Données projet'!$E$13+1,1))</f>
        <v>597.75551942969628</v>
      </c>
      <c r="CZ122" s="60">
        <f t="shared" si="96"/>
        <v>322.81767004794284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351.99999999999966</v>
      </c>
      <c r="O123" s="14">
        <f>N123*VLOOKUP('Données projet'!$B$9,Paramètres!$A$1:$I$89,3,0)*VLOOKUP('Données projet'!$B$9,Paramètres!$A$1:$I$89,5,0)</f>
        <v>318.48959999999971</v>
      </c>
      <c r="P123" s="14">
        <f t="shared" si="87"/>
        <v>75.038999086150227</v>
      </c>
      <c r="Q123" s="22">
        <f t="shared" si="107"/>
        <v>685.39564340837785</v>
      </c>
      <c r="R123" s="60">
        <f t="shared" si="55"/>
        <v>978.72897674171122</v>
      </c>
      <c r="S123" s="60">
        <f ca="1">AVERAGE(OFFSET($R$3,0,0,'Données projet'!$E$9+1,1))-AVERAGE(OFFSET($H$3,0,0,'Données projet'!$E$9+1,1))</f>
        <v>509.56241660612449</v>
      </c>
      <c r="T123" s="60">
        <f t="shared" si="88"/>
        <v>278.21741231699929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351.99999999999966</v>
      </c>
      <c r="AJ123" s="14">
        <f>AI123*VLOOKUP('Données projet'!$B$10,Paramètres!$A$1:$I$89,3,0)*VLOOKUP('Données projet'!$B$10,Paramètres!$A$1:$I$89,5,0)</f>
        <v>356.92799999999966</v>
      </c>
      <c r="AK123" s="14">
        <f t="shared" si="89"/>
        <v>82.987426947838912</v>
      </c>
      <c r="AL123" s="22">
        <f t="shared" si="58"/>
        <v>766.18603526748541</v>
      </c>
      <c r="AM123" s="60">
        <f t="shared" si="59"/>
        <v>1059.5193686008188</v>
      </c>
      <c r="AN123" s="60">
        <f ca="1">AVERAGE(OFFSET($AM$3,0,0,'Données projet'!$E$10+1,1))-AVERAGE(OFFSET($H$3,0,0,'Données projet'!$E$10+1,1))</f>
        <v>565.72091871734051</v>
      </c>
      <c r="AO123" s="60">
        <f t="shared" si="90"/>
        <v>306.61893266146666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47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-6.2527760746888816E-13</v>
      </c>
      <c r="BE123" s="14">
        <f>BD123*VLOOKUP('Données projet'!$B$11,Paramètres!$A$1:$I$89,3,0)*VLOOKUP('Données projet'!$B$11,Paramètres!$A$1:$I$89,5,0)</f>
        <v>-2.9262992029543964E-13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246.64907095367749</v>
      </c>
      <c r="BJ123" s="60">
        <f t="shared" si="92"/>
        <v>145.34368562171613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352</v>
      </c>
      <c r="BW123" s="13">
        <f>VLOOKUP(A123,'Données projet'!$A$113:$I$133,9,0)</f>
        <v>4.5</v>
      </c>
      <c r="BX123" s="13">
        <f t="array" ref="BX123">INDEX(BW:BW,MIN(IF(ISNUMBER(BW123:BW319),ROW(BW123:BW319),"")))</f>
        <v>4.5</v>
      </c>
      <c r="BY123" s="13">
        <f>IF('Données projet'!$A$114&gt;35,BY122+BX123-CG122,IF(A123&lt;'Données projet'!$A$114,$BV$205^A123,IF(A123='Données projet'!$A$114,'Données projet'!$B$114,BY122+BX123-CG122)))</f>
        <v>351.99999999999966</v>
      </c>
      <c r="BZ123" s="14">
        <f>BY123*VLOOKUP('Données projet'!$B$12,Paramètres!$A$1:$I$89,3,0)*VLOOKUP('Données projet'!$B$12,Paramètres!$A$1:$I$89,5,0)</f>
        <v>340.45439999999968</v>
      </c>
      <c r="CA123" s="14">
        <f t="shared" si="93"/>
        <v>79.593821040010596</v>
      </c>
      <c r="CB123" s="22">
        <f t="shared" si="64"/>
        <v>731.58398497801784</v>
      </c>
      <c r="CC123" s="60">
        <f t="shared" si="65"/>
        <v>1024.9173183113512</v>
      </c>
      <c r="CD123" s="60">
        <f ca="1">AVERAGE(OFFSET($CC$3,0,0,'Données projet'!$E$12+1,1))-AVERAGE(OFFSET($H$3,0,0,'Données projet'!$E$12+1,1))</f>
        <v>541.66888676162716</v>
      </c>
      <c r="CE123" s="60">
        <f t="shared" si="94"/>
        <v>294.45557293177131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47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352</v>
      </c>
      <c r="CR123" s="13">
        <f>VLOOKUP(A123,'Données projet'!$A$139:$I$159,9,0)</f>
        <v>4.5</v>
      </c>
      <c r="CS123" s="13">
        <f t="array" ref="CS123">INDEX(CR:CR,MIN(IF(ISNUMBER(CR123:CR319),ROW(CR123:CR319),"")))</f>
        <v>4.5</v>
      </c>
      <c r="CT123" s="13">
        <f>IF('Données projet'!$A$140&gt;35,CT122+CS123-DB122,IF(A123&lt;'Données projet'!$A$140,$CQ$205^A123,IF(A123='Données projet'!$A$140,'Données projet'!$B$140,CT122+CS123-DB122)))</f>
        <v>351.99999999999966</v>
      </c>
      <c r="CU123" s="18">
        <f>CT123*VLOOKUP('Données projet'!$B$13,Paramètres!$A$1:$I$89,3,0)*VLOOKUP('Données projet'!$B$13,Paramètres!$A$1:$I$89,5,0)</f>
        <v>378.89279999999962</v>
      </c>
      <c r="CV123" s="14">
        <f t="shared" si="95"/>
        <v>87.484097111479699</v>
      </c>
      <c r="CW123" s="22">
        <f t="shared" si="67"/>
        <v>812.27309580249312</v>
      </c>
      <c r="CX123" s="60">
        <f t="shared" si="68"/>
        <v>1105.6064291358264</v>
      </c>
      <c r="CY123" s="60">
        <f ca="1">AVERAGE(OFFSET($CX$3,0,0,'Données projet'!$E$13+1,1))-AVERAGE(OFFSET($H$3,0,0,'Données projet'!$E$13+1,1))</f>
        <v>597.75551942969628</v>
      </c>
      <c r="CZ123" s="60">
        <f t="shared" si="96"/>
        <v>322.81767004794284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47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309.19999999999965</v>
      </c>
      <c r="O124" s="14">
        <f>N124*VLOOKUP('Données projet'!$B$9,Paramètres!$A$1:$I$89,3,0)*VLOOKUP('Données projet'!$B$9,Paramètres!$A$1:$I$89,5,0)</f>
        <v>279.76415999999966</v>
      </c>
      <c r="P124" s="14">
        <f t="shared" si="87"/>
        <v>66.917166665547271</v>
      </c>
      <c r="Q124" s="22">
        <f t="shared" si="107"/>
        <v>603.8033106091608</v>
      </c>
      <c r="R124" s="60">
        <f t="shared" si="55"/>
        <v>897.13664394249417</v>
      </c>
      <c r="S124" s="60">
        <f ca="1">AVERAGE(OFFSET($R$3,0,0,'Données projet'!$E$9+1,1))-AVERAGE(OFFSET($H$3,0,0,'Données projet'!$E$9+1,1))</f>
        <v>509.56241660612449</v>
      </c>
      <c r="T124" s="60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309.19999999999965</v>
      </c>
      <c r="AJ124" s="14">
        <f>AI124*VLOOKUP('Données projet'!$B$10,Paramètres!$A$1:$I$89,3,0)*VLOOKUP('Données projet'!$B$10,Paramètres!$A$1:$I$89,5,0)</f>
        <v>313.52879999999971</v>
      </c>
      <c r="AK124" s="14">
        <f t="shared" si="89"/>
        <v>74.005297883010172</v>
      </c>
      <c r="AL124" s="22">
        <f t="shared" si="58"/>
        <v>674.95522047957547</v>
      </c>
      <c r="AM124" s="60">
        <f t="shared" si="59"/>
        <v>968.28855381290873</v>
      </c>
      <c r="AN124" s="60">
        <f ca="1">AVERAGE(OFFSET($AM$3,0,0,'Données projet'!$E$10+1,1))-AVERAGE(OFFSET($H$3,0,0,'Données projet'!$E$10+1,1))</f>
        <v>565.72091871734051</v>
      </c>
      <c r="AO124" s="60">
        <f t="shared" si="90"/>
        <v>306.61893266146666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-6.2527760746888816E-13</v>
      </c>
      <c r="BE124" s="14">
        <f>BD124*VLOOKUP('Données projet'!$B$11,Paramètres!$A$1:$I$89,3,0)*VLOOKUP('Données projet'!$B$11,Paramètres!$A$1:$I$89,5,0)</f>
        <v>-2.9262992029543964E-13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246.64907095367749</v>
      </c>
      <c r="BJ124" s="60">
        <f t="shared" si="92"/>
        <v>145.34368562171613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309.19999999999965</v>
      </c>
      <c r="BZ124" s="14">
        <f>BY124*VLOOKUP('Données projet'!$B$12,Paramètres!$A$1:$I$89,3,0)*VLOOKUP('Données projet'!$B$12,Paramètres!$A$1:$I$89,5,0)</f>
        <v>299.05823999999967</v>
      </c>
      <c r="CA124" s="14">
        <f t="shared" si="93"/>
        <v>70.978998293504489</v>
      </c>
      <c r="CB124" s="22">
        <f t="shared" si="64"/>
        <v>644.48152336118642</v>
      </c>
      <c r="CC124" s="60">
        <f t="shared" si="65"/>
        <v>937.81485669451968</v>
      </c>
      <c r="CD124" s="60">
        <f ca="1">AVERAGE(OFFSET($CC$3,0,0,'Données projet'!$E$12+1,1))-AVERAGE(OFFSET($H$3,0,0,'Données projet'!$E$12+1,1))</f>
        <v>541.66888676162716</v>
      </c>
      <c r="CE124" s="60">
        <f t="shared" si="94"/>
        <v>294.45557293177131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4.2</v>
      </c>
      <c r="CT124" s="13">
        <f>IF('Données projet'!$A$140&gt;35,CT123+CS124-DB123,IF(A124&lt;'Données projet'!$A$140,$CQ$205^A124,IF(A124='Données projet'!$A$140,'Données projet'!$B$140,CT123+CS124-DB123)))</f>
        <v>309.19999999999965</v>
      </c>
      <c r="CU124" s="18">
        <f>CT124*VLOOKUP('Données projet'!$B$13,Paramètres!$A$1:$I$89,3,0)*VLOOKUP('Données projet'!$B$13,Paramètres!$A$1:$I$89,5,0)</f>
        <v>332.8228799999996</v>
      </c>
      <c r="CV124" s="14">
        <f t="shared" si="95"/>
        <v>78.015271769187407</v>
      </c>
      <c r="CW124" s="22">
        <f t="shared" si="67"/>
        <v>715.54311433133398</v>
      </c>
      <c r="CX124" s="60">
        <f t="shared" si="68"/>
        <v>1008.8764476646672</v>
      </c>
      <c r="CY124" s="60">
        <f ca="1">AVERAGE(OFFSET($CX$3,0,0,'Données projet'!$E$13+1,1))-AVERAGE(OFFSET($H$3,0,0,'Données projet'!$E$13+1,1))</f>
        <v>597.75551942969628</v>
      </c>
      <c r="CZ124" s="60">
        <f t="shared" si="96"/>
        <v>322.81767004794284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313.39999999999964</v>
      </c>
      <c r="O125" s="14">
        <f>N125*VLOOKUP('Données projet'!$B$9,Paramètres!$A$1:$I$89,3,0)*VLOOKUP('Données projet'!$B$9,Paramètres!$A$1:$I$89,5,0)</f>
        <v>283.56431999999967</v>
      </c>
      <c r="P125" s="14">
        <f t="shared" si="87"/>
        <v>67.71969673023186</v>
      </c>
      <c r="Q125" s="22">
        <f t="shared" si="107"/>
        <v>611.81966247181992</v>
      </c>
      <c r="R125" s="60">
        <f t="shared" si="55"/>
        <v>905.1529958051533</v>
      </c>
      <c r="S125" s="60">
        <f ca="1">AVERAGE(OFFSET($R$3,0,0,'Données projet'!$E$9+1,1))-AVERAGE(OFFSET($H$3,0,0,'Données projet'!$E$9+1,1))</f>
        <v>509.56241660612449</v>
      </c>
      <c r="T125" s="60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313.39999999999964</v>
      </c>
      <c r="AJ125" s="14">
        <f>AI125*VLOOKUP('Données projet'!$B$10,Paramètres!$A$1:$I$89,3,0)*VLOOKUP('Données projet'!$B$10,Paramètres!$A$1:$I$89,5,0)</f>
        <v>317.78759999999966</v>
      </c>
      <c r="AK125" s="14">
        <f t="shared" si="89"/>
        <v>74.892835109352845</v>
      </c>
      <c r="AL125" s="22">
        <f t="shared" si="58"/>
        <v>683.9184244821223</v>
      </c>
      <c r="AM125" s="60">
        <f t="shared" si="59"/>
        <v>977.25175781545568</v>
      </c>
      <c r="AN125" s="60">
        <f ca="1">AVERAGE(OFFSET($AM$3,0,0,'Données projet'!$E$10+1,1))-AVERAGE(OFFSET($H$3,0,0,'Données projet'!$E$10+1,1))</f>
        <v>565.72091871734051</v>
      </c>
      <c r="AO125" s="60">
        <f t="shared" si="90"/>
        <v>306.61893266146666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-6.2527760746888816E-13</v>
      </c>
      <c r="BE125" s="14">
        <f>BD125*VLOOKUP('Données projet'!$B$11,Paramètres!$A$1:$I$89,3,0)*VLOOKUP('Données projet'!$B$11,Paramètres!$A$1:$I$89,5,0)</f>
        <v>-2.9262992029543964E-13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246.64907095367749</v>
      </c>
      <c r="BJ125" s="60">
        <f t="shared" si="92"/>
        <v>145.34368562171613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313.39999999999964</v>
      </c>
      <c r="BZ125" s="14">
        <f>BY125*VLOOKUP('Données projet'!$B$12,Paramètres!$A$1:$I$89,3,0)*VLOOKUP('Données projet'!$B$12,Paramètres!$A$1:$I$89,5,0)</f>
        <v>303.12047999999965</v>
      </c>
      <c r="CA125" s="14">
        <f t="shared" si="93"/>
        <v>71.830241448738988</v>
      </c>
      <c r="CB125" s="22">
        <f t="shared" si="64"/>
        <v>653.03917318988636</v>
      </c>
      <c r="CC125" s="60">
        <f t="shared" si="65"/>
        <v>946.37250652321973</v>
      </c>
      <c r="CD125" s="60">
        <f ca="1">AVERAGE(OFFSET($CC$3,0,0,'Données projet'!$E$12+1,1))-AVERAGE(OFFSET($H$3,0,0,'Données projet'!$E$12+1,1))</f>
        <v>541.66888676162716</v>
      </c>
      <c r="CE125" s="60">
        <f t="shared" si="94"/>
        <v>294.45557293177131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4.2</v>
      </c>
      <c r="CT125" s="13">
        <f>IF('Données projet'!$A$140&gt;35,CT124+CS125-DB124,IF(A125&lt;'Données projet'!$A$140,$CQ$205^A125,IF(A125='Données projet'!$A$140,'Données projet'!$B$140,CT124+CS125-DB124)))</f>
        <v>313.39999999999964</v>
      </c>
      <c r="CU125" s="18">
        <f>CT125*VLOOKUP('Données projet'!$B$13,Paramètres!$A$1:$I$89,3,0)*VLOOKUP('Données projet'!$B$13,Paramètres!$A$1:$I$89,5,0)</f>
        <v>337.34375999999958</v>
      </c>
      <c r="CV125" s="14">
        <f t="shared" si="95"/>
        <v>78.95090016200669</v>
      </c>
      <c r="CW125" s="22">
        <f t="shared" si="67"/>
        <v>725.04653311549419</v>
      </c>
      <c r="CX125" s="60">
        <f t="shared" si="68"/>
        <v>1018.3798664488274</v>
      </c>
      <c r="CY125" s="60">
        <f ca="1">AVERAGE(OFFSET($CX$3,0,0,'Données projet'!$E$13+1,1))-AVERAGE(OFFSET($H$3,0,0,'Données projet'!$E$13+1,1))</f>
        <v>597.75551942969628</v>
      </c>
      <c r="CZ125" s="60">
        <f t="shared" si="96"/>
        <v>322.81767004794284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317.59999999999962</v>
      </c>
      <c r="O126" s="14">
        <f>N126*VLOOKUP('Données projet'!$B$9,Paramètres!$A$1:$I$89,3,0)*VLOOKUP('Données projet'!$B$9,Paramètres!$A$1:$I$89,5,0)</f>
        <v>287.36447999999967</v>
      </c>
      <c r="P126" s="14">
        <f t="shared" si="87"/>
        <v>68.52097584579333</v>
      </c>
      <c r="Q126" s="22">
        <f t="shared" si="107"/>
        <v>619.83383559808942</v>
      </c>
      <c r="R126" s="60">
        <f t="shared" si="55"/>
        <v>913.16716893142279</v>
      </c>
      <c r="S126" s="60">
        <f ca="1">AVERAGE(OFFSET($R$3,0,0,'Données projet'!$E$9+1,1))-AVERAGE(OFFSET($H$3,0,0,'Données projet'!$E$9+1,1))</f>
        <v>509.56241660612449</v>
      </c>
      <c r="T126" s="60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317.59999999999962</v>
      </c>
      <c r="AJ126" s="14">
        <f>AI126*VLOOKUP('Données projet'!$B$10,Paramètres!$A$1:$I$89,3,0)*VLOOKUP('Données projet'!$B$10,Paramètres!$A$1:$I$89,5,0)</f>
        <v>322.04639999999966</v>
      </c>
      <c r="AK126" s="14">
        <f t="shared" si="89"/>
        <v>75.77898888108885</v>
      </c>
      <c r="AL126" s="22">
        <f t="shared" si="58"/>
        <v>692.87921896789578</v>
      </c>
      <c r="AM126" s="60">
        <f t="shared" si="59"/>
        <v>986.21255230122915</v>
      </c>
      <c r="AN126" s="60">
        <f ca="1">AVERAGE(OFFSET($AM$3,0,0,'Données projet'!$E$10+1,1))-AVERAGE(OFFSET($H$3,0,0,'Données projet'!$E$10+1,1))</f>
        <v>565.72091871734051</v>
      </c>
      <c r="AO126" s="60">
        <f t="shared" si="90"/>
        <v>306.61893266146666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-6.2527760746888816E-13</v>
      </c>
      <c r="BE126" s="14">
        <f>BD126*VLOOKUP('Données projet'!$B$11,Paramètres!$A$1:$I$89,3,0)*VLOOKUP('Données projet'!$B$11,Paramètres!$A$1:$I$89,5,0)</f>
        <v>-2.9262992029543964E-13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246.64907095367749</v>
      </c>
      <c r="BJ126" s="60">
        <f t="shared" si="92"/>
        <v>145.34368562171613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317.59999999999962</v>
      </c>
      <c r="BZ126" s="14">
        <f>BY126*VLOOKUP('Données projet'!$B$12,Paramètres!$A$1:$I$89,3,0)*VLOOKUP('Données projet'!$B$12,Paramètres!$A$1:$I$89,5,0)</f>
        <v>307.18271999999968</v>
      </c>
      <c r="CA126" s="14">
        <f t="shared" si="93"/>
        <v>72.680157722993556</v>
      </c>
      <c r="CB126" s="22">
        <f t="shared" si="64"/>
        <v>661.59451203421315</v>
      </c>
      <c r="CC126" s="60">
        <f t="shared" si="65"/>
        <v>954.92784536754652</v>
      </c>
      <c r="CD126" s="60">
        <f ca="1">AVERAGE(OFFSET($CC$3,0,0,'Données projet'!$E$12+1,1))-AVERAGE(OFFSET($H$3,0,0,'Données projet'!$E$12+1,1))</f>
        <v>541.66888676162716</v>
      </c>
      <c r="CE126" s="60">
        <f t="shared" si="94"/>
        <v>294.45557293177131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4.2</v>
      </c>
      <c r="CT126" s="13">
        <f>IF('Données projet'!$A$140&gt;35,CT125+CS126-DB125,IF(A126&lt;'Données projet'!$A$140,$CQ$205^A126,IF(A126='Données projet'!$A$140,'Données projet'!$B$140,CT125+CS126-DB125)))</f>
        <v>317.59999999999962</v>
      </c>
      <c r="CU126" s="18">
        <f>CT126*VLOOKUP('Données projet'!$B$13,Paramètres!$A$1:$I$89,3,0)*VLOOKUP('Données projet'!$B$13,Paramètres!$A$1:$I$89,5,0)</f>
        <v>341.86463999999955</v>
      </c>
      <c r="CV126" s="14">
        <f t="shared" si="95"/>
        <v>79.885070137790976</v>
      </c>
      <c r="CW126" s="22">
        <f t="shared" si="67"/>
        <v>734.54741182331838</v>
      </c>
      <c r="CX126" s="60">
        <f t="shared" si="68"/>
        <v>1027.8807451566518</v>
      </c>
      <c r="CY126" s="60">
        <f ca="1">AVERAGE(OFFSET($CX$3,0,0,'Données projet'!$E$13+1,1))-AVERAGE(OFFSET($H$3,0,0,'Données projet'!$E$13+1,1))</f>
        <v>597.75551942969628</v>
      </c>
      <c r="CZ126" s="60">
        <f t="shared" si="96"/>
        <v>322.81767004794284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321.79999999999961</v>
      </c>
      <c r="O127" s="14">
        <f>N127*VLOOKUP('Données projet'!$B$9,Paramètres!$A$1:$I$89,3,0)*VLOOKUP('Données projet'!$B$9,Paramètres!$A$1:$I$89,5,0)</f>
        <v>291.16463999999962</v>
      </c>
      <c r="P127" s="14">
        <f t="shared" si="87"/>
        <v>69.321022467464573</v>
      </c>
      <c r="Q127" s="22">
        <f t="shared" si="107"/>
        <v>627.84586213083344</v>
      </c>
      <c r="R127" s="60">
        <f t="shared" si="55"/>
        <v>921.1791954641667</v>
      </c>
      <c r="S127" s="60">
        <f ca="1">AVERAGE(OFFSET($R$3,0,0,'Données projet'!$E$9+1,1))-AVERAGE(OFFSET($H$3,0,0,'Données projet'!$E$9+1,1))</f>
        <v>509.56241660612449</v>
      </c>
      <c r="T127" s="60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321.79999999999961</v>
      </c>
      <c r="AJ127" s="14">
        <f>AI127*VLOOKUP('Données projet'!$B$10,Paramètres!$A$1:$I$89,3,0)*VLOOKUP('Données projet'!$B$10,Paramètres!$A$1:$I$89,5,0)</f>
        <v>326.30519999999962</v>
      </c>
      <c r="AK127" s="14">
        <f t="shared" si="89"/>
        <v>76.663779608302278</v>
      </c>
      <c r="AL127" s="22">
        <f t="shared" si="58"/>
        <v>701.83763948445903</v>
      </c>
      <c r="AM127" s="60">
        <f t="shared" si="59"/>
        <v>995.17097281779229</v>
      </c>
      <c r="AN127" s="60">
        <f ca="1">AVERAGE(OFFSET($AM$3,0,0,'Données projet'!$E$10+1,1))-AVERAGE(OFFSET($H$3,0,0,'Données projet'!$E$10+1,1))</f>
        <v>565.72091871734051</v>
      </c>
      <c r="AO127" s="60">
        <f t="shared" si="90"/>
        <v>306.61893266146666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-6.2527760746888816E-13</v>
      </c>
      <c r="BE127" s="14">
        <f>BD127*VLOOKUP('Données projet'!$B$11,Paramètres!$A$1:$I$89,3,0)*VLOOKUP('Données projet'!$B$11,Paramètres!$A$1:$I$89,5,0)</f>
        <v>-2.9262992029543964E-13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246.64907095367749</v>
      </c>
      <c r="BJ127" s="60">
        <f t="shared" si="92"/>
        <v>145.34368562171613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321.79999999999961</v>
      </c>
      <c r="BZ127" s="14">
        <f>BY127*VLOOKUP('Données projet'!$B$12,Paramètres!$A$1:$I$89,3,0)*VLOOKUP('Données projet'!$B$12,Paramètres!$A$1:$I$89,5,0)</f>
        <v>311.24495999999965</v>
      </c>
      <c r="CA127" s="14">
        <f t="shared" si="93"/>
        <v>73.528766691722723</v>
      </c>
      <c r="CB127" s="22">
        <f t="shared" si="64"/>
        <v>670.14757398808308</v>
      </c>
      <c r="CC127" s="60">
        <f t="shared" si="65"/>
        <v>963.48090732141645</v>
      </c>
      <c r="CD127" s="60">
        <f ca="1">AVERAGE(OFFSET($CC$3,0,0,'Données projet'!$E$12+1,1))-AVERAGE(OFFSET($H$3,0,0,'Données projet'!$E$12+1,1))</f>
        <v>541.66888676162716</v>
      </c>
      <c r="CE127" s="60">
        <f t="shared" si="94"/>
        <v>294.45557293177131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4.2</v>
      </c>
      <c r="CT127" s="13">
        <f>IF('Données projet'!$A$140&gt;35,CT126+CS127-DB126,IF(A127&lt;'Données projet'!$A$140,$CQ$205^A127,IF(A127='Données projet'!$A$140,'Données projet'!$B$140,CT126+CS127-DB126)))</f>
        <v>321.79999999999961</v>
      </c>
      <c r="CU127" s="18">
        <f>CT127*VLOOKUP('Données projet'!$B$13,Paramètres!$A$1:$I$89,3,0)*VLOOKUP('Données projet'!$B$13,Paramètres!$A$1:$I$89,5,0)</f>
        <v>346.38551999999959</v>
      </c>
      <c r="CV127" s="14">
        <f t="shared" si="95"/>
        <v>80.817803212543723</v>
      </c>
      <c r="CW127" s="22">
        <f t="shared" si="67"/>
        <v>744.04578792851282</v>
      </c>
      <c r="CX127" s="60">
        <f t="shared" si="68"/>
        <v>1037.3791212618462</v>
      </c>
      <c r="CY127" s="60">
        <f ca="1">AVERAGE(OFFSET($CX$3,0,0,'Données projet'!$E$13+1,1))-AVERAGE(OFFSET($H$3,0,0,'Données projet'!$E$13+1,1))</f>
        <v>597.75551942969628</v>
      </c>
      <c r="CZ127" s="60">
        <f t="shared" si="96"/>
        <v>322.81767004794284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325.9999999999996</v>
      </c>
      <c r="O128" s="14">
        <f>N128*VLOOKUP('Données projet'!$B$9,Paramètres!$A$1:$I$89,3,0)*VLOOKUP('Données projet'!$B$9,Paramètres!$A$1:$I$89,5,0)</f>
        <v>294.96479999999963</v>
      </c>
      <c r="P128" s="14">
        <f t="shared" si="87"/>
        <v>70.119854541045001</v>
      </c>
      <c r="Q128" s="22">
        <f t="shared" si="107"/>
        <v>635.85577332565276</v>
      </c>
      <c r="R128" s="60">
        <f t="shared" si="55"/>
        <v>929.18910665898602</v>
      </c>
      <c r="S128" s="60">
        <f ca="1">AVERAGE(OFFSET($R$3,0,0,'Données projet'!$E$9+1,1))-AVERAGE(OFFSET($H$3,0,0,'Données projet'!$E$9+1,1))</f>
        <v>509.56241660612449</v>
      </c>
      <c r="T128" s="60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325.9999999999996</v>
      </c>
      <c r="AJ128" s="14">
        <f>AI128*VLOOKUP('Données projet'!$B$10,Paramètres!$A$1:$I$89,3,0)*VLOOKUP('Données projet'!$B$10,Paramètres!$A$1:$I$89,5,0)</f>
        <v>330.56399999999962</v>
      </c>
      <c r="AK128" s="14">
        <f t="shared" si="89"/>
        <v>77.547227137682782</v>
      </c>
      <c r="AL128" s="22">
        <f t="shared" si="58"/>
        <v>710.79372059813011</v>
      </c>
      <c r="AM128" s="60">
        <f t="shared" si="59"/>
        <v>1004.1270539314635</v>
      </c>
      <c r="AN128" s="60">
        <f ca="1">AVERAGE(OFFSET($AM$3,0,0,'Données projet'!$E$10+1,1))-AVERAGE(OFFSET($H$3,0,0,'Données projet'!$E$10+1,1))</f>
        <v>565.72091871734051</v>
      </c>
      <c r="AO128" s="60">
        <f t="shared" si="90"/>
        <v>306.61893266146666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-6.2527760746888816E-13</v>
      </c>
      <c r="BE128" s="14">
        <f>BD128*VLOOKUP('Données projet'!$B$11,Paramètres!$A$1:$I$89,3,0)*VLOOKUP('Données projet'!$B$11,Paramètres!$A$1:$I$89,5,0)</f>
        <v>-2.9262992029543964E-13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246.64907095367749</v>
      </c>
      <c r="BJ128" s="60">
        <f t="shared" si="92"/>
        <v>145.34368562171613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325.9999999999996</v>
      </c>
      <c r="BZ128" s="14">
        <f>BY128*VLOOKUP('Données projet'!$B$12,Paramètres!$A$1:$I$89,3,0)*VLOOKUP('Données projet'!$B$12,Paramètres!$A$1:$I$89,5,0)</f>
        <v>315.30719999999963</v>
      </c>
      <c r="CA128" s="14">
        <f t="shared" si="93"/>
        <v>74.376087390024921</v>
      </c>
      <c r="CB128" s="22">
        <f t="shared" si="64"/>
        <v>678.69839220429276</v>
      </c>
      <c r="CC128" s="60">
        <f t="shared" si="65"/>
        <v>972.03172553762602</v>
      </c>
      <c r="CD128" s="60">
        <f ca="1">AVERAGE(OFFSET($CC$3,0,0,'Données projet'!$E$12+1,1))-AVERAGE(OFFSET($H$3,0,0,'Données projet'!$E$12+1,1))</f>
        <v>541.66888676162716</v>
      </c>
      <c r="CE128" s="60">
        <f t="shared" si="94"/>
        <v>294.45557293177131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4.2</v>
      </c>
      <c r="CT128" s="13">
        <f>IF('Données projet'!$A$140&gt;35,CT127+CS128-DB127,IF(A128&lt;'Données projet'!$A$140,$CQ$205^A128,IF(A128='Données projet'!$A$140,'Données projet'!$B$140,CT127+CS128-DB127)))</f>
        <v>325.9999999999996</v>
      </c>
      <c r="CU128" s="18">
        <f>CT128*VLOOKUP('Données projet'!$B$13,Paramètres!$A$1:$I$89,3,0)*VLOOKUP('Données projet'!$B$13,Paramètres!$A$1:$I$89,5,0)</f>
        <v>350.90639999999956</v>
      </c>
      <c r="CV128" s="14">
        <f t="shared" si="95"/>
        <v>81.749120308346676</v>
      </c>
      <c r="CW128" s="22">
        <f t="shared" si="67"/>
        <v>753.54169787036972</v>
      </c>
      <c r="CX128" s="60">
        <f t="shared" si="68"/>
        <v>1046.875031203703</v>
      </c>
      <c r="CY128" s="60">
        <f ca="1">AVERAGE(OFFSET($CX$3,0,0,'Données projet'!$E$13+1,1))-AVERAGE(OFFSET($H$3,0,0,'Données projet'!$E$13+1,1))</f>
        <v>597.75551942969628</v>
      </c>
      <c r="CZ128" s="60">
        <f t="shared" si="96"/>
        <v>322.81767004794284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330.19999999999959</v>
      </c>
      <c r="O129" s="14">
        <f>N129*VLOOKUP('Données projet'!$B$9,Paramètres!$A$1:$I$89,3,0)*VLOOKUP('Données projet'!$B$9,Paramètres!$A$1:$I$89,5,0)</f>
        <v>298.76495999999958</v>
      </c>
      <c r="P129" s="14">
        <f t="shared" si="87"/>
        <v>70.917489523341189</v>
      </c>
      <c r="Q129" s="22">
        <f t="shared" si="107"/>
        <v>643.86359958648518</v>
      </c>
      <c r="R129" s="60">
        <f t="shared" si="55"/>
        <v>937.19693291981844</v>
      </c>
      <c r="S129" s="60">
        <f ca="1">AVERAGE(OFFSET($R$3,0,0,'Données projet'!$E$9+1,1))-AVERAGE(OFFSET($H$3,0,0,'Données projet'!$E$9+1,1))</f>
        <v>509.56241660612449</v>
      </c>
      <c r="T129" s="60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330.19999999999959</v>
      </c>
      <c r="AJ129" s="14">
        <f>AI129*VLOOKUP('Données projet'!$B$10,Paramètres!$A$1:$I$89,3,0)*VLOOKUP('Données projet'!$B$10,Paramètres!$A$1:$I$89,5,0)</f>
        <v>334.82279999999963</v>
      </c>
      <c r="AK129" s="14">
        <f t="shared" si="89"/>
        <v>78.429350775131056</v>
      </c>
      <c r="AL129" s="22">
        <f t="shared" si="58"/>
        <v>719.74749593335264</v>
      </c>
      <c r="AM129" s="60">
        <f t="shared" si="59"/>
        <v>1013.0808292666859</v>
      </c>
      <c r="AN129" s="60">
        <f ca="1">AVERAGE(OFFSET($AM$3,0,0,'Données projet'!$E$10+1,1))-AVERAGE(OFFSET($H$3,0,0,'Données projet'!$E$10+1,1))</f>
        <v>565.72091871734051</v>
      </c>
      <c r="AO129" s="60">
        <f t="shared" si="90"/>
        <v>306.61893266146666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-6.2527760746888816E-13</v>
      </c>
      <c r="BE129" s="14">
        <f>BD129*VLOOKUP('Données projet'!$B$11,Paramètres!$A$1:$I$89,3,0)*VLOOKUP('Données projet'!$B$11,Paramètres!$A$1:$I$89,5,0)</f>
        <v>-2.9262992029543964E-13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246.64907095367749</v>
      </c>
      <c r="BJ129" s="60">
        <f t="shared" si="92"/>
        <v>145.34368562171613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4.2</v>
      </c>
      <c r="BY129" s="13">
        <f>IF('Données projet'!$A$114&gt;35,BY128+BX129-CG128,IF(A129&lt;'Données projet'!$A$114,$BV$205^A129,IF(A129='Données projet'!$A$114,'Données projet'!$B$114,BY128+BX129-CG128)))</f>
        <v>330.19999999999959</v>
      </c>
      <c r="BZ129" s="14">
        <f>BY129*VLOOKUP('Données projet'!$B$12,Paramètres!$A$1:$I$89,3,0)*VLOOKUP('Données projet'!$B$12,Paramètres!$A$1:$I$89,5,0)</f>
        <v>319.3694399999996</v>
      </c>
      <c r="CA129" s="14">
        <f t="shared" si="93"/>
        <v>75.222138334324612</v>
      </c>
      <c r="CB129" s="22">
        <f t="shared" si="64"/>
        <v>687.24699893228126</v>
      </c>
      <c r="CC129" s="60">
        <f t="shared" si="65"/>
        <v>980.58033226561452</v>
      </c>
      <c r="CD129" s="60">
        <f ca="1">AVERAGE(OFFSET($CC$3,0,0,'Données projet'!$E$12+1,1))-AVERAGE(OFFSET($H$3,0,0,'Données projet'!$E$12+1,1))</f>
        <v>541.66888676162716</v>
      </c>
      <c r="CE129" s="60">
        <f t="shared" si="94"/>
        <v>294.45557293177131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4.2</v>
      </c>
      <c r="CT129" s="13">
        <f>IF('Données projet'!$A$140&gt;35,CT128+CS129-DB128,IF(A129&lt;'Données projet'!$A$140,$CQ$205^A129,IF(A129='Données projet'!$A$140,'Données projet'!$B$140,CT128+CS129-DB128)))</f>
        <v>330.19999999999959</v>
      </c>
      <c r="CU129" s="18">
        <f>CT129*VLOOKUP('Données projet'!$B$13,Paramètres!$A$1:$I$89,3,0)*VLOOKUP('Données projet'!$B$13,Paramètres!$A$1:$I$89,5,0)</f>
        <v>355.42727999999954</v>
      </c>
      <c r="CV129" s="14">
        <f t="shared" si="95"/>
        <v>82.679041777189923</v>
      </c>
      <c r="CW129" s="22">
        <f t="shared" si="67"/>
        <v>763.03517709527159</v>
      </c>
      <c r="CX129" s="60">
        <f t="shared" si="68"/>
        <v>1056.3685104286048</v>
      </c>
      <c r="CY129" s="60">
        <f ca="1">AVERAGE(OFFSET($CX$3,0,0,'Données projet'!$E$13+1,1))-AVERAGE(OFFSET($H$3,0,0,'Données projet'!$E$13+1,1))</f>
        <v>597.75551942969628</v>
      </c>
      <c r="CZ129" s="60">
        <f t="shared" si="96"/>
        <v>322.81767004794284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334.39999999999958</v>
      </c>
      <c r="O130" s="14">
        <f>N130*VLOOKUP('Données projet'!$B$9,Paramètres!$A$1:$I$89,3,0)*VLOOKUP('Données projet'!$B$9,Paramètres!$A$1:$I$89,5,0)</f>
        <v>302.56511999999958</v>
      </c>
      <c r="P130" s="14">
        <f t="shared" si="87"/>
        <v>71.713944401538271</v>
      </c>
      <c r="Q130" s="22">
        <f t="shared" si="107"/>
        <v>651.86937049934511</v>
      </c>
      <c r="R130" s="60">
        <f t="shared" si="55"/>
        <v>945.20270383267848</v>
      </c>
      <c r="S130" s="60">
        <f ca="1">AVERAGE(OFFSET($R$3,0,0,'Données projet'!$E$9+1,1))-AVERAGE(OFFSET($H$3,0,0,'Données projet'!$E$9+1,1))</f>
        <v>509.56241660612449</v>
      </c>
      <c r="T130" s="60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334.39999999999958</v>
      </c>
      <c r="AJ130" s="14">
        <f>AI130*VLOOKUP('Données projet'!$B$10,Paramètres!$A$1:$I$89,3,0)*VLOOKUP('Données projet'!$B$10,Paramètres!$A$1:$I$89,5,0)</f>
        <v>339.08159999999958</v>
      </c>
      <c r="AK130" s="14">
        <f t="shared" si="89"/>
        <v>79.310169307181852</v>
      </c>
      <c r="AL130" s="22">
        <f t="shared" si="58"/>
        <v>728.69899821000763</v>
      </c>
      <c r="AM130" s="60">
        <f t="shared" si="59"/>
        <v>1022.0323315433409</v>
      </c>
      <c r="AN130" s="60">
        <f ca="1">AVERAGE(OFFSET($AM$3,0,0,'Données projet'!$E$10+1,1))-AVERAGE(OFFSET($H$3,0,0,'Données projet'!$E$10+1,1))</f>
        <v>565.72091871734051</v>
      </c>
      <c r="AO130" s="60">
        <f t="shared" si="90"/>
        <v>306.61893266146666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-6.2527760746888816E-13</v>
      </c>
      <c r="BE130" s="14">
        <f>BD130*VLOOKUP('Données projet'!$B$11,Paramètres!$A$1:$I$89,3,0)*VLOOKUP('Données projet'!$B$11,Paramètres!$A$1:$I$89,5,0)</f>
        <v>-2.9262992029543964E-13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246.64907095367749</v>
      </c>
      <c r="BJ130" s="60">
        <f t="shared" si="92"/>
        <v>145.34368562171613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4.2</v>
      </c>
      <c r="BY130" s="13">
        <f>IF('Données projet'!$A$114&gt;35,BY129+BX130-CG129,IF(A130&lt;'Données projet'!$A$114,$BV$205^A130,IF(A130='Données projet'!$A$114,'Données projet'!$B$114,BY129+BX130-CG129)))</f>
        <v>334.39999999999958</v>
      </c>
      <c r="BZ130" s="14">
        <f>BY130*VLOOKUP('Données projet'!$B$12,Paramètres!$A$1:$I$89,3,0)*VLOOKUP('Données projet'!$B$12,Paramètres!$A$1:$I$89,5,0)</f>
        <v>323.43167999999963</v>
      </c>
      <c r="CA130" s="14">
        <f t="shared" si="93"/>
        <v>76.066937542918481</v>
      </c>
      <c r="CB130" s="22">
        <f t="shared" si="64"/>
        <v>695.79342555391565</v>
      </c>
      <c r="CC130" s="60">
        <f t="shared" si="65"/>
        <v>989.12675888724903</v>
      </c>
      <c r="CD130" s="60">
        <f ca="1">AVERAGE(OFFSET($CC$3,0,0,'Données projet'!$E$12+1,1))-AVERAGE(OFFSET($H$3,0,0,'Données projet'!$E$12+1,1))</f>
        <v>541.66888676162716</v>
      </c>
      <c r="CE130" s="60">
        <f t="shared" si="94"/>
        <v>294.45557293177131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4.2</v>
      </c>
      <c r="CT130" s="13">
        <f>IF('Données projet'!$A$140&gt;35,CT129+CS130-DB129,IF(A130&lt;'Données projet'!$A$140,$CQ$205^A130,IF(A130='Données projet'!$A$140,'Données projet'!$B$140,CT129+CS130-DB129)))</f>
        <v>334.39999999999958</v>
      </c>
      <c r="CU130" s="18">
        <f>CT130*VLOOKUP('Données projet'!$B$13,Paramètres!$A$1:$I$89,3,0)*VLOOKUP('Données projet'!$B$13,Paramètres!$A$1:$I$89,5,0)</f>
        <v>359.94815999999958</v>
      </c>
      <c r="CV130" s="14">
        <f t="shared" si="95"/>
        <v>83.607587423555813</v>
      </c>
      <c r="CW130" s="22">
        <f t="shared" si="67"/>
        <v>772.52626009602557</v>
      </c>
      <c r="CX130" s="60">
        <f t="shared" si="68"/>
        <v>1065.8595934293589</v>
      </c>
      <c r="CY130" s="60">
        <f ca="1">AVERAGE(OFFSET($CX$3,0,0,'Données projet'!$E$13+1,1))-AVERAGE(OFFSET($H$3,0,0,'Données projet'!$E$13+1,1))</f>
        <v>597.75551942969628</v>
      </c>
      <c r="CZ130" s="60">
        <f t="shared" si="96"/>
        <v>322.81767004794284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338.59999999999957</v>
      </c>
      <c r="O131" s="14">
        <f>N131*VLOOKUP('Données projet'!$B$9,Paramètres!$A$1:$I$89,3,0)*VLOOKUP('Données projet'!$B$9,Paramètres!$A$1:$I$89,5,0)</f>
        <v>306.36527999999964</v>
      </c>
      <c r="P131" s="14">
        <f t="shared" si="87"/>
        <v>72.509235711569417</v>
      </c>
      <c r="Q131" s="22">
        <f t="shared" ref="Q131:Q153" si="108">(O131+P131)*0.475*44/12</f>
        <v>659.87311486431611</v>
      </c>
      <c r="R131" s="60">
        <f t="shared" ref="R131:R194" si="109">Q131+(I131+J131)*44/12</f>
        <v>953.20644819764948</v>
      </c>
      <c r="S131" s="60">
        <f ca="1">AVERAGE(OFFSET($R$3,0,0,'Données projet'!$E$9+1,1))-AVERAGE(OFFSET($H$3,0,0,'Données projet'!$E$9+1,1))</f>
        <v>509.56241660612449</v>
      </c>
      <c r="T131" s="60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338.59999999999957</v>
      </c>
      <c r="AJ131" s="14">
        <f>AI131*VLOOKUP('Données projet'!$B$10,Paramètres!$A$1:$I$89,3,0)*VLOOKUP('Données projet'!$B$10,Paramètres!$A$1:$I$89,5,0)</f>
        <v>343.34039999999959</v>
      </c>
      <c r="AK131" s="14">
        <f t="shared" si="89"/>
        <v>80.189701021320118</v>
      </c>
      <c r="AL131" s="22">
        <f t="shared" si="58"/>
        <v>737.64825927879849</v>
      </c>
      <c r="AM131" s="60">
        <f t="shared" si="59"/>
        <v>1030.9815926121319</v>
      </c>
      <c r="AN131" s="60">
        <f ca="1">AVERAGE(OFFSET($AM$3,0,0,'Données projet'!$E$10+1,1))-AVERAGE(OFFSET($H$3,0,0,'Données projet'!$E$10+1,1))</f>
        <v>565.72091871734051</v>
      </c>
      <c r="AO131" s="60">
        <f t="shared" si="90"/>
        <v>306.61893266146666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-6.2527760746888816E-13</v>
      </c>
      <c r="BE131" s="14">
        <f>BD131*VLOOKUP('Données projet'!$B$11,Paramètres!$A$1:$I$89,3,0)*VLOOKUP('Données projet'!$B$11,Paramètres!$A$1:$I$89,5,0)</f>
        <v>-2.9262992029543964E-13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246.64907095367749</v>
      </c>
      <c r="BJ131" s="60">
        <f t="shared" si="92"/>
        <v>145.34368562171613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</v>
      </c>
      <c r="BY131" s="13">
        <f>IF('Données projet'!$A$114&gt;35,BY130+BX131-CG130,IF(A131&lt;'Données projet'!$A$114,$BV$205^A131,IF(A131='Données projet'!$A$114,'Données projet'!$B$114,BY130+BX131-CG130)))</f>
        <v>338.59999999999957</v>
      </c>
      <c r="BZ131" s="14">
        <f>BY131*VLOOKUP('Données projet'!$B$12,Paramètres!$A$1:$I$89,3,0)*VLOOKUP('Données projet'!$B$12,Paramètres!$A$1:$I$89,5,0)</f>
        <v>327.4939199999996</v>
      </c>
      <c r="CA131" s="14">
        <f t="shared" si="93"/>
        <v>76.910502555461107</v>
      </c>
      <c r="CB131" s="22">
        <f t="shared" si="64"/>
        <v>704.33770261742723</v>
      </c>
      <c r="CC131" s="60">
        <f t="shared" si="65"/>
        <v>997.6710359507606</v>
      </c>
      <c r="CD131" s="60">
        <f ca="1">AVERAGE(OFFSET($CC$3,0,0,'Données projet'!$E$12+1,1))-AVERAGE(OFFSET($H$3,0,0,'Données projet'!$E$12+1,1))</f>
        <v>541.66888676162716</v>
      </c>
      <c r="CE131" s="60">
        <f t="shared" si="94"/>
        <v>294.45557293177131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4.2</v>
      </c>
      <c r="CT131" s="13">
        <f>IF('Données projet'!$A$140&gt;35,CT130+CS131-DB130,IF(A131&lt;'Données projet'!$A$140,$CQ$205^A131,IF(A131='Données projet'!$A$140,'Données projet'!$B$140,CT130+CS131-DB130)))</f>
        <v>338.59999999999957</v>
      </c>
      <c r="CU131" s="18">
        <f>CT131*VLOOKUP('Données projet'!$B$13,Paramètres!$A$1:$I$89,3,0)*VLOOKUP('Données projet'!$B$13,Paramètres!$A$1:$I$89,5,0)</f>
        <v>364.4690399999995</v>
      </c>
      <c r="CV131" s="14">
        <f t="shared" si="95"/>
        <v>84.534776525835852</v>
      </c>
      <c r="CW131" s="22">
        <f t="shared" si="67"/>
        <v>782.01498044916309</v>
      </c>
      <c r="CX131" s="60">
        <f t="shared" si="68"/>
        <v>1075.3483137824965</v>
      </c>
      <c r="CY131" s="60">
        <f ca="1">AVERAGE(OFFSET($CX$3,0,0,'Données projet'!$E$13+1,1))-AVERAGE(OFFSET($H$3,0,0,'Données projet'!$E$13+1,1))</f>
        <v>597.75551942969628</v>
      </c>
      <c r="CZ131" s="60">
        <f t="shared" si="96"/>
        <v>322.81767004794284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342.79999999999956</v>
      </c>
      <c r="O132" s="14">
        <f>N132*VLOOKUP('Données projet'!$B$9,Paramètres!$A$1:$I$89,3,0)*VLOOKUP('Données projet'!$B$9,Paramètres!$A$1:$I$89,5,0)</f>
        <v>310.16543999999959</v>
      </c>
      <c r="P132" s="14">
        <f t="shared" si="87"/>
        <v>73.303379555549043</v>
      </c>
      <c r="Q132" s="22">
        <f t="shared" si="108"/>
        <v>667.87486072591389</v>
      </c>
      <c r="R132" s="60">
        <f t="shared" si="109"/>
        <v>961.20819405924726</v>
      </c>
      <c r="S132" s="60">
        <f ca="1">AVERAGE(OFFSET($R$3,0,0,'Données projet'!$E$9+1,1))-AVERAGE(OFFSET($H$3,0,0,'Données projet'!$E$9+1,1))</f>
        <v>509.56241660612449</v>
      </c>
      <c r="T132" s="60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342.79999999999956</v>
      </c>
      <c r="AJ132" s="14">
        <f>AI132*VLOOKUP('Données projet'!$B$10,Paramètres!$A$1:$I$89,3,0)*VLOOKUP('Données projet'!$B$10,Paramètres!$A$1:$I$89,5,0)</f>
        <v>347.59919999999954</v>
      </c>
      <c r="AK132" s="14">
        <f t="shared" si="89"/>
        <v>81.067963725259872</v>
      </c>
      <c r="AL132" s="22">
        <f t="shared" ref="AL132:AL153" si="112">(AJ132+AK132)*0.475*44/12</f>
        <v>746.59531015482673</v>
      </c>
      <c r="AM132" s="60">
        <f t="shared" ref="AM132:AM195" si="113">AL132+(AD132+AE132)*44/12</f>
        <v>1039.9286434881601</v>
      </c>
      <c r="AN132" s="60">
        <f ca="1">AVERAGE(OFFSET($AM$3,0,0,'Données projet'!$E$10+1,1))-AVERAGE(OFFSET($H$3,0,0,'Données projet'!$E$10+1,1))</f>
        <v>565.72091871734051</v>
      </c>
      <c r="AO132" s="60">
        <f t="shared" si="90"/>
        <v>306.61893266146666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-6.2527760746888816E-13</v>
      </c>
      <c r="BE132" s="14">
        <f>BD132*VLOOKUP('Données projet'!$B$11,Paramètres!$A$1:$I$89,3,0)*VLOOKUP('Données projet'!$B$11,Paramètres!$A$1:$I$89,5,0)</f>
        <v>-2.9262992029543964E-13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246.64907095367749</v>
      </c>
      <c r="BJ132" s="60">
        <f t="shared" si="92"/>
        <v>145.34368562171613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</v>
      </c>
      <c r="BY132" s="13">
        <f>IF('Données projet'!$A$114&gt;35,BY131+BX132-CG131,IF(A132&lt;'Données projet'!$A$114,$BV$205^A132,IF(A132='Données projet'!$A$114,'Données projet'!$B$114,BY131+BX132-CG131)))</f>
        <v>342.79999999999956</v>
      </c>
      <c r="BZ132" s="14">
        <f>BY132*VLOOKUP('Données projet'!$B$12,Paramètres!$A$1:$I$89,3,0)*VLOOKUP('Données projet'!$B$12,Paramètres!$A$1:$I$89,5,0)</f>
        <v>331.55615999999958</v>
      </c>
      <c r="CA132" s="14">
        <f t="shared" si="93"/>
        <v>77.752850451455473</v>
      </c>
      <c r="CB132" s="22">
        <f t="shared" ref="CB132:CB153" si="118">(BZ132+CA132)*0.475*44/12</f>
        <v>712.87985986961746</v>
      </c>
      <c r="CC132" s="60">
        <f t="shared" ref="CC132:CC195" si="119">CB132+(BT132+BU132)*44/12</f>
        <v>1006.2131932029508</v>
      </c>
      <c r="CD132" s="60">
        <f ca="1">AVERAGE(OFFSET($CC$3,0,0,'Données projet'!$E$12+1,1))-AVERAGE(OFFSET($H$3,0,0,'Données projet'!$E$12+1,1))</f>
        <v>541.66888676162716</v>
      </c>
      <c r="CE132" s="60">
        <f t="shared" si="94"/>
        <v>294.45557293177131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4.2</v>
      </c>
      <c r="CT132" s="13">
        <f>IF('Données projet'!$A$140&gt;35,CT131+CS132-DB131,IF(A132&lt;'Données projet'!$A$140,$CQ$205^A132,IF(A132='Données projet'!$A$140,'Données projet'!$B$140,CT131+CS132-DB131)))</f>
        <v>342.79999999999956</v>
      </c>
      <c r="CU132" s="18">
        <f>CT132*VLOOKUP('Données projet'!$B$13,Paramètres!$A$1:$I$89,3,0)*VLOOKUP('Données projet'!$B$13,Paramètres!$A$1:$I$89,5,0)</f>
        <v>368.98991999999947</v>
      </c>
      <c r="CV132" s="14">
        <f t="shared" si="95"/>
        <v>85.460627856654327</v>
      </c>
      <c r="CW132" s="22">
        <f t="shared" ref="CW132:CW153" si="121">(CU132+CV132)*0.475*44/12</f>
        <v>791.5013708503385</v>
      </c>
      <c r="CX132" s="60">
        <f t="shared" ref="CX132:CX195" si="122">CW132+(CO132+CP132)*44/12</f>
        <v>1084.8347041836719</v>
      </c>
      <c r="CY132" s="60">
        <f ca="1">AVERAGE(OFFSET($CX$3,0,0,'Données projet'!$E$13+1,1))-AVERAGE(OFFSET($H$3,0,0,'Données projet'!$E$13+1,1))</f>
        <v>597.75551942969628</v>
      </c>
      <c r="CZ132" s="60">
        <f t="shared" si="96"/>
        <v>322.81767004794284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346.99999999999955</v>
      </c>
      <c r="O133" s="14">
        <f>N133*VLOOKUP('Données projet'!$B$9,Paramètres!$A$1:$I$89,3,0)*VLOOKUP('Données projet'!$B$9,Paramètres!$A$1:$I$89,5,0)</f>
        <v>313.9655999999996</v>
      </c>
      <c r="P133" s="14">
        <f t="shared" ref="P133:P196" si="141">EXP(-1.0587+0.8836*LN(O133)+0.284)</f>
        <v>74.096391618326706</v>
      </c>
      <c r="Q133" s="22">
        <f t="shared" si="108"/>
        <v>675.87463540191834</v>
      </c>
      <c r="R133" s="60">
        <f t="shared" si="109"/>
        <v>969.2079687352516</v>
      </c>
      <c r="S133" s="60">
        <f ca="1">AVERAGE(OFFSET($R$3,0,0,'Données projet'!$E$9+1,1))-AVERAGE(OFFSET($H$3,0,0,'Données projet'!$E$9+1,1))</f>
        <v>509.56241660612449</v>
      </c>
      <c r="T133" s="60">
        <f t="shared" ref="T133:T196" si="142">$T$3</f>
        <v>278.21741231699929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347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346.99999999999955</v>
      </c>
      <c r="AJ133" s="14">
        <f>AI133*VLOOKUP('Données projet'!$B$10,Paramètres!$A$1:$I$89,3,0)*VLOOKUP('Données projet'!$B$10,Paramètres!$A$1:$I$89,5,0)</f>
        <v>351.85799999999955</v>
      </c>
      <c r="AK133" s="14">
        <f t="shared" ref="AK133:AK153" si="143">EXP(-1.0587+0.8836*LN(AJ133)+0.284)</f>
        <v>81.944974765252041</v>
      </c>
      <c r="AL133" s="22">
        <f t="shared" si="112"/>
        <v>755.54018104947966</v>
      </c>
      <c r="AM133" s="60">
        <f t="shared" si="113"/>
        <v>1048.873514382813</v>
      </c>
      <c r="AN133" s="60">
        <f ca="1">AVERAGE(OFFSET($AM$3,0,0,'Données projet'!$E$10+1,1))-AVERAGE(OFFSET($H$3,0,0,'Données projet'!$E$10+1,1))</f>
        <v>565.72091871734051</v>
      </c>
      <c r="AO133" s="60">
        <f t="shared" ref="AO133:AO196" si="144">$AO$3</f>
        <v>306.61893266146666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44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-6.2527760746888816E-13</v>
      </c>
      <c r="BE133" s="14">
        <f>BD133*VLOOKUP('Données projet'!$B$11,Paramètres!$A$1:$I$89,3,0)*VLOOKUP('Données projet'!$B$11,Paramètres!$A$1:$I$89,5,0)</f>
        <v>-2.9262992029543964E-13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246.64907095367749</v>
      </c>
      <c r="BJ133" s="60">
        <f t="shared" ref="BJ133:BJ196" si="146">$BJ$3</f>
        <v>145.34368562171613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347</v>
      </c>
      <c r="BW133" s="13">
        <f>VLOOKUP(A133,'Données projet'!$A$113:$I$133,9,0)</f>
        <v>4.2</v>
      </c>
      <c r="BX133" s="13">
        <f t="array" ref="BX133">INDEX(BW:BW,MIN(IF(ISNUMBER(BW133:BW329),ROW(BW133:BW329),"")))</f>
        <v>4.2</v>
      </c>
      <c r="BY133" s="13">
        <f>IF('Données projet'!$A$114&gt;35,BY132+BX133-CG132,IF(A133&lt;'Données projet'!$A$114,$BV$205^A133,IF(A133='Données projet'!$A$114,'Données projet'!$B$114,BY132+BX133-CG132)))</f>
        <v>346.99999999999955</v>
      </c>
      <c r="BZ133" s="14">
        <f>BY133*VLOOKUP('Données projet'!$B$12,Paramètres!$A$1:$I$89,3,0)*VLOOKUP('Données projet'!$B$12,Paramètres!$A$1:$I$89,5,0)</f>
        <v>335.61839999999961</v>
      </c>
      <c r="CA133" s="14">
        <f t="shared" ref="CA133:CA153" si="147">EXP(-1.0587+0.8836*LN(BZ133)+0.284)</f>
        <v>78.593997867812064</v>
      </c>
      <c r="CB133" s="22">
        <f t="shared" si="118"/>
        <v>721.41992628643857</v>
      </c>
      <c r="CC133" s="60">
        <f t="shared" si="119"/>
        <v>1014.7532596197718</v>
      </c>
      <c r="CD133" s="60">
        <f ca="1">AVERAGE(OFFSET($CC$3,0,0,'Données projet'!$E$12+1,1))-AVERAGE(OFFSET($H$3,0,0,'Données projet'!$E$12+1,1))</f>
        <v>541.66888676162716</v>
      </c>
      <c r="CE133" s="60">
        <f t="shared" ref="CE133:CE196" si="148">$CE$3</f>
        <v>294.45557293177131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44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347</v>
      </c>
      <c r="CR133" s="13">
        <f>VLOOKUP(A133,'Données projet'!$A$139:$I$159,9,0)</f>
        <v>4.2</v>
      </c>
      <c r="CS133" s="13">
        <f t="array" ref="CS133">INDEX(CR:CR,MIN(IF(ISNUMBER(CR133:CR329),ROW(CR133:CR329),"")))</f>
        <v>4.2</v>
      </c>
      <c r="CT133" s="13">
        <f>IF('Données projet'!$A$140&gt;35,CT132+CS133-DB132,IF(A133&lt;'Données projet'!$A$140,$CQ$205^A133,IF(A133='Données projet'!$A$140,'Données projet'!$B$140,CT132+CS133-DB132)))</f>
        <v>346.99999999999955</v>
      </c>
      <c r="CU133" s="18">
        <f>CT133*VLOOKUP('Données projet'!$B$13,Paramètres!$A$1:$I$89,3,0)*VLOOKUP('Données projet'!$B$13,Paramètres!$A$1:$I$89,5,0)</f>
        <v>373.51079999999951</v>
      </c>
      <c r="CV133" s="14">
        <f t="shared" ref="CV133:CV153" si="149">EXP(-1.0587+0.8836*LN(CU133)+0.284)</f>
        <v>86.385159702167982</v>
      </c>
      <c r="CW133" s="22">
        <f t="shared" si="121"/>
        <v>800.98546314794169</v>
      </c>
      <c r="CX133" s="60">
        <f t="shared" si="122"/>
        <v>1094.3187964812751</v>
      </c>
      <c r="CY133" s="60">
        <f ca="1">AVERAGE(OFFSET($CX$3,0,0,'Données projet'!$E$13+1,1))-AVERAGE(OFFSET($H$3,0,0,'Données projet'!$E$13+1,1))</f>
        <v>597.75551942969628</v>
      </c>
      <c r="CZ133" s="60">
        <f t="shared" ref="CZ133:CZ196" si="150">$CZ$3</f>
        <v>322.81767004794284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44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306.99999999999955</v>
      </c>
      <c r="O134" s="14">
        <f>N134*VLOOKUP('Données projet'!$B$9,Paramètres!$A$1:$I$89,3,0)*VLOOKUP('Données projet'!$B$9,Paramètres!$A$1:$I$89,5,0)</f>
        <v>277.77359999999959</v>
      </c>
      <c r="P134" s="14">
        <f t="shared" si="141"/>
        <v>66.496288176842299</v>
      </c>
      <c r="Q134" s="22">
        <f t="shared" si="108"/>
        <v>599.60338857466627</v>
      </c>
      <c r="R134" s="60">
        <f t="shared" si="109"/>
        <v>892.93672190799953</v>
      </c>
      <c r="S134" s="60">
        <f ca="1">AVERAGE(OFFSET($R$3,0,0,'Données projet'!$E$9+1,1))-AVERAGE(OFFSET($H$3,0,0,'Données projet'!$E$9+1,1))</f>
        <v>509.56241660612449</v>
      </c>
      <c r="T134" s="60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306.99999999999955</v>
      </c>
      <c r="AJ134" s="14">
        <f>AI134*VLOOKUP('Données projet'!$B$10,Paramètres!$A$1:$I$89,3,0)*VLOOKUP('Données projet'!$B$10,Paramètres!$A$1:$I$89,5,0)</f>
        <v>311.29799999999955</v>
      </c>
      <c r="AK134" s="14">
        <f t="shared" si="143"/>
        <v>73.53983827852862</v>
      </c>
      <c r="AL134" s="22">
        <f t="shared" si="112"/>
        <v>670.25923500176987</v>
      </c>
      <c r="AM134" s="60">
        <f t="shared" si="113"/>
        <v>963.59256833510312</v>
      </c>
      <c r="AN134" s="60">
        <f ca="1">AVERAGE(OFFSET($AM$3,0,0,'Données projet'!$E$10+1,1))-AVERAGE(OFFSET($H$3,0,0,'Données projet'!$E$10+1,1))</f>
        <v>565.72091871734051</v>
      </c>
      <c r="AO134" s="60">
        <f t="shared" si="144"/>
        <v>306.61893266146666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-6.2527760746888816E-13</v>
      </c>
      <c r="BE134" s="14">
        <f>BD134*VLOOKUP('Données projet'!$B$11,Paramètres!$A$1:$I$89,3,0)*VLOOKUP('Données projet'!$B$11,Paramètres!$A$1:$I$89,5,0)</f>
        <v>-2.9262992029543964E-13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246.64907095367749</v>
      </c>
      <c r="BJ134" s="60">
        <f t="shared" si="146"/>
        <v>145.34368562171613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</v>
      </c>
      <c r="BY134" s="13">
        <f>IF('Données projet'!$A$114&gt;35,BY133+BX134-CG133,IF(A134&lt;'Données projet'!$A$114,$BV$205^A134,IF(A134='Données projet'!$A$114,'Données projet'!$B$114,BY133+BX134-CG133)))</f>
        <v>306.99999999999955</v>
      </c>
      <c r="BZ134" s="14">
        <f>BY134*VLOOKUP('Données projet'!$B$12,Paramètres!$A$1:$I$89,3,0)*VLOOKUP('Données projet'!$B$12,Paramètres!$A$1:$I$89,5,0)</f>
        <v>296.93039999999957</v>
      </c>
      <c r="CA134" s="14">
        <f t="shared" si="147"/>
        <v>70.532572734561199</v>
      </c>
      <c r="CB134" s="22">
        <f t="shared" si="118"/>
        <v>639.99801084602666</v>
      </c>
      <c r="CC134" s="60">
        <f t="shared" si="119"/>
        <v>933.33134417936003</v>
      </c>
      <c r="CD134" s="60">
        <f ca="1">AVERAGE(OFFSET($CC$3,0,0,'Données projet'!$E$12+1,1))-AVERAGE(OFFSET($H$3,0,0,'Données projet'!$E$12+1,1))</f>
        <v>541.66888676162716</v>
      </c>
      <c r="CE134" s="60">
        <f t="shared" si="148"/>
        <v>294.45557293177131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4</v>
      </c>
      <c r="CT134" s="13">
        <f>IF('Données projet'!$A$140&gt;35,CT133+CS134-DB133,IF(A134&lt;'Données projet'!$A$140,$CQ$205^A134,IF(A134='Données projet'!$A$140,'Données projet'!$B$140,CT133+CS134-DB133)))</f>
        <v>306.99999999999955</v>
      </c>
      <c r="CU134" s="18">
        <f>CT134*VLOOKUP('Données projet'!$B$13,Paramètres!$A$1:$I$89,3,0)*VLOOKUP('Données projet'!$B$13,Paramètres!$A$1:$I$89,5,0)</f>
        <v>330.45479999999952</v>
      </c>
      <c r="CV134" s="14">
        <f t="shared" si="149"/>
        <v>77.524591256035407</v>
      </c>
      <c r="CW134" s="22">
        <f t="shared" si="121"/>
        <v>710.56410643759409</v>
      </c>
      <c r="CX134" s="60">
        <f t="shared" si="122"/>
        <v>1003.8974397709273</v>
      </c>
      <c r="CY134" s="60">
        <f ca="1">AVERAGE(OFFSET($CX$3,0,0,'Données projet'!$E$13+1,1))-AVERAGE(OFFSET($H$3,0,0,'Données projet'!$E$13+1,1))</f>
        <v>597.75551942969628</v>
      </c>
      <c r="CZ134" s="60">
        <f t="shared" si="150"/>
        <v>322.81767004794284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310.99999999999955</v>
      </c>
      <c r="O135" s="14">
        <f>N135*VLOOKUP('Données projet'!$B$9,Paramètres!$A$1:$I$89,3,0)*VLOOKUP('Données projet'!$B$9,Paramètres!$A$1:$I$89,5,0)</f>
        <v>281.39279999999957</v>
      </c>
      <c r="P135" s="14">
        <f t="shared" si="141"/>
        <v>67.261262504634587</v>
      </c>
      <c r="Q135" s="22">
        <f t="shared" si="108"/>
        <v>607.23915886223779</v>
      </c>
      <c r="R135" s="60">
        <f t="shared" si="109"/>
        <v>900.57249219557116</v>
      </c>
      <c r="S135" s="60">
        <f ca="1">AVERAGE(OFFSET($R$3,0,0,'Données projet'!$E$9+1,1))-AVERAGE(OFFSET($H$3,0,0,'Données projet'!$E$9+1,1))</f>
        <v>509.56241660612449</v>
      </c>
      <c r="T135" s="60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310.99999999999955</v>
      </c>
      <c r="AJ135" s="14">
        <f>AI135*VLOOKUP('Données projet'!$B$10,Paramètres!$A$1:$I$89,3,0)*VLOOKUP('Données projet'!$B$10,Paramètres!$A$1:$I$89,5,0)</f>
        <v>315.35399999999959</v>
      </c>
      <c r="AK135" s="14">
        <f t="shared" si="143"/>
        <v>74.38584171564473</v>
      </c>
      <c r="AL135" s="22">
        <f t="shared" si="112"/>
        <v>678.79689098808058</v>
      </c>
      <c r="AM135" s="60">
        <f t="shared" si="113"/>
        <v>972.13022432141383</v>
      </c>
      <c r="AN135" s="60">
        <f ca="1">AVERAGE(OFFSET($AM$3,0,0,'Données projet'!$E$10+1,1))-AVERAGE(OFFSET($H$3,0,0,'Données projet'!$E$10+1,1))</f>
        <v>565.72091871734051</v>
      </c>
      <c r="AO135" s="60">
        <f t="shared" si="144"/>
        <v>306.61893266146666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-6.2527760746888816E-13</v>
      </c>
      <c r="BE135" s="14">
        <f>BD135*VLOOKUP('Données projet'!$B$11,Paramètres!$A$1:$I$89,3,0)*VLOOKUP('Données projet'!$B$11,Paramètres!$A$1:$I$89,5,0)</f>
        <v>-2.9262992029543964E-13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246.64907095367749</v>
      </c>
      <c r="BJ135" s="60">
        <f t="shared" si="146"/>
        <v>145.34368562171613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</v>
      </c>
      <c r="BY135" s="13">
        <f>IF('Données projet'!$A$114&gt;35,BY134+BX135-CG134,IF(A135&lt;'Données projet'!$A$114,$BV$205^A135,IF(A135='Données projet'!$A$114,'Données projet'!$B$114,BY134+BX135-CG134)))</f>
        <v>310.99999999999955</v>
      </c>
      <c r="BZ135" s="14">
        <f>BY135*VLOOKUP('Données projet'!$B$12,Paramètres!$A$1:$I$89,3,0)*VLOOKUP('Données projet'!$B$12,Paramètres!$A$1:$I$89,5,0)</f>
        <v>300.79919999999953</v>
      </c>
      <c r="CA135" s="14">
        <f t="shared" si="147"/>
        <v>71.343980542341257</v>
      </c>
      <c r="CB135" s="22">
        <f t="shared" si="118"/>
        <v>648.14937277791023</v>
      </c>
      <c r="CC135" s="60">
        <f t="shared" si="119"/>
        <v>941.48270611124349</v>
      </c>
      <c r="CD135" s="60">
        <f ca="1">AVERAGE(OFFSET($CC$3,0,0,'Données projet'!$E$12+1,1))-AVERAGE(OFFSET($H$3,0,0,'Données projet'!$E$12+1,1))</f>
        <v>541.66888676162716</v>
      </c>
      <c r="CE135" s="60">
        <f t="shared" si="148"/>
        <v>294.45557293177131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4</v>
      </c>
      <c r="CT135" s="13">
        <f>IF('Données projet'!$A$140&gt;35,CT134+CS135-DB134,IF(A135&lt;'Données projet'!$A$140,$CQ$205^A135,IF(A135='Données projet'!$A$140,'Données projet'!$B$140,CT134+CS135-DB134)))</f>
        <v>310.99999999999955</v>
      </c>
      <c r="CU135" s="18">
        <f>CT135*VLOOKUP('Données projet'!$B$13,Paramètres!$A$1:$I$89,3,0)*VLOOKUP('Données projet'!$B$13,Paramètres!$A$1:$I$89,5,0)</f>
        <v>334.76039999999949</v>
      </c>
      <c r="CV135" s="14">
        <f t="shared" si="149"/>
        <v>78.416435353043383</v>
      </c>
      <c r="CW135" s="22">
        <f t="shared" si="121"/>
        <v>719.61632157321628</v>
      </c>
      <c r="CX135" s="60">
        <f t="shared" si="122"/>
        <v>1012.9496549065495</v>
      </c>
      <c r="CY135" s="60">
        <f ca="1">AVERAGE(OFFSET($CX$3,0,0,'Données projet'!$E$13+1,1))-AVERAGE(OFFSET($H$3,0,0,'Données projet'!$E$13+1,1))</f>
        <v>597.75551942969628</v>
      </c>
      <c r="CZ135" s="60">
        <f t="shared" si="150"/>
        <v>322.81767004794284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314.99999999999955</v>
      </c>
      <c r="O136" s="14">
        <f>N136*VLOOKUP('Données projet'!$B$9,Paramètres!$A$1:$I$89,3,0)*VLOOKUP('Données projet'!$B$9,Paramètres!$A$1:$I$89,5,0)</f>
        <v>285.0119999999996</v>
      </c>
      <c r="P136" s="14">
        <f t="shared" si="141"/>
        <v>68.025092408173052</v>
      </c>
      <c r="Q136" s="22">
        <f t="shared" si="108"/>
        <v>614.87293594423409</v>
      </c>
      <c r="R136" s="60">
        <f t="shared" si="109"/>
        <v>908.20626927756734</v>
      </c>
      <c r="S136" s="60">
        <f ca="1">AVERAGE(OFFSET($R$3,0,0,'Données projet'!$E$9+1,1))-AVERAGE(OFFSET($H$3,0,0,'Données projet'!$E$9+1,1))</f>
        <v>509.56241660612449</v>
      </c>
      <c r="T136" s="60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314.99999999999955</v>
      </c>
      <c r="AJ136" s="14">
        <f>AI136*VLOOKUP('Données projet'!$B$10,Paramètres!$A$1:$I$89,3,0)*VLOOKUP('Données projet'!$B$10,Paramètres!$A$1:$I$89,5,0)</f>
        <v>319.40999999999957</v>
      </c>
      <c r="AK136" s="14">
        <f t="shared" si="143"/>
        <v>75.230579506559266</v>
      </c>
      <c r="AL136" s="22">
        <f t="shared" si="112"/>
        <v>687.3323426405899</v>
      </c>
      <c r="AM136" s="60">
        <f t="shared" si="113"/>
        <v>980.66567597392327</v>
      </c>
      <c r="AN136" s="60">
        <f ca="1">AVERAGE(OFFSET($AM$3,0,0,'Données projet'!$E$10+1,1))-AVERAGE(OFFSET($H$3,0,0,'Données projet'!$E$10+1,1))</f>
        <v>565.72091871734051</v>
      </c>
      <c r="AO136" s="60">
        <f t="shared" si="144"/>
        <v>306.61893266146666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-6.2527760746888816E-13</v>
      </c>
      <c r="BE136" s="14">
        <f>BD136*VLOOKUP('Données projet'!$B$11,Paramètres!$A$1:$I$89,3,0)*VLOOKUP('Données projet'!$B$11,Paramètres!$A$1:$I$89,5,0)</f>
        <v>-2.9262992029543964E-13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246.64907095367749</v>
      </c>
      <c r="BJ136" s="60">
        <f t="shared" si="146"/>
        <v>145.34368562171613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</v>
      </c>
      <c r="BY136" s="13">
        <f>IF('Données projet'!$A$114&gt;35,BY135+BX136-CG135,IF(A136&lt;'Données projet'!$A$114,$BV$205^A136,IF(A136='Données projet'!$A$114,'Données projet'!$B$114,BY135+BX136-CG135)))</f>
        <v>314.99999999999955</v>
      </c>
      <c r="BZ136" s="14">
        <f>BY136*VLOOKUP('Données projet'!$B$12,Paramètres!$A$1:$I$89,3,0)*VLOOKUP('Données projet'!$B$12,Paramètres!$A$1:$I$89,5,0)</f>
        <v>304.66799999999961</v>
      </c>
      <c r="CA136" s="14">
        <f t="shared" si="147"/>
        <v>72.15417446000599</v>
      </c>
      <c r="CB136" s="22">
        <f t="shared" si="118"/>
        <v>656.29862051784312</v>
      </c>
      <c r="CC136" s="60">
        <f t="shared" si="119"/>
        <v>949.63195385117638</v>
      </c>
      <c r="CD136" s="60">
        <f ca="1">AVERAGE(OFFSET($CC$3,0,0,'Données projet'!$E$12+1,1))-AVERAGE(OFFSET($H$3,0,0,'Données projet'!$E$12+1,1))</f>
        <v>541.66888676162716</v>
      </c>
      <c r="CE136" s="60">
        <f t="shared" si="148"/>
        <v>294.45557293177131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4</v>
      </c>
      <c r="CT136" s="13">
        <f>IF('Données projet'!$A$140&gt;35,CT135+CS136-DB135,IF(A136&lt;'Données projet'!$A$140,$CQ$205^A136,IF(A136='Données projet'!$A$140,'Données projet'!$B$140,CT135+CS136-DB135)))</f>
        <v>314.99999999999955</v>
      </c>
      <c r="CU136" s="18">
        <f>CT136*VLOOKUP('Données projet'!$B$13,Paramètres!$A$1:$I$89,3,0)*VLOOKUP('Données projet'!$B$13,Paramètres!$A$1:$I$89,5,0)</f>
        <v>339.06599999999952</v>
      </c>
      <c r="CV136" s="14">
        <f t="shared" si="149"/>
        <v>79.306945224864748</v>
      </c>
      <c r="CW136" s="22">
        <f t="shared" si="121"/>
        <v>728.66621293330525</v>
      </c>
      <c r="CX136" s="60">
        <f t="shared" si="122"/>
        <v>1021.9995462666386</v>
      </c>
      <c r="CY136" s="60">
        <f ca="1">AVERAGE(OFFSET($CX$3,0,0,'Données projet'!$E$13+1,1))-AVERAGE(OFFSET($H$3,0,0,'Données projet'!$E$13+1,1))</f>
        <v>597.75551942969628</v>
      </c>
      <c r="CZ136" s="60">
        <f t="shared" si="150"/>
        <v>322.81767004794284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318.99999999999955</v>
      </c>
      <c r="O137" s="14">
        <f>N137*VLOOKUP('Données projet'!$B$9,Paramètres!$A$1:$I$89,3,0)*VLOOKUP('Données projet'!$B$9,Paramètres!$A$1:$I$89,5,0)</f>
        <v>288.63119999999958</v>
      </c>
      <c r="P137" s="14">
        <f t="shared" si="141"/>
        <v>68.787794100289148</v>
      </c>
      <c r="Q137" s="22">
        <f t="shared" si="108"/>
        <v>622.50474805800286</v>
      </c>
      <c r="R137" s="60">
        <f t="shared" si="109"/>
        <v>915.83808139133612</v>
      </c>
      <c r="S137" s="60">
        <f ca="1">AVERAGE(OFFSET($R$3,0,0,'Données projet'!$E$9+1,1))-AVERAGE(OFFSET($H$3,0,0,'Données projet'!$E$9+1,1))</f>
        <v>509.56241660612449</v>
      </c>
      <c r="T137" s="60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318.99999999999955</v>
      </c>
      <c r="AJ137" s="14">
        <f>AI137*VLOOKUP('Données projet'!$B$10,Paramètres!$A$1:$I$89,3,0)*VLOOKUP('Données projet'!$B$10,Paramètres!$A$1:$I$89,5,0)</f>
        <v>323.46599999999955</v>
      </c>
      <c r="AK137" s="14">
        <f t="shared" si="143"/>
        <v>76.07406958143109</v>
      </c>
      <c r="AL137" s="22">
        <f t="shared" si="112"/>
        <v>695.86562118765835</v>
      </c>
      <c r="AM137" s="60">
        <f t="shared" si="113"/>
        <v>989.19895452099172</v>
      </c>
      <c r="AN137" s="60">
        <f ca="1">AVERAGE(OFFSET($AM$3,0,0,'Données projet'!$E$10+1,1))-AVERAGE(OFFSET($H$3,0,0,'Données projet'!$E$10+1,1))</f>
        <v>565.72091871734051</v>
      </c>
      <c r="AO137" s="60">
        <f t="shared" si="144"/>
        <v>306.61893266146666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-6.2527760746888816E-13</v>
      </c>
      <c r="BE137" s="14">
        <f>BD137*VLOOKUP('Données projet'!$B$11,Paramètres!$A$1:$I$89,3,0)*VLOOKUP('Données projet'!$B$11,Paramètres!$A$1:$I$89,5,0)</f>
        <v>-2.9262992029543964E-13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246.64907095367749</v>
      </c>
      <c r="BJ137" s="60">
        <f t="shared" si="146"/>
        <v>145.34368562171613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</v>
      </c>
      <c r="BY137" s="13">
        <f>IF('Données projet'!$A$114&gt;35,BY136+BX137-CG136,IF(A137&lt;'Données projet'!$A$114,$BV$205^A137,IF(A137='Données projet'!$A$114,'Données projet'!$B$114,BY136+BX137-CG136)))</f>
        <v>318.99999999999955</v>
      </c>
      <c r="BZ137" s="14">
        <f>BY137*VLOOKUP('Données projet'!$B$12,Paramètres!$A$1:$I$89,3,0)*VLOOKUP('Données projet'!$B$12,Paramètres!$A$1:$I$89,5,0)</f>
        <v>308.53679999999957</v>
      </c>
      <c r="CA137" s="14">
        <f t="shared" si="147"/>
        <v>72.963171684495975</v>
      </c>
      <c r="CB137" s="22">
        <f t="shared" si="118"/>
        <v>664.44578401716308</v>
      </c>
      <c r="CC137" s="60">
        <f t="shared" si="119"/>
        <v>957.77911735049634</v>
      </c>
      <c r="CD137" s="60">
        <f ca="1">AVERAGE(OFFSET($CC$3,0,0,'Données projet'!$E$12+1,1))-AVERAGE(OFFSET($H$3,0,0,'Données projet'!$E$12+1,1))</f>
        <v>541.66888676162716</v>
      </c>
      <c r="CE137" s="60">
        <f t="shared" si="148"/>
        <v>294.45557293177131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4</v>
      </c>
      <c r="CT137" s="13">
        <f>IF('Données projet'!$A$140&gt;35,CT136+CS137-DB136,IF(A137&lt;'Données projet'!$A$140,$CQ$205^A137,IF(A137='Données projet'!$A$140,'Données projet'!$B$140,CT136+CS137-DB136)))</f>
        <v>318.99999999999955</v>
      </c>
      <c r="CU137" s="18">
        <f>CT137*VLOOKUP('Données projet'!$B$13,Paramètres!$A$1:$I$89,3,0)*VLOOKUP('Données projet'!$B$13,Paramètres!$A$1:$I$89,5,0)</f>
        <v>343.37159999999949</v>
      </c>
      <c r="CV137" s="14">
        <f t="shared" si="149"/>
        <v>80.196139773203214</v>
      </c>
      <c r="CW137" s="22">
        <f t="shared" si="121"/>
        <v>737.71381343832797</v>
      </c>
      <c r="CX137" s="60">
        <f t="shared" si="122"/>
        <v>1031.0471467716613</v>
      </c>
      <c r="CY137" s="60">
        <f ca="1">AVERAGE(OFFSET($CX$3,0,0,'Données projet'!$E$13+1,1))-AVERAGE(OFFSET($H$3,0,0,'Données projet'!$E$13+1,1))</f>
        <v>597.75551942969628</v>
      </c>
      <c r="CZ137" s="60">
        <f t="shared" si="150"/>
        <v>322.81767004794284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322.99999999999955</v>
      </c>
      <c r="O138" s="14">
        <f>N138*VLOOKUP('Données projet'!$B$9,Paramètres!$A$1:$I$89,3,0)*VLOOKUP('Données projet'!$B$9,Paramètres!$A$1:$I$89,5,0)</f>
        <v>292.25039999999956</v>
      </c>
      <c r="P138" s="14">
        <f t="shared" si="141"/>
        <v>69.549383363839866</v>
      </c>
      <c r="Q138" s="22">
        <f t="shared" si="108"/>
        <v>630.13462269202034</v>
      </c>
      <c r="R138" s="60">
        <f t="shared" si="109"/>
        <v>923.46795602535371</v>
      </c>
      <c r="S138" s="60">
        <f ca="1">AVERAGE(OFFSET($R$3,0,0,'Données projet'!$E$9+1,1))-AVERAGE(OFFSET($H$3,0,0,'Données projet'!$E$9+1,1))</f>
        <v>509.56241660612449</v>
      </c>
      <c r="T138" s="60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322.99999999999955</v>
      </c>
      <c r="AJ138" s="14">
        <f>AI138*VLOOKUP('Données projet'!$B$10,Paramètres!$A$1:$I$89,3,0)*VLOOKUP('Données projet'!$B$10,Paramètres!$A$1:$I$89,5,0)</f>
        <v>327.52199999999954</v>
      </c>
      <c r="AK138" s="14">
        <f t="shared" si="143"/>
        <v>76.916329394899719</v>
      </c>
      <c r="AL138" s="22">
        <f t="shared" si="112"/>
        <v>704.39675702944942</v>
      </c>
      <c r="AM138" s="60">
        <f t="shared" si="113"/>
        <v>997.73009036278268</v>
      </c>
      <c r="AN138" s="60">
        <f ca="1">AVERAGE(OFFSET($AM$3,0,0,'Données projet'!$E$10+1,1))-AVERAGE(OFFSET($H$3,0,0,'Données projet'!$E$10+1,1))</f>
        <v>565.72091871734051</v>
      </c>
      <c r="AO138" s="60">
        <f t="shared" si="144"/>
        <v>306.61893266146666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-6.2527760746888816E-13</v>
      </c>
      <c r="BE138" s="14">
        <f>BD138*VLOOKUP('Données projet'!$B$11,Paramètres!$A$1:$I$89,3,0)*VLOOKUP('Données projet'!$B$11,Paramètres!$A$1:$I$89,5,0)</f>
        <v>-2.9262992029543964E-13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246.64907095367749</v>
      </c>
      <c r="BJ138" s="60">
        <f t="shared" si="146"/>
        <v>145.34368562171613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4</v>
      </c>
      <c r="BY138" s="13">
        <f>IF('Données projet'!$A$114&gt;35,BY137+BX138-CG137,IF(A138&lt;'Données projet'!$A$114,$BV$205^A138,IF(A138='Données projet'!$A$114,'Données projet'!$B$114,BY137+BX138-CG137)))</f>
        <v>322.99999999999955</v>
      </c>
      <c r="BZ138" s="14">
        <f>BY138*VLOOKUP('Données projet'!$B$12,Paramètres!$A$1:$I$89,3,0)*VLOOKUP('Données projet'!$B$12,Paramètres!$A$1:$I$89,5,0)</f>
        <v>312.40559999999954</v>
      </c>
      <c r="CA138" s="14">
        <f t="shared" si="147"/>
        <v>73.770988956678082</v>
      </c>
      <c r="CB138" s="22">
        <f t="shared" si="118"/>
        <v>672.5908924328802</v>
      </c>
      <c r="CC138" s="60">
        <f t="shared" si="119"/>
        <v>965.92422576621357</v>
      </c>
      <c r="CD138" s="60">
        <f ca="1">AVERAGE(OFFSET($CC$3,0,0,'Données projet'!$E$12+1,1))-AVERAGE(OFFSET($H$3,0,0,'Données projet'!$E$12+1,1))</f>
        <v>541.66888676162716</v>
      </c>
      <c r="CE138" s="60">
        <f t="shared" si="148"/>
        <v>294.45557293177131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4</v>
      </c>
      <c r="CT138" s="13">
        <f>IF('Données projet'!$A$140&gt;35,CT137+CS138-DB137,IF(A138&lt;'Données projet'!$A$140,$CQ$205^A138,IF(A138='Données projet'!$A$140,'Données projet'!$B$140,CT137+CS138-DB137)))</f>
        <v>322.99999999999955</v>
      </c>
      <c r="CU138" s="18">
        <f>CT138*VLOOKUP('Données projet'!$B$13,Paramètres!$A$1:$I$89,3,0)*VLOOKUP('Données projet'!$B$13,Paramètres!$A$1:$I$89,5,0)</f>
        <v>347.67719999999946</v>
      </c>
      <c r="CV138" s="14">
        <f t="shared" si="149"/>
        <v>81.08403739847715</v>
      </c>
      <c r="CW138" s="22">
        <f t="shared" si="121"/>
        <v>746.75915513568009</v>
      </c>
      <c r="CX138" s="60">
        <f t="shared" si="122"/>
        <v>1040.0924884690135</v>
      </c>
      <c r="CY138" s="60">
        <f ca="1">AVERAGE(OFFSET($CX$3,0,0,'Données projet'!$E$13+1,1))-AVERAGE(OFFSET($H$3,0,0,'Données projet'!$E$13+1,1))</f>
        <v>597.75551942969628</v>
      </c>
      <c r="CZ138" s="60">
        <f t="shared" si="150"/>
        <v>322.81767004794284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</v>
      </c>
      <c r="N139" s="14">
        <f>IF('Données projet'!$A$36&gt;35,N138+M139-V138,IF(A139&lt;'Données projet'!$A$36,$K$205^A139,IF(A139='Données projet'!$A$36,'Données projet'!$B$36,N138+M139-V138)))</f>
        <v>326.99999999999955</v>
      </c>
      <c r="O139" s="14">
        <f>N139*VLOOKUP('Données projet'!$B$9,Paramètres!$A$1:$I$89,3,0)*VLOOKUP('Données projet'!$B$9,Paramètres!$A$1:$I$89,5,0)</f>
        <v>295.86959999999954</v>
      </c>
      <c r="P139" s="14">
        <f t="shared" si="141"/>
        <v>70.309875568291091</v>
      </c>
      <c r="Q139" s="22">
        <f t="shared" si="108"/>
        <v>637.76258661477277</v>
      </c>
      <c r="R139" s="60">
        <f t="shared" si="109"/>
        <v>931.09591994810603</v>
      </c>
      <c r="S139" s="60">
        <f ca="1">AVERAGE(OFFSET($R$3,0,0,'Données projet'!$E$9+1,1))-AVERAGE(OFFSET($H$3,0,0,'Données projet'!$E$9+1,1))</f>
        <v>509.56241660612449</v>
      </c>
      <c r="T139" s="60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</v>
      </c>
      <c r="AI139" s="14">
        <f>IF('Données projet'!$A$62&gt;35,AI138+AH139-AQ138,IF(A139&lt;'Données projet'!$A$62,$AF$205^A139,IF(A139='Données projet'!$A$62,'Données projet'!$B$62,AI138+AH139-AQ138)))</f>
        <v>326.99999999999955</v>
      </c>
      <c r="AJ139" s="14">
        <f>AI139*VLOOKUP('Données projet'!$B$10,Paramètres!$A$1:$I$89,3,0)*VLOOKUP('Données projet'!$B$10,Paramètres!$A$1:$I$89,5,0)</f>
        <v>331.57799999999952</v>
      </c>
      <c r="AK139" s="14">
        <f t="shared" si="143"/>
        <v>77.757375944425789</v>
      </c>
      <c r="AL139" s="22">
        <f t="shared" si="112"/>
        <v>712.92577976987411</v>
      </c>
      <c r="AM139" s="60">
        <f t="shared" si="113"/>
        <v>1006.2591131032075</v>
      </c>
      <c r="AN139" s="60">
        <f ca="1">AVERAGE(OFFSET($AM$3,0,0,'Données projet'!$E$10+1,1))-AVERAGE(OFFSET($H$3,0,0,'Données projet'!$E$10+1,1))</f>
        <v>565.72091871734051</v>
      </c>
      <c r="AO139" s="60">
        <f t="shared" si="144"/>
        <v>306.61893266146666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-6.2527760746888816E-13</v>
      </c>
      <c r="BE139" s="14">
        <f>BD139*VLOOKUP('Données projet'!$B$11,Paramètres!$A$1:$I$89,3,0)*VLOOKUP('Données projet'!$B$11,Paramètres!$A$1:$I$89,5,0)</f>
        <v>-2.9262992029543964E-13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246.64907095367749</v>
      </c>
      <c r="BJ139" s="60">
        <f t="shared" si="146"/>
        <v>145.34368562171613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</v>
      </c>
      <c r="BY139" s="13">
        <f>IF('Données projet'!$A$114&gt;35,BY138+BX139-CG138,IF(A139&lt;'Données projet'!$A$114,$BV$205^A139,IF(A139='Données projet'!$A$114,'Données projet'!$B$114,BY138+BX139-CG138)))</f>
        <v>326.99999999999955</v>
      </c>
      <c r="BZ139" s="14">
        <f>BY139*VLOOKUP('Données projet'!$B$12,Paramètres!$A$1:$I$89,3,0)*VLOOKUP('Données projet'!$B$12,Paramètres!$A$1:$I$89,5,0)</f>
        <v>316.27439999999956</v>
      </c>
      <c r="CA139" s="14">
        <f t="shared" si="147"/>
        <v>74.577642578935496</v>
      </c>
      <c r="CB139" s="22">
        <f t="shared" si="118"/>
        <v>680.73397415831187</v>
      </c>
      <c r="CC139" s="60">
        <f t="shared" si="119"/>
        <v>974.06730749164512</v>
      </c>
      <c r="CD139" s="60">
        <f ca="1">AVERAGE(OFFSET($CC$3,0,0,'Données projet'!$E$12+1,1))-AVERAGE(OFFSET($H$3,0,0,'Données projet'!$E$12+1,1))</f>
        <v>541.66888676162716</v>
      </c>
      <c r="CE139" s="60">
        <f t="shared" si="148"/>
        <v>294.45557293177131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4</v>
      </c>
      <c r="CT139" s="13">
        <f>IF('Données projet'!$A$140&gt;35,CT138+CS139-DB138,IF(A139&lt;'Données projet'!$A$140,$CQ$205^A139,IF(A139='Données projet'!$A$140,'Données projet'!$B$140,CT138+CS139-DB138)))</f>
        <v>326.99999999999955</v>
      </c>
      <c r="CU139" s="18">
        <f>CT139*VLOOKUP('Données projet'!$B$13,Paramètres!$A$1:$I$89,3,0)*VLOOKUP('Données projet'!$B$13,Paramètres!$A$1:$I$89,5,0)</f>
        <v>351.98279999999954</v>
      </c>
      <c r="CV139" s="14">
        <f t="shared" si="149"/>
        <v>81.970656019154077</v>
      </c>
      <c r="CW139" s="22">
        <f t="shared" si="121"/>
        <v>755.8022692333592</v>
      </c>
      <c r="CX139" s="60">
        <f t="shared" si="122"/>
        <v>1049.1356025666926</v>
      </c>
      <c r="CY139" s="60">
        <f ca="1">AVERAGE(OFFSET($CX$3,0,0,'Données projet'!$E$13+1,1))-AVERAGE(OFFSET($H$3,0,0,'Données projet'!$E$13+1,1))</f>
        <v>597.75551942969628</v>
      </c>
      <c r="CZ139" s="60">
        <f t="shared" si="150"/>
        <v>322.81767004794284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</v>
      </c>
      <c r="N140" s="14">
        <f>IF('Données projet'!$A$36&gt;35,N139+M140-V139,IF(A140&lt;'Données projet'!$A$36,$K$205^A140,IF(A140='Données projet'!$A$36,'Données projet'!$B$36,N139+M140-V139)))</f>
        <v>330.99999999999955</v>
      </c>
      <c r="O140" s="14">
        <f>N140*VLOOKUP('Données projet'!$B$9,Paramètres!$A$1:$I$89,3,0)*VLOOKUP('Données projet'!$B$9,Paramètres!$A$1:$I$89,5,0)</f>
        <v>299.48879999999957</v>
      </c>
      <c r="P140" s="14">
        <f t="shared" si="141"/>
        <v>71.069285685467236</v>
      </c>
      <c r="Q140" s="22">
        <f t="shared" si="108"/>
        <v>645.38866590218811</v>
      </c>
      <c r="R140" s="60">
        <f t="shared" si="109"/>
        <v>938.72199923552148</v>
      </c>
      <c r="S140" s="60">
        <f ca="1">AVERAGE(OFFSET($R$3,0,0,'Données projet'!$E$9+1,1))-AVERAGE(OFFSET($H$3,0,0,'Données projet'!$E$9+1,1))</f>
        <v>509.56241660612449</v>
      </c>
      <c r="T140" s="60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</v>
      </c>
      <c r="AI140" s="14">
        <f>IF('Données projet'!$A$62&gt;35,AI139+AH140-AQ139,IF(A140&lt;'Données projet'!$A$62,$AF$205^A140,IF(A140='Données projet'!$A$62,'Données projet'!$B$62,AI139+AH140-AQ139)))</f>
        <v>330.99999999999955</v>
      </c>
      <c r="AJ140" s="14">
        <f>AI140*VLOOKUP('Données projet'!$B$10,Paramètres!$A$1:$I$89,3,0)*VLOOKUP('Données projet'!$B$10,Paramètres!$A$1:$I$89,5,0)</f>
        <v>335.63399999999956</v>
      </c>
      <c r="AK140" s="14">
        <f t="shared" si="143"/>
        <v>78.597225787708567</v>
      </c>
      <c r="AL140" s="22">
        <f t="shared" si="112"/>
        <v>721.45271824692497</v>
      </c>
      <c r="AM140" s="60">
        <f t="shared" si="113"/>
        <v>1014.7860515802583</v>
      </c>
      <c r="AN140" s="60">
        <f ca="1">AVERAGE(OFFSET($AM$3,0,0,'Données projet'!$E$10+1,1))-AVERAGE(OFFSET($H$3,0,0,'Données projet'!$E$10+1,1))</f>
        <v>565.72091871734051</v>
      </c>
      <c r="AO140" s="60">
        <f t="shared" si="144"/>
        <v>306.61893266146666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-6.2527760746888816E-13</v>
      </c>
      <c r="BE140" s="14">
        <f>BD140*VLOOKUP('Données projet'!$B$11,Paramètres!$A$1:$I$89,3,0)*VLOOKUP('Données projet'!$B$11,Paramètres!$A$1:$I$89,5,0)</f>
        <v>-2.9262992029543964E-13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246.64907095367749</v>
      </c>
      <c r="BJ140" s="60">
        <f t="shared" si="146"/>
        <v>145.34368562171613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</v>
      </c>
      <c r="BY140" s="13">
        <f>IF('Données projet'!$A$114&gt;35,BY139+BX140-CG139,IF(A140&lt;'Données projet'!$A$114,$BV$205^A140,IF(A140='Données projet'!$A$114,'Données projet'!$B$114,BY139+BX140-CG139)))</f>
        <v>330.99999999999955</v>
      </c>
      <c r="BZ140" s="14">
        <f>BY140*VLOOKUP('Données projet'!$B$12,Paramètres!$A$1:$I$89,3,0)*VLOOKUP('Données projet'!$B$12,Paramètres!$A$1:$I$89,5,0)</f>
        <v>320.14319999999958</v>
      </c>
      <c r="CA140" s="14">
        <f t="shared" si="147"/>
        <v>75.383148431873337</v>
      </c>
      <c r="CB140" s="22">
        <f t="shared" si="118"/>
        <v>688.87505685217866</v>
      </c>
      <c r="CC140" s="60">
        <f t="shared" si="119"/>
        <v>982.20839018551192</v>
      </c>
      <c r="CD140" s="60">
        <f ca="1">AVERAGE(OFFSET($CC$3,0,0,'Données projet'!$E$12+1,1))-AVERAGE(OFFSET($H$3,0,0,'Données projet'!$E$12+1,1))</f>
        <v>541.66888676162716</v>
      </c>
      <c r="CE140" s="60">
        <f t="shared" si="148"/>
        <v>294.45557293177131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4</v>
      </c>
      <c r="CT140" s="13">
        <f>IF('Données projet'!$A$140&gt;35,CT139+CS140-DB139,IF(A140&lt;'Données projet'!$A$140,$CQ$205^A140,IF(A140='Données projet'!$A$140,'Données projet'!$B$140,CT139+CS140-DB139)))</f>
        <v>330.99999999999955</v>
      </c>
      <c r="CU140" s="18">
        <f>CT140*VLOOKUP('Données projet'!$B$13,Paramètres!$A$1:$I$89,3,0)*VLOOKUP('Données projet'!$B$13,Paramètres!$A$1:$I$89,5,0)</f>
        <v>356.28839999999951</v>
      </c>
      <c r="CV140" s="14">
        <f t="shared" si="149"/>
        <v>82.856013090111247</v>
      </c>
      <c r="CW140" s="22">
        <f t="shared" si="121"/>
        <v>764.84318613194307</v>
      </c>
      <c r="CX140" s="60">
        <f t="shared" si="122"/>
        <v>1058.1765194652764</v>
      </c>
      <c r="CY140" s="60">
        <f ca="1">AVERAGE(OFFSET($CX$3,0,0,'Données projet'!$E$13+1,1))-AVERAGE(OFFSET($H$3,0,0,'Données projet'!$E$13+1,1))</f>
        <v>597.75551942969628</v>
      </c>
      <c r="CZ140" s="60">
        <f t="shared" si="150"/>
        <v>322.81767004794284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</v>
      </c>
      <c r="N141" s="14">
        <f>IF('Données projet'!$A$36&gt;35,N140+M141-V140,IF(A141&lt;'Données projet'!$A$36,$K$205^A141,IF(A141='Données projet'!$A$36,'Données projet'!$B$36,N140+M141-V140)))</f>
        <v>334.99999999999955</v>
      </c>
      <c r="O141" s="14">
        <f>N141*VLOOKUP('Données projet'!$B$9,Paramètres!$A$1:$I$89,3,0)*VLOOKUP('Données projet'!$B$9,Paramètres!$A$1:$I$89,5,0)</f>
        <v>303.10799999999961</v>
      </c>
      <c r="P141" s="14">
        <f t="shared" si="141"/>
        <v>71.827628304517162</v>
      </c>
      <c r="Q141" s="22">
        <f t="shared" si="108"/>
        <v>653.0128859637</v>
      </c>
      <c r="R141" s="60">
        <f t="shared" si="109"/>
        <v>946.34621929703326</v>
      </c>
      <c r="S141" s="60">
        <f ca="1">AVERAGE(OFFSET($R$3,0,0,'Données projet'!$E$9+1,1))-AVERAGE(OFFSET($H$3,0,0,'Données projet'!$E$9+1,1))</f>
        <v>509.56241660612449</v>
      </c>
      <c r="T141" s="60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</v>
      </c>
      <c r="AI141" s="14">
        <f>IF('Données projet'!$A$62&gt;35,AI140+AH141-AQ140,IF(A141&lt;'Données projet'!$A$62,$AF$205^A141,IF(A141='Données projet'!$A$62,'Données projet'!$B$62,AI140+AH141-AQ140)))</f>
        <v>334.99999999999955</v>
      </c>
      <c r="AJ141" s="14">
        <f>AI141*VLOOKUP('Données projet'!$B$10,Paramètres!$A$1:$I$89,3,0)*VLOOKUP('Données projet'!$B$10,Paramètres!$A$1:$I$89,5,0)</f>
        <v>339.68999999999954</v>
      </c>
      <c r="AK141" s="14">
        <f t="shared" si="143"/>
        <v>79.435895059237467</v>
      </c>
      <c r="AL141" s="22">
        <f t="shared" si="112"/>
        <v>729.97760056150446</v>
      </c>
      <c r="AM141" s="60">
        <f t="shared" si="113"/>
        <v>1023.3109338948377</v>
      </c>
      <c r="AN141" s="60">
        <f ca="1">AVERAGE(OFFSET($AM$3,0,0,'Données projet'!$E$10+1,1))-AVERAGE(OFFSET($H$3,0,0,'Données projet'!$E$10+1,1))</f>
        <v>565.72091871734051</v>
      </c>
      <c r="AO141" s="60">
        <f t="shared" si="144"/>
        <v>306.61893266146666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-6.2527760746888816E-13</v>
      </c>
      <c r="BE141" s="14">
        <f>BD141*VLOOKUP('Données projet'!$B$11,Paramètres!$A$1:$I$89,3,0)*VLOOKUP('Données projet'!$B$11,Paramètres!$A$1:$I$89,5,0)</f>
        <v>-2.9262992029543964E-13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246.64907095367749</v>
      </c>
      <c r="BJ141" s="60">
        <f t="shared" si="146"/>
        <v>145.34368562171613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4</v>
      </c>
      <c r="BY141" s="13">
        <f>IF('Données projet'!$A$114&gt;35,BY140+BX141-CG140,IF(A141&lt;'Données projet'!$A$114,$BV$205^A141,IF(A141='Données projet'!$A$114,'Données projet'!$B$114,BY140+BX141-CG140)))</f>
        <v>334.99999999999955</v>
      </c>
      <c r="BZ141" s="14">
        <f>BY141*VLOOKUP('Données projet'!$B$12,Paramètres!$A$1:$I$89,3,0)*VLOOKUP('Données projet'!$B$12,Paramètres!$A$1:$I$89,5,0)</f>
        <v>324.01199999999955</v>
      </c>
      <c r="CA141" s="14">
        <f t="shared" si="147"/>
        <v>76.187521990192948</v>
      </c>
      <c r="CB141" s="22">
        <f t="shared" si="118"/>
        <v>697.01416746625182</v>
      </c>
      <c r="CC141" s="60">
        <f t="shared" si="119"/>
        <v>990.34750079958508</v>
      </c>
      <c r="CD141" s="60">
        <f ca="1">AVERAGE(OFFSET($CC$3,0,0,'Données projet'!$E$12+1,1))-AVERAGE(OFFSET($H$3,0,0,'Données projet'!$E$12+1,1))</f>
        <v>541.66888676162716</v>
      </c>
      <c r="CE141" s="60">
        <f t="shared" si="148"/>
        <v>294.45557293177131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4</v>
      </c>
      <c r="CT141" s="13">
        <f>IF('Données projet'!$A$140&gt;35,CT140+CS141-DB140,IF(A141&lt;'Données projet'!$A$140,$CQ$205^A141,IF(A141='Données projet'!$A$140,'Données projet'!$B$140,CT140+CS141-DB140)))</f>
        <v>334.99999999999955</v>
      </c>
      <c r="CU141" s="18">
        <f>CT141*VLOOKUP('Données projet'!$B$13,Paramètres!$A$1:$I$89,3,0)*VLOOKUP('Données projet'!$B$13,Paramètres!$A$1:$I$89,5,0)</f>
        <v>360.59399999999948</v>
      </c>
      <c r="CV141" s="14">
        <f t="shared" si="149"/>
        <v>83.740125620084783</v>
      </c>
      <c r="CW141" s="22">
        <f t="shared" si="121"/>
        <v>773.88193545498007</v>
      </c>
      <c r="CX141" s="60">
        <f t="shared" si="122"/>
        <v>1067.2152687883133</v>
      </c>
      <c r="CY141" s="60">
        <f ca="1">AVERAGE(OFFSET($CX$3,0,0,'Données projet'!$E$13+1,1))-AVERAGE(OFFSET($H$3,0,0,'Données projet'!$E$13+1,1))</f>
        <v>597.75551942969628</v>
      </c>
      <c r="CZ141" s="60">
        <f t="shared" si="150"/>
        <v>322.81767004794284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</v>
      </c>
      <c r="N142" s="14">
        <f>IF('Données projet'!$A$36&gt;35,N141+M142-V141,IF(A142&lt;'Données projet'!$A$36,$K$205^A142,IF(A142='Données projet'!$A$36,'Données projet'!$B$36,N141+M142-V141)))</f>
        <v>338.99999999999955</v>
      </c>
      <c r="O142" s="14">
        <f>N142*VLOOKUP('Données projet'!$B$9,Paramètres!$A$1:$I$89,3,0)*VLOOKUP('Données projet'!$B$9,Paramètres!$A$1:$I$89,5,0)</f>
        <v>306.72719999999958</v>
      </c>
      <c r="P142" s="14">
        <f t="shared" si="141"/>
        <v>72.584917646145513</v>
      </c>
      <c r="Q142" s="22">
        <f t="shared" si="108"/>
        <v>660.63527156703606</v>
      </c>
      <c r="R142" s="60">
        <f t="shared" si="109"/>
        <v>953.96860490036943</v>
      </c>
      <c r="S142" s="60">
        <f ca="1">AVERAGE(OFFSET($R$3,0,0,'Données projet'!$E$9+1,1))-AVERAGE(OFFSET($H$3,0,0,'Données projet'!$E$9+1,1))</f>
        <v>509.56241660612449</v>
      </c>
      <c r="T142" s="60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</v>
      </c>
      <c r="AI142" s="14">
        <f>IF('Données projet'!$A$62&gt;35,AI141+AH142-AQ141,IF(A142&lt;'Données projet'!$A$62,$AF$205^A142,IF(A142='Données projet'!$A$62,'Données projet'!$B$62,AI141+AH142-AQ141)))</f>
        <v>338.99999999999955</v>
      </c>
      <c r="AJ142" s="14">
        <f>AI142*VLOOKUP('Données projet'!$B$10,Paramètres!$A$1:$I$89,3,0)*VLOOKUP('Données projet'!$B$10,Paramètres!$A$1:$I$89,5,0)</f>
        <v>343.74599999999958</v>
      </c>
      <c r="AK142" s="14">
        <f t="shared" si="143"/>
        <v>80.273399486030371</v>
      </c>
      <c r="AL142" s="22">
        <f t="shared" si="112"/>
        <v>738.50045410483551</v>
      </c>
      <c r="AM142" s="60">
        <f t="shared" si="113"/>
        <v>1031.8337874381689</v>
      </c>
      <c r="AN142" s="60">
        <f ca="1">AVERAGE(OFFSET($AM$3,0,0,'Données projet'!$E$10+1,1))-AVERAGE(OFFSET($H$3,0,0,'Données projet'!$E$10+1,1))</f>
        <v>565.72091871734051</v>
      </c>
      <c r="AO142" s="60">
        <f t="shared" si="144"/>
        <v>306.61893266146666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-6.2527760746888816E-13</v>
      </c>
      <c r="BE142" s="14">
        <f>BD142*VLOOKUP('Données projet'!$B$11,Paramètres!$A$1:$I$89,3,0)*VLOOKUP('Données projet'!$B$11,Paramètres!$A$1:$I$89,5,0)</f>
        <v>-2.9262992029543964E-13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246.64907095367749</v>
      </c>
      <c r="BJ142" s="60">
        <f t="shared" si="146"/>
        <v>145.34368562171613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4</v>
      </c>
      <c r="BY142" s="13">
        <f>IF('Données projet'!$A$114&gt;35,BY141+BX142-CG141,IF(A142&lt;'Données projet'!$A$114,$BV$205^A142,IF(A142='Données projet'!$A$114,'Données projet'!$B$114,BY141+BX142-CG141)))</f>
        <v>338.99999999999955</v>
      </c>
      <c r="BZ142" s="14">
        <f>BY142*VLOOKUP('Données projet'!$B$12,Paramètres!$A$1:$I$89,3,0)*VLOOKUP('Données projet'!$B$12,Paramètres!$A$1:$I$89,5,0)</f>
        <v>327.88079999999957</v>
      </c>
      <c r="CA142" s="14">
        <f t="shared" si="147"/>
        <v>76.990778337787333</v>
      </c>
      <c r="CB142" s="22">
        <f t="shared" si="118"/>
        <v>705.15133227164551</v>
      </c>
      <c r="CC142" s="60">
        <f t="shared" si="119"/>
        <v>998.48466560497877</v>
      </c>
      <c r="CD142" s="60">
        <f ca="1">AVERAGE(OFFSET($CC$3,0,0,'Données projet'!$E$12+1,1))-AVERAGE(OFFSET($H$3,0,0,'Données projet'!$E$12+1,1))</f>
        <v>541.66888676162716</v>
      </c>
      <c r="CE142" s="60">
        <f t="shared" si="148"/>
        <v>294.45557293177131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4</v>
      </c>
      <c r="CT142" s="13">
        <f>IF('Données projet'!$A$140&gt;35,CT141+CS142-DB141,IF(A142&lt;'Données projet'!$A$140,$CQ$205^A142,IF(A142='Données projet'!$A$140,'Données projet'!$B$140,CT141+CS142-DB141)))</f>
        <v>338.99999999999955</v>
      </c>
      <c r="CU142" s="18">
        <f>CT142*VLOOKUP('Données projet'!$B$13,Paramètres!$A$1:$I$89,3,0)*VLOOKUP('Données projet'!$B$13,Paramètres!$A$1:$I$89,5,0)</f>
        <v>364.89959999999945</v>
      </c>
      <c r="CV142" s="14">
        <f t="shared" si="149"/>
        <v>84.623010188260366</v>
      </c>
      <c r="CW142" s="22">
        <f t="shared" si="121"/>
        <v>782.91854607788582</v>
      </c>
      <c r="CX142" s="60">
        <f t="shared" si="122"/>
        <v>1076.2518794112191</v>
      </c>
      <c r="CY142" s="60">
        <f ca="1">AVERAGE(OFFSET($CX$3,0,0,'Données projet'!$E$13+1,1))-AVERAGE(OFFSET($H$3,0,0,'Données projet'!$E$13+1,1))</f>
        <v>597.75551942969628</v>
      </c>
      <c r="CZ142" s="60">
        <f t="shared" si="150"/>
        <v>322.81767004794284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343</v>
      </c>
      <c r="L143" s="13">
        <f>VLOOKUP(A143,'Données projet'!$A$35:$I$55,9,0)</f>
        <v>4</v>
      </c>
      <c r="M143" s="13">
        <f t="array" ref="M143">INDEX(L:L,MIN(IF(ISNUMBER(L143:L339),ROW(L143:L339),"")))</f>
        <v>4</v>
      </c>
      <c r="N143" s="14">
        <f>IF('Données projet'!$A$36&gt;35,N142+M143-V142,IF(A143&lt;'Données projet'!$A$36,$K$205^A143,IF(A143='Données projet'!$A$36,'Données projet'!$B$36,N142+M143-V142)))</f>
        <v>342.99999999999955</v>
      </c>
      <c r="O143" s="14">
        <f>N143*VLOOKUP('Données projet'!$B$9,Paramètres!$A$1:$I$89,3,0)*VLOOKUP('Données projet'!$B$9,Paramètres!$A$1:$I$89,5,0)</f>
        <v>310.34639999999956</v>
      </c>
      <c r="P143" s="14">
        <f t="shared" si="141"/>
        <v>73.341167576152927</v>
      </c>
      <c r="Q143" s="22">
        <f t="shared" si="108"/>
        <v>668.25584686179889</v>
      </c>
      <c r="R143" s="60">
        <f t="shared" si="109"/>
        <v>961.58918019513226</v>
      </c>
      <c r="S143" s="60">
        <f ca="1">AVERAGE(OFFSET($R$3,0,0,'Données projet'!$E$9+1,1))-AVERAGE(OFFSET($H$3,0,0,'Données projet'!$E$9+1,1))</f>
        <v>509.56241660612449</v>
      </c>
      <c r="T143" s="60">
        <f t="shared" si="142"/>
        <v>278.21741231699929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43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343</v>
      </c>
      <c r="AG143" s="13">
        <f>VLOOKUP(A143,'Données projet'!$A$61:$I$81,9,0)</f>
        <v>4</v>
      </c>
      <c r="AH143" s="13">
        <f t="array" ref="AH143">INDEX(AG:AG,MIN(IF(ISNUMBER(AG143:AG339),ROW(AG143:AG339),"")))</f>
        <v>4</v>
      </c>
      <c r="AI143" s="14">
        <f>IF('Données projet'!$A$62&gt;35,AI142+AH143-AQ142,IF(A143&lt;'Données projet'!$A$62,$AF$205^A143,IF(A143='Données projet'!$A$62,'Données projet'!$B$62,AI142+AH143-AQ142)))</f>
        <v>342.99999999999955</v>
      </c>
      <c r="AJ143" s="14">
        <f>AI143*VLOOKUP('Données projet'!$B$10,Paramètres!$A$1:$I$89,3,0)*VLOOKUP('Données projet'!$B$10,Paramètres!$A$1:$I$89,5,0)</f>
        <v>347.80199999999957</v>
      </c>
      <c r="AK143" s="14">
        <f t="shared" si="143"/>
        <v>81.109754402608502</v>
      </c>
      <c r="AL143" s="22">
        <f t="shared" si="112"/>
        <v>747.02130558454235</v>
      </c>
      <c r="AM143" s="60">
        <f t="shared" si="113"/>
        <v>1040.3546389178757</v>
      </c>
      <c r="AN143" s="60">
        <f ca="1">AVERAGE(OFFSET($AM$3,0,0,'Données projet'!$E$10+1,1))-AVERAGE(OFFSET($H$3,0,0,'Données projet'!$E$10+1,1))</f>
        <v>565.72091871734051</v>
      </c>
      <c r="AO143" s="60">
        <f t="shared" si="144"/>
        <v>306.61893266146666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43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-6.2527760746888816E-13</v>
      </c>
      <c r="BE143" s="14">
        <f>BD143*VLOOKUP('Données projet'!$B$11,Paramètres!$A$1:$I$89,3,0)*VLOOKUP('Données projet'!$B$11,Paramètres!$A$1:$I$89,5,0)</f>
        <v>-2.9262992029543964E-13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246.64907095367749</v>
      </c>
      <c r="BJ143" s="60">
        <f t="shared" si="146"/>
        <v>145.34368562171613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343</v>
      </c>
      <c r="BW143" s="13">
        <f>VLOOKUP(A143,'Données projet'!$A$113:$I$133,9,0)</f>
        <v>4</v>
      </c>
      <c r="BX143" s="13">
        <f t="array" ref="BX143">INDEX(BW:BW,MIN(IF(ISNUMBER(BW143:BW339),ROW(BW143:BW339),"")))</f>
        <v>4</v>
      </c>
      <c r="BY143" s="13">
        <f>IF('Données projet'!$A$114&gt;35,BY142+BX143-CG142,IF(A143&lt;'Données projet'!$A$114,$BV$205^A143,IF(A143='Données projet'!$A$114,'Données projet'!$B$114,BY142+BX143-CG142)))</f>
        <v>342.99999999999955</v>
      </c>
      <c r="BZ143" s="14">
        <f>BY143*VLOOKUP('Données projet'!$B$12,Paramètres!$A$1:$I$89,3,0)*VLOOKUP('Données projet'!$B$12,Paramètres!$A$1:$I$89,5,0)</f>
        <v>331.74959999999959</v>
      </c>
      <c r="CA143" s="14">
        <f t="shared" si="147"/>
        <v>77.792932182102746</v>
      </c>
      <c r="CB143" s="22">
        <f t="shared" si="118"/>
        <v>713.28657688382816</v>
      </c>
      <c r="CC143" s="60">
        <f t="shared" si="119"/>
        <v>1006.6199102171615</v>
      </c>
      <c r="CD143" s="60">
        <f ca="1">AVERAGE(OFFSET($CC$3,0,0,'Données projet'!$E$12+1,1))-AVERAGE(OFFSET($H$3,0,0,'Données projet'!$E$12+1,1))</f>
        <v>541.66888676162716</v>
      </c>
      <c r="CE143" s="60">
        <f t="shared" si="148"/>
        <v>294.45557293177131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43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343</v>
      </c>
      <c r="CR143" s="13">
        <f>VLOOKUP(A143,'Données projet'!$A$139:$I$159,9,0)</f>
        <v>4</v>
      </c>
      <c r="CS143" s="13">
        <f t="array" ref="CS143">INDEX(CR:CR,MIN(IF(ISNUMBER(CR143:CR339),ROW(CR143:CR339),"")))</f>
        <v>4</v>
      </c>
      <c r="CT143" s="13">
        <f>IF('Données projet'!$A$140&gt;35,CT142+CS143-DB142,IF(A143&lt;'Données projet'!$A$140,$CQ$205^A143,IF(A143='Données projet'!$A$140,'Données projet'!$B$140,CT142+CS143-DB142)))</f>
        <v>342.99999999999955</v>
      </c>
      <c r="CU143" s="18">
        <f>CT143*VLOOKUP('Données projet'!$B$13,Paramètres!$A$1:$I$89,3,0)*VLOOKUP('Données projet'!$B$13,Paramètres!$A$1:$I$89,5,0)</f>
        <v>369.20519999999948</v>
      </c>
      <c r="CV143" s="14">
        <f t="shared" si="149"/>
        <v>85.504682960059498</v>
      </c>
      <c r="CW143" s="22">
        <f t="shared" si="121"/>
        <v>791.95304615543603</v>
      </c>
      <c r="CX143" s="60">
        <f t="shared" si="122"/>
        <v>1085.2863794887694</v>
      </c>
      <c r="CY143" s="60">
        <f ca="1">AVERAGE(OFFSET($CX$3,0,0,'Données projet'!$E$13+1,1))-AVERAGE(OFFSET($H$3,0,0,'Données projet'!$E$13+1,1))</f>
        <v>597.75551942969628</v>
      </c>
      <c r="CZ143" s="60">
        <f t="shared" si="150"/>
        <v>322.81767004794284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43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303.49999999999955</v>
      </c>
      <c r="O144" s="14">
        <f>N144*VLOOKUP('Données projet'!$B$9,Paramètres!$A$1:$I$89,3,0)*VLOOKUP('Données projet'!$B$9,Paramètres!$A$1:$I$89,5,0)</f>
        <v>274.60679999999957</v>
      </c>
      <c r="P144" s="14">
        <f t="shared" si="141"/>
        <v>65.825983768649721</v>
      </c>
      <c r="Q144" s="22">
        <f t="shared" si="108"/>
        <v>592.92043173039758</v>
      </c>
      <c r="R144" s="60">
        <f t="shared" si="109"/>
        <v>886.25376506373095</v>
      </c>
      <c r="S144" s="60">
        <f ca="1">AVERAGE(OFFSET($R$3,0,0,'Données projet'!$E$9+1,1))-AVERAGE(OFFSET($H$3,0,0,'Données projet'!$E$9+1,1))</f>
        <v>509.56241660612449</v>
      </c>
      <c r="T144" s="60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303.49999999999955</v>
      </c>
      <c r="AJ144" s="14">
        <f>AI144*VLOOKUP('Données projet'!$B$10,Paramètres!$A$1:$I$89,3,0)*VLOOKUP('Données projet'!$B$10,Paramètres!$A$1:$I$89,5,0)</f>
        <v>307.74899999999957</v>
      </c>
      <c r="AK144" s="14">
        <f t="shared" si="143"/>
        <v>72.798532573693379</v>
      </c>
      <c r="AL144" s="22">
        <f t="shared" si="112"/>
        <v>662.78695256584854</v>
      </c>
      <c r="AM144" s="60">
        <f t="shared" si="113"/>
        <v>956.12028589918191</v>
      </c>
      <c r="AN144" s="60">
        <f ca="1">AVERAGE(OFFSET($AM$3,0,0,'Données projet'!$E$10+1,1))-AVERAGE(OFFSET($H$3,0,0,'Données projet'!$E$10+1,1))</f>
        <v>565.72091871734051</v>
      </c>
      <c r="AO144" s="60">
        <f t="shared" si="144"/>
        <v>306.61893266146666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-6.2527760746888816E-13</v>
      </c>
      <c r="BE144" s="14">
        <f>BD144*VLOOKUP('Données projet'!$B$11,Paramètres!$A$1:$I$89,3,0)*VLOOKUP('Données projet'!$B$11,Paramètres!$A$1:$I$89,5,0)</f>
        <v>-2.9262992029543964E-13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246.64907095367749</v>
      </c>
      <c r="BJ144" s="60">
        <f t="shared" si="146"/>
        <v>145.34368562171613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</v>
      </c>
      <c r="BY144" s="13">
        <f>IF('Données projet'!$A$114&gt;35,BY143+BX144-CG143,IF(A144&lt;'Données projet'!$A$114,$BV$205^A144,IF(A144='Données projet'!$A$114,'Données projet'!$B$114,BY143+BX144-CG143)))</f>
        <v>303.49999999999955</v>
      </c>
      <c r="BZ144" s="14">
        <f>BY144*VLOOKUP('Données projet'!$B$12,Paramètres!$A$1:$I$89,3,0)*VLOOKUP('Données projet'!$B$12,Paramètres!$A$1:$I$89,5,0)</f>
        <v>293.54519999999957</v>
      </c>
      <c r="CA144" s="14">
        <f t="shared" si="147"/>
        <v>69.821581253361501</v>
      </c>
      <c r="CB144" s="22">
        <f t="shared" si="118"/>
        <v>632.86381068293724</v>
      </c>
      <c r="CC144" s="60">
        <f t="shared" si="119"/>
        <v>926.19714401627061</v>
      </c>
      <c r="CD144" s="60">
        <f ca="1">AVERAGE(OFFSET($CC$3,0,0,'Données projet'!$E$12+1,1))-AVERAGE(OFFSET($H$3,0,0,'Données projet'!$E$12+1,1))</f>
        <v>541.66888676162716</v>
      </c>
      <c r="CE144" s="60">
        <f t="shared" si="148"/>
        <v>294.45557293177131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3.5</v>
      </c>
      <c r="CT144" s="13">
        <f>IF('Données projet'!$A$140&gt;35,CT143+CS144-DB143,IF(A144&lt;'Données projet'!$A$140,$CQ$205^A144,IF(A144='Données projet'!$A$140,'Données projet'!$B$140,CT143+CS144-DB143)))</f>
        <v>303.49999999999955</v>
      </c>
      <c r="CU144" s="18">
        <f>CT144*VLOOKUP('Données projet'!$B$13,Paramètres!$A$1:$I$89,3,0)*VLOOKUP('Données projet'!$B$13,Paramètres!$A$1:$I$89,5,0)</f>
        <v>326.68739999999951</v>
      </c>
      <c r="CV144" s="14">
        <f t="shared" si="149"/>
        <v>76.743117933433624</v>
      </c>
      <c r="CW144" s="22">
        <f t="shared" si="121"/>
        <v>702.64148540072938</v>
      </c>
      <c r="CX144" s="60">
        <f t="shared" si="122"/>
        <v>995.97481873406264</v>
      </c>
      <c r="CY144" s="60">
        <f ca="1">AVERAGE(OFFSET($CX$3,0,0,'Données projet'!$E$13+1,1))-AVERAGE(OFFSET($H$3,0,0,'Données projet'!$E$13+1,1))</f>
        <v>597.75551942969628</v>
      </c>
      <c r="CZ144" s="60">
        <f t="shared" si="150"/>
        <v>322.81767004794284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306.99999999999955</v>
      </c>
      <c r="O145" s="14">
        <f>N145*VLOOKUP('Données projet'!$B$9,Paramètres!$A$1:$I$89,3,0)*VLOOKUP('Données projet'!$B$9,Paramètres!$A$1:$I$89,5,0)</f>
        <v>277.77359999999959</v>
      </c>
      <c r="P145" s="14">
        <f t="shared" si="141"/>
        <v>66.496288176842299</v>
      </c>
      <c r="Q145" s="22">
        <f t="shared" si="108"/>
        <v>599.60338857466627</v>
      </c>
      <c r="R145" s="60">
        <f t="shared" si="109"/>
        <v>892.93672190799953</v>
      </c>
      <c r="S145" s="60">
        <f ca="1">AVERAGE(OFFSET($R$3,0,0,'Données projet'!$E$9+1,1))-AVERAGE(OFFSET($H$3,0,0,'Données projet'!$E$9+1,1))</f>
        <v>509.56241660612449</v>
      </c>
      <c r="T145" s="60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306.99999999999955</v>
      </c>
      <c r="AJ145" s="14">
        <f>AI145*VLOOKUP('Données projet'!$B$10,Paramètres!$A$1:$I$89,3,0)*VLOOKUP('Données projet'!$B$10,Paramètres!$A$1:$I$89,5,0)</f>
        <v>311.29799999999955</v>
      </c>
      <c r="AK145" s="14">
        <f t="shared" si="143"/>
        <v>73.53983827852862</v>
      </c>
      <c r="AL145" s="22">
        <f t="shared" si="112"/>
        <v>670.25923500176987</v>
      </c>
      <c r="AM145" s="60">
        <f t="shared" si="113"/>
        <v>963.59256833510312</v>
      </c>
      <c r="AN145" s="60">
        <f ca="1">AVERAGE(OFFSET($AM$3,0,0,'Données projet'!$E$10+1,1))-AVERAGE(OFFSET($H$3,0,0,'Données projet'!$E$10+1,1))</f>
        <v>565.72091871734051</v>
      </c>
      <c r="AO145" s="60">
        <f t="shared" si="144"/>
        <v>306.61893266146666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-6.2527760746888816E-13</v>
      </c>
      <c r="BE145" s="14">
        <f>BD145*VLOOKUP('Données projet'!$B$11,Paramètres!$A$1:$I$89,3,0)*VLOOKUP('Données projet'!$B$11,Paramètres!$A$1:$I$89,5,0)</f>
        <v>-2.9262992029543964E-13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246.64907095367749</v>
      </c>
      <c r="BJ145" s="60">
        <f t="shared" si="146"/>
        <v>145.34368562171613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</v>
      </c>
      <c r="BY145" s="13">
        <f>IF('Données projet'!$A$114&gt;35,BY144+BX145-CG144,IF(A145&lt;'Données projet'!$A$114,$BV$205^A145,IF(A145='Données projet'!$A$114,'Données projet'!$B$114,BY144+BX145-CG144)))</f>
        <v>306.99999999999955</v>
      </c>
      <c r="BZ145" s="14">
        <f>BY145*VLOOKUP('Données projet'!$B$12,Paramètres!$A$1:$I$89,3,0)*VLOOKUP('Données projet'!$B$12,Paramètres!$A$1:$I$89,5,0)</f>
        <v>296.93039999999957</v>
      </c>
      <c r="CA145" s="14">
        <f t="shared" si="147"/>
        <v>70.532572734561199</v>
      </c>
      <c r="CB145" s="22">
        <f t="shared" si="118"/>
        <v>639.99801084602666</v>
      </c>
      <c r="CC145" s="60">
        <f t="shared" si="119"/>
        <v>933.33134417936003</v>
      </c>
      <c r="CD145" s="60">
        <f ca="1">AVERAGE(OFFSET($CC$3,0,0,'Données projet'!$E$12+1,1))-AVERAGE(OFFSET($H$3,0,0,'Données projet'!$E$12+1,1))</f>
        <v>541.66888676162716</v>
      </c>
      <c r="CE145" s="60">
        <f t="shared" si="148"/>
        <v>294.45557293177131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3.5</v>
      </c>
      <c r="CT145" s="13">
        <f>IF('Données projet'!$A$140&gt;35,CT144+CS145-DB144,IF(A145&lt;'Données projet'!$A$140,$CQ$205^A145,IF(A145='Données projet'!$A$140,'Données projet'!$B$140,CT144+CS145-DB144)))</f>
        <v>306.99999999999955</v>
      </c>
      <c r="CU145" s="18">
        <f>CT145*VLOOKUP('Données projet'!$B$13,Paramètres!$A$1:$I$89,3,0)*VLOOKUP('Données projet'!$B$13,Paramètres!$A$1:$I$89,5,0)</f>
        <v>330.45479999999952</v>
      </c>
      <c r="CV145" s="14">
        <f t="shared" si="149"/>
        <v>77.524591256035407</v>
      </c>
      <c r="CW145" s="22">
        <f t="shared" si="121"/>
        <v>710.56410643759409</v>
      </c>
      <c r="CX145" s="60">
        <f t="shared" si="122"/>
        <v>1003.8974397709273</v>
      </c>
      <c r="CY145" s="60">
        <f ca="1">AVERAGE(OFFSET($CX$3,0,0,'Données projet'!$E$13+1,1))-AVERAGE(OFFSET($H$3,0,0,'Données projet'!$E$13+1,1))</f>
        <v>597.75551942969628</v>
      </c>
      <c r="CZ145" s="60">
        <f t="shared" si="150"/>
        <v>322.81767004794284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310.49999999999955</v>
      </c>
      <c r="O146" s="14">
        <f>N146*VLOOKUP('Données projet'!$B$9,Paramètres!$A$1:$I$89,3,0)*VLOOKUP('Données projet'!$B$9,Paramètres!$A$1:$I$89,5,0)</f>
        <v>280.94039999999956</v>
      </c>
      <c r="P146" s="14">
        <f t="shared" si="141"/>
        <v>67.165703636653078</v>
      </c>
      <c r="Q146" s="22">
        <f t="shared" si="108"/>
        <v>606.28479716716993</v>
      </c>
      <c r="R146" s="60">
        <f t="shared" si="109"/>
        <v>899.61813050050318</v>
      </c>
      <c r="S146" s="60">
        <f ca="1">AVERAGE(OFFSET($R$3,0,0,'Données projet'!$E$9+1,1))-AVERAGE(OFFSET($H$3,0,0,'Données projet'!$E$9+1,1))</f>
        <v>509.56241660612449</v>
      </c>
      <c r="T146" s="60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310.49999999999955</v>
      </c>
      <c r="AJ146" s="14">
        <f>AI146*VLOOKUP('Données projet'!$B$10,Paramètres!$A$1:$I$89,3,0)*VLOOKUP('Données projet'!$B$10,Paramètres!$A$1:$I$89,5,0)</f>
        <v>314.84699999999953</v>
      </c>
      <c r="AK146" s="14">
        <f t="shared" si="143"/>
        <v>74.280160874050353</v>
      </c>
      <c r="AL146" s="22">
        <f t="shared" si="112"/>
        <v>677.7298051889702</v>
      </c>
      <c r="AM146" s="60">
        <f t="shared" si="113"/>
        <v>971.06313852230346</v>
      </c>
      <c r="AN146" s="60">
        <f ca="1">AVERAGE(OFFSET($AM$3,0,0,'Données projet'!$E$10+1,1))-AVERAGE(OFFSET($H$3,0,0,'Données projet'!$E$10+1,1))</f>
        <v>565.72091871734051</v>
      </c>
      <c r="AO146" s="60">
        <f t="shared" si="144"/>
        <v>306.61893266146666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-6.2527760746888816E-13</v>
      </c>
      <c r="BE146" s="14">
        <f>BD146*VLOOKUP('Données projet'!$B$11,Paramètres!$A$1:$I$89,3,0)*VLOOKUP('Données projet'!$B$11,Paramètres!$A$1:$I$89,5,0)</f>
        <v>-2.9262992029543964E-13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246.64907095367749</v>
      </c>
      <c r="BJ146" s="60">
        <f t="shared" si="146"/>
        <v>145.34368562171613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</v>
      </c>
      <c r="BY146" s="13">
        <f>IF('Données projet'!$A$114&gt;35,BY145+BX146-CG145,IF(A146&lt;'Données projet'!$A$114,$BV$205^A146,IF(A146='Données projet'!$A$114,'Données projet'!$B$114,BY145+BX146-CG145)))</f>
        <v>310.49999999999955</v>
      </c>
      <c r="BZ146" s="14">
        <f>BY146*VLOOKUP('Données projet'!$B$12,Paramètres!$A$1:$I$89,3,0)*VLOOKUP('Données projet'!$B$12,Paramètres!$A$1:$I$89,5,0)</f>
        <v>300.31559999999956</v>
      </c>
      <c r="CA146" s="14">
        <f t="shared" si="147"/>
        <v>71.242621308749008</v>
      </c>
      <c r="CB146" s="22">
        <f t="shared" si="118"/>
        <v>647.13056877940369</v>
      </c>
      <c r="CC146" s="60">
        <f t="shared" si="119"/>
        <v>940.46390211273706</v>
      </c>
      <c r="CD146" s="60">
        <f ca="1">AVERAGE(OFFSET($CC$3,0,0,'Données projet'!$E$12+1,1))-AVERAGE(OFFSET($H$3,0,0,'Données projet'!$E$12+1,1))</f>
        <v>541.66888676162716</v>
      </c>
      <c r="CE146" s="60">
        <f t="shared" si="148"/>
        <v>294.45557293177131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3.5</v>
      </c>
      <c r="CT146" s="13">
        <f>IF('Données projet'!$A$140&gt;35,CT145+CS146-DB145,IF(A146&lt;'Données projet'!$A$140,$CQ$205^A146,IF(A146='Données projet'!$A$140,'Données projet'!$B$140,CT145+CS146-DB145)))</f>
        <v>310.49999999999955</v>
      </c>
      <c r="CU146" s="18">
        <f>CT146*VLOOKUP('Données projet'!$B$13,Paramètres!$A$1:$I$89,3,0)*VLOOKUP('Données projet'!$B$13,Paramètres!$A$1:$I$89,5,0)</f>
        <v>334.22219999999948</v>
      </c>
      <c r="CV146" s="14">
        <f t="shared" si="149"/>
        <v>78.305028199587696</v>
      </c>
      <c r="CW146" s="22">
        <f t="shared" si="121"/>
        <v>718.48492244761428</v>
      </c>
      <c r="CX146" s="60">
        <f t="shared" si="122"/>
        <v>1011.8182557809475</v>
      </c>
      <c r="CY146" s="60">
        <f ca="1">AVERAGE(OFFSET($CX$3,0,0,'Données projet'!$E$13+1,1))-AVERAGE(OFFSET($H$3,0,0,'Données projet'!$E$13+1,1))</f>
        <v>597.75551942969628</v>
      </c>
      <c r="CZ146" s="60">
        <f t="shared" si="150"/>
        <v>322.81767004794284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313.99999999999955</v>
      </c>
      <c r="O147" s="14">
        <f>N147*VLOOKUP('Données projet'!$B$9,Paramètres!$A$1:$I$89,3,0)*VLOOKUP('Données projet'!$B$9,Paramètres!$A$1:$I$89,5,0)</f>
        <v>284.10719999999958</v>
      </c>
      <c r="P147" s="14">
        <f t="shared" si="141"/>
        <v>67.834241327943658</v>
      </c>
      <c r="Q147" s="22">
        <f t="shared" si="108"/>
        <v>612.96467697950118</v>
      </c>
      <c r="R147" s="60">
        <f t="shared" si="109"/>
        <v>906.29801031283455</v>
      </c>
      <c r="S147" s="60">
        <f ca="1">AVERAGE(OFFSET($R$3,0,0,'Données projet'!$E$9+1,1))-AVERAGE(OFFSET($H$3,0,0,'Données projet'!$E$9+1,1))</f>
        <v>509.56241660612449</v>
      </c>
      <c r="T147" s="60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313.99999999999955</v>
      </c>
      <c r="AJ147" s="14">
        <f>AI147*VLOOKUP('Données projet'!$B$10,Paramètres!$A$1:$I$89,3,0)*VLOOKUP('Données projet'!$B$10,Paramètres!$A$1:$I$89,5,0)</f>
        <v>318.39599999999956</v>
      </c>
      <c r="AK147" s="14">
        <f t="shared" si="143"/>
        <v>75.019512724334874</v>
      </c>
      <c r="AL147" s="22">
        <f t="shared" si="112"/>
        <v>685.19868466154912</v>
      </c>
      <c r="AM147" s="60">
        <f t="shared" si="113"/>
        <v>978.53201799488238</v>
      </c>
      <c r="AN147" s="60">
        <f ca="1">AVERAGE(OFFSET($AM$3,0,0,'Données projet'!$E$10+1,1))-AVERAGE(OFFSET($H$3,0,0,'Données projet'!$E$10+1,1))</f>
        <v>565.72091871734051</v>
      </c>
      <c r="AO147" s="60">
        <f t="shared" si="144"/>
        <v>306.61893266146666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-6.2527760746888816E-13</v>
      </c>
      <c r="BE147" s="14">
        <f>BD147*VLOOKUP('Données projet'!$B$11,Paramètres!$A$1:$I$89,3,0)*VLOOKUP('Données projet'!$B$11,Paramètres!$A$1:$I$89,5,0)</f>
        <v>-2.9262992029543964E-13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246.64907095367749</v>
      </c>
      <c r="BJ147" s="60">
        <f t="shared" si="146"/>
        <v>145.34368562171613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</v>
      </c>
      <c r="BY147" s="13">
        <f>IF('Données projet'!$A$114&gt;35,BY146+BX147-CG146,IF(A147&lt;'Données projet'!$A$114,$BV$205^A147,IF(A147='Données projet'!$A$114,'Données projet'!$B$114,BY146+BX147-CG146)))</f>
        <v>313.99999999999955</v>
      </c>
      <c r="BZ147" s="14">
        <f>BY147*VLOOKUP('Données projet'!$B$12,Paramètres!$A$1:$I$89,3,0)*VLOOKUP('Données projet'!$B$12,Paramètres!$A$1:$I$89,5,0)</f>
        <v>303.70079999999956</v>
      </c>
      <c r="CA147" s="14">
        <f t="shared" si="147"/>
        <v>71.95173883439702</v>
      </c>
      <c r="CB147" s="22">
        <f t="shared" si="118"/>
        <v>654.26150513657399</v>
      </c>
      <c r="CC147" s="60">
        <f t="shared" si="119"/>
        <v>947.59483846990724</v>
      </c>
      <c r="CD147" s="60">
        <f ca="1">AVERAGE(OFFSET($CC$3,0,0,'Données projet'!$E$12+1,1))-AVERAGE(OFFSET($H$3,0,0,'Données projet'!$E$12+1,1))</f>
        <v>541.66888676162716</v>
      </c>
      <c r="CE147" s="60">
        <f t="shared" si="148"/>
        <v>294.45557293177131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3.5</v>
      </c>
      <c r="CT147" s="13">
        <f>IF('Données projet'!$A$140&gt;35,CT146+CS147-DB146,IF(A147&lt;'Données projet'!$A$140,$CQ$205^A147,IF(A147='Données projet'!$A$140,'Données projet'!$B$140,CT146+CS147-DB146)))</f>
        <v>313.99999999999955</v>
      </c>
      <c r="CU147" s="18">
        <f>CT147*VLOOKUP('Données projet'!$B$13,Paramètres!$A$1:$I$89,3,0)*VLOOKUP('Données projet'!$B$13,Paramètres!$A$1:$I$89,5,0)</f>
        <v>337.98959999999948</v>
      </c>
      <c r="CV147" s="14">
        <f t="shared" si="149"/>
        <v>79.084441798113929</v>
      </c>
      <c r="CW147" s="22">
        <f t="shared" si="121"/>
        <v>726.40395613171404</v>
      </c>
      <c r="CX147" s="60">
        <f t="shared" si="122"/>
        <v>1019.7372894650473</v>
      </c>
      <c r="CY147" s="60">
        <f ca="1">AVERAGE(OFFSET($CX$3,0,0,'Données projet'!$E$13+1,1))-AVERAGE(OFFSET($H$3,0,0,'Données projet'!$E$13+1,1))</f>
        <v>597.75551942969628</v>
      </c>
      <c r="CZ147" s="60">
        <f t="shared" si="150"/>
        <v>322.81767004794284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317.49999999999955</v>
      </c>
      <c r="O148" s="14">
        <f>N148*VLOOKUP('Données projet'!$B$9,Paramètres!$A$1:$I$89,3,0)*VLOOKUP('Données projet'!$B$9,Paramètres!$A$1:$I$89,5,0)</f>
        <v>287.2739999999996</v>
      </c>
      <c r="P148" s="14">
        <f t="shared" si="141"/>
        <v>68.501912166991971</v>
      </c>
      <c r="Q148" s="22">
        <f t="shared" si="108"/>
        <v>619.64304702417701</v>
      </c>
      <c r="R148" s="60">
        <f t="shared" si="109"/>
        <v>912.97638035751038</v>
      </c>
      <c r="S148" s="60">
        <f ca="1">AVERAGE(OFFSET($R$3,0,0,'Données projet'!$E$9+1,1))-AVERAGE(OFFSET($H$3,0,0,'Données projet'!$E$9+1,1))</f>
        <v>509.56241660612449</v>
      </c>
      <c r="T148" s="60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317.49999999999955</v>
      </c>
      <c r="AJ148" s="14">
        <f>AI148*VLOOKUP('Données projet'!$B$10,Paramètres!$A$1:$I$89,3,0)*VLOOKUP('Données projet'!$B$10,Paramètres!$A$1:$I$89,5,0)</f>
        <v>321.9449999999996</v>
      </c>
      <c r="AK148" s="14">
        <f t="shared" si="143"/>
        <v>75.757905901955908</v>
      </c>
      <c r="AL148" s="22">
        <f t="shared" si="112"/>
        <v>692.66589444590579</v>
      </c>
      <c r="AM148" s="60">
        <f t="shared" si="113"/>
        <v>985.99922777923916</v>
      </c>
      <c r="AN148" s="60">
        <f ca="1">AVERAGE(OFFSET($AM$3,0,0,'Données projet'!$E$10+1,1))-AVERAGE(OFFSET($H$3,0,0,'Données projet'!$E$10+1,1))</f>
        <v>565.72091871734051</v>
      </c>
      <c r="AO148" s="60">
        <f t="shared" si="144"/>
        <v>306.61893266146666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-6.2527760746888816E-13</v>
      </c>
      <c r="BE148" s="14">
        <f>BD148*VLOOKUP('Données projet'!$B$11,Paramètres!$A$1:$I$89,3,0)*VLOOKUP('Données projet'!$B$11,Paramètres!$A$1:$I$89,5,0)</f>
        <v>-2.9262992029543964E-13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246.64907095367749</v>
      </c>
      <c r="BJ148" s="60">
        <f t="shared" si="146"/>
        <v>145.34368562171613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</v>
      </c>
      <c r="BY148" s="13">
        <f>IF('Données projet'!$A$114&gt;35,BY147+BX148-CG147,IF(A148&lt;'Données projet'!$A$114,$BV$205^A148,IF(A148='Données projet'!$A$114,'Données projet'!$B$114,BY147+BX148-CG147)))</f>
        <v>317.49999999999955</v>
      </c>
      <c r="BZ148" s="14">
        <f>BY148*VLOOKUP('Données projet'!$B$12,Paramètres!$A$1:$I$89,3,0)*VLOOKUP('Données projet'!$B$12,Paramètres!$A$1:$I$89,5,0)</f>
        <v>307.08599999999956</v>
      </c>
      <c r="CA148" s="14">
        <f t="shared" si="147"/>
        <v>72.659936890395059</v>
      </c>
      <c r="CB148" s="22">
        <f t="shared" si="118"/>
        <v>661.39084008410396</v>
      </c>
      <c r="CC148" s="60">
        <f t="shared" si="119"/>
        <v>954.72417341743721</v>
      </c>
      <c r="CD148" s="60">
        <f ca="1">AVERAGE(OFFSET($CC$3,0,0,'Données projet'!$E$12+1,1))-AVERAGE(OFFSET($H$3,0,0,'Données projet'!$E$12+1,1))</f>
        <v>541.66888676162716</v>
      </c>
      <c r="CE148" s="60">
        <f t="shared" si="148"/>
        <v>294.45557293177131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3.5</v>
      </c>
      <c r="CT148" s="13">
        <f>IF('Données projet'!$A$140&gt;35,CT147+CS148-DB147,IF(A148&lt;'Données projet'!$A$140,$CQ$205^A148,IF(A148='Données projet'!$A$140,'Données projet'!$B$140,CT147+CS148-DB147)))</f>
        <v>317.49999999999955</v>
      </c>
      <c r="CU148" s="18">
        <f>CT148*VLOOKUP('Données projet'!$B$13,Paramètres!$A$1:$I$89,3,0)*VLOOKUP('Données projet'!$B$13,Paramètres!$A$1:$I$89,5,0)</f>
        <v>341.75699999999949</v>
      </c>
      <c r="CV148" s="14">
        <f t="shared" si="149"/>
        <v>79.862844778339536</v>
      </c>
      <c r="CW148" s="22">
        <f t="shared" si="121"/>
        <v>734.32122965560711</v>
      </c>
      <c r="CX148" s="60">
        <f t="shared" si="122"/>
        <v>1027.6545629889404</v>
      </c>
      <c r="CY148" s="60">
        <f ca="1">AVERAGE(OFFSET($CX$3,0,0,'Données projet'!$E$13+1,1))-AVERAGE(OFFSET($H$3,0,0,'Données projet'!$E$13+1,1))</f>
        <v>597.75551942969628</v>
      </c>
      <c r="CZ148" s="60">
        <f t="shared" si="150"/>
        <v>322.81767004794284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320.99999999999955</v>
      </c>
      <c r="O149" s="14">
        <f>N149*VLOOKUP('Données projet'!$B$9,Paramètres!$A$1:$I$89,3,0)*VLOOKUP('Données projet'!$B$9,Paramètres!$A$1:$I$89,5,0)</f>
        <v>290.44079999999957</v>
      </c>
      <c r="P149" s="14">
        <f t="shared" si="141"/>
        <v>69.168726815543238</v>
      </c>
      <c r="Q149" s="22">
        <f t="shared" si="108"/>
        <v>626.31992587040372</v>
      </c>
      <c r="R149" s="60">
        <f t="shared" si="109"/>
        <v>919.65325920373698</v>
      </c>
      <c r="S149" s="60">
        <f ca="1">AVERAGE(OFFSET($R$3,0,0,'Données projet'!$E$9+1,1))-AVERAGE(OFFSET($H$3,0,0,'Données projet'!$E$9+1,1))</f>
        <v>509.56241660612449</v>
      </c>
      <c r="T149" s="60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320.99999999999955</v>
      </c>
      <c r="AJ149" s="14">
        <f>AI149*VLOOKUP('Données projet'!$B$10,Paramètres!$A$1:$I$89,3,0)*VLOOKUP('Données projet'!$B$10,Paramètres!$A$1:$I$89,5,0)</f>
        <v>325.49399999999957</v>
      </c>
      <c r="AK149" s="14">
        <f t="shared" si="143"/>
        <v>76.495352197992801</v>
      </c>
      <c r="AL149" s="22">
        <f t="shared" si="112"/>
        <v>700.13145507817001</v>
      </c>
      <c r="AM149" s="60">
        <f t="shared" si="113"/>
        <v>993.46478841150338</v>
      </c>
      <c r="AN149" s="60">
        <f ca="1">AVERAGE(OFFSET($AM$3,0,0,'Données projet'!$E$10+1,1))-AVERAGE(OFFSET($H$3,0,0,'Données projet'!$E$10+1,1))</f>
        <v>565.72091871734051</v>
      </c>
      <c r="AO149" s="60">
        <f t="shared" si="144"/>
        <v>306.61893266146666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-6.2527760746888816E-13</v>
      </c>
      <c r="BE149" s="14">
        <f>BD149*VLOOKUP('Données projet'!$B$11,Paramètres!$A$1:$I$89,3,0)*VLOOKUP('Données projet'!$B$11,Paramètres!$A$1:$I$89,5,0)</f>
        <v>-2.9262992029543964E-13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246.64907095367749</v>
      </c>
      <c r="BJ149" s="60">
        <f t="shared" si="146"/>
        <v>145.34368562171613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</v>
      </c>
      <c r="BY149" s="13">
        <f>IF('Données projet'!$A$114&gt;35,BY148+BX149-CG148,IF(A149&lt;'Données projet'!$A$114,$BV$205^A149,IF(A149='Données projet'!$A$114,'Données projet'!$B$114,BY148+BX149-CG148)))</f>
        <v>320.99999999999955</v>
      </c>
      <c r="BZ149" s="14">
        <f>BY149*VLOOKUP('Données projet'!$B$12,Paramètres!$A$1:$I$89,3,0)*VLOOKUP('Données projet'!$B$12,Paramètres!$A$1:$I$89,5,0)</f>
        <v>310.47119999999956</v>
      </c>
      <c r="CA149" s="14">
        <f t="shared" si="147"/>
        <v>73.367226785649578</v>
      </c>
      <c r="CB149" s="22">
        <f t="shared" si="118"/>
        <v>668.51859331833884</v>
      </c>
      <c r="CC149" s="60">
        <f t="shared" si="119"/>
        <v>961.8519266516721</v>
      </c>
      <c r="CD149" s="60">
        <f ca="1">AVERAGE(OFFSET($CC$3,0,0,'Données projet'!$E$12+1,1))-AVERAGE(OFFSET($H$3,0,0,'Données projet'!$E$12+1,1))</f>
        <v>541.66888676162716</v>
      </c>
      <c r="CE149" s="60">
        <f t="shared" si="148"/>
        <v>294.45557293177131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3.5</v>
      </c>
      <c r="CT149" s="13">
        <f>IF('Données projet'!$A$140&gt;35,CT148+CS149-DB148,IF(A149&lt;'Données projet'!$A$140,$CQ$205^A149,IF(A149='Données projet'!$A$140,'Données projet'!$B$140,CT148+CS149-DB148)))</f>
        <v>320.99999999999955</v>
      </c>
      <c r="CU149" s="18">
        <f>CT149*VLOOKUP('Données projet'!$B$13,Paramètres!$A$1:$I$89,3,0)*VLOOKUP('Données projet'!$B$13,Paramètres!$A$1:$I$89,5,0)</f>
        <v>345.5243999999995</v>
      </c>
      <c r="CV149" s="14">
        <f t="shared" si="149"/>
        <v>80.640249570243057</v>
      </c>
      <c r="CW149" s="22">
        <f t="shared" si="121"/>
        <v>742.23676466817244</v>
      </c>
      <c r="CX149" s="60">
        <f t="shared" si="122"/>
        <v>1035.5700980015058</v>
      </c>
      <c r="CY149" s="60">
        <f ca="1">AVERAGE(OFFSET($CX$3,0,0,'Données projet'!$E$13+1,1))-AVERAGE(OFFSET($H$3,0,0,'Données projet'!$E$13+1,1))</f>
        <v>597.75551942969628</v>
      </c>
      <c r="CZ149" s="60">
        <f t="shared" si="150"/>
        <v>322.81767004794284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324.49999999999955</v>
      </c>
      <c r="O150" s="14">
        <f>N150*VLOOKUP('Données projet'!$B$9,Paramètres!$A$1:$I$89,3,0)*VLOOKUP('Données projet'!$B$9,Paramètres!$A$1:$I$89,5,0)</f>
        <v>293.60759999999959</v>
      </c>
      <c r="P150" s="14">
        <f t="shared" si="141"/>
        <v>69.834695689453554</v>
      </c>
      <c r="Q150" s="22">
        <f t="shared" si="108"/>
        <v>632.99533165913078</v>
      </c>
      <c r="R150" s="60">
        <f t="shared" si="109"/>
        <v>926.32866499246416</v>
      </c>
      <c r="S150" s="60">
        <f ca="1">AVERAGE(OFFSET($R$3,0,0,'Données projet'!$E$9+1,1))-AVERAGE(OFFSET($H$3,0,0,'Données projet'!$E$9+1,1))</f>
        <v>509.56241660612449</v>
      </c>
      <c r="T150" s="60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324.49999999999955</v>
      </c>
      <c r="AJ150" s="14">
        <f>AI150*VLOOKUP('Données projet'!$B$10,Paramètres!$A$1:$I$89,3,0)*VLOOKUP('Données projet'!$B$10,Paramètres!$A$1:$I$89,5,0)</f>
        <v>329.04299999999955</v>
      </c>
      <c r="AK150" s="14">
        <f t="shared" si="143"/>
        <v>77.231863131590359</v>
      </c>
      <c r="AL150" s="22">
        <f t="shared" si="112"/>
        <v>707.59538662085242</v>
      </c>
      <c r="AM150" s="60">
        <f t="shared" si="113"/>
        <v>1000.9287199541857</v>
      </c>
      <c r="AN150" s="60">
        <f ca="1">AVERAGE(OFFSET($AM$3,0,0,'Données projet'!$E$10+1,1))-AVERAGE(OFFSET($H$3,0,0,'Données projet'!$E$10+1,1))</f>
        <v>565.72091871734051</v>
      </c>
      <c r="AO150" s="60">
        <f t="shared" si="144"/>
        <v>306.61893266146666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-6.2527760746888816E-13</v>
      </c>
      <c r="BE150" s="14">
        <f>BD150*VLOOKUP('Données projet'!$B$11,Paramètres!$A$1:$I$89,3,0)*VLOOKUP('Données projet'!$B$11,Paramètres!$A$1:$I$89,5,0)</f>
        <v>-2.9262992029543964E-13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246.64907095367749</v>
      </c>
      <c r="BJ150" s="60">
        <f t="shared" si="146"/>
        <v>145.34368562171613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</v>
      </c>
      <c r="BY150" s="13">
        <f>IF('Données projet'!$A$114&gt;35,BY149+BX150-CG149,IF(A150&lt;'Données projet'!$A$114,$BV$205^A150,IF(A150='Données projet'!$A$114,'Données projet'!$B$114,BY149+BX150-CG149)))</f>
        <v>324.49999999999955</v>
      </c>
      <c r="BZ150" s="14">
        <f>BY150*VLOOKUP('Données projet'!$B$12,Paramètres!$A$1:$I$89,3,0)*VLOOKUP('Données projet'!$B$12,Paramètres!$A$1:$I$89,5,0)</f>
        <v>313.85639999999955</v>
      </c>
      <c r="CA150" s="14">
        <f t="shared" si="147"/>
        <v>74.07361956825298</v>
      </c>
      <c r="CB150" s="22">
        <f t="shared" si="118"/>
        <v>675.64478408137313</v>
      </c>
      <c r="CC150" s="60">
        <f t="shared" si="119"/>
        <v>968.9781174147065</v>
      </c>
      <c r="CD150" s="60">
        <f ca="1">AVERAGE(OFFSET($CC$3,0,0,'Données projet'!$E$12+1,1))-AVERAGE(OFFSET($H$3,0,0,'Données projet'!$E$12+1,1))</f>
        <v>541.66888676162716</v>
      </c>
      <c r="CE150" s="60">
        <f t="shared" si="148"/>
        <v>294.45557293177131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3.5</v>
      </c>
      <c r="CT150" s="13">
        <f>IF('Données projet'!$A$140&gt;35,CT149+CS150-DB149,IF(A150&lt;'Données projet'!$A$140,$CQ$205^A150,IF(A150='Données projet'!$A$140,'Données projet'!$B$140,CT149+CS150-DB149)))</f>
        <v>324.49999999999955</v>
      </c>
      <c r="CU150" s="18">
        <f>CT150*VLOOKUP('Données projet'!$B$13,Paramètres!$A$1:$I$89,3,0)*VLOOKUP('Données projet'!$B$13,Paramètres!$A$1:$I$89,5,0)</f>
        <v>349.29179999999945</v>
      </c>
      <c r="CV150" s="14">
        <f t="shared" si="149"/>
        <v>81.416668317133713</v>
      </c>
      <c r="CW150" s="22">
        <f t="shared" si="121"/>
        <v>750.15058231900696</v>
      </c>
      <c r="CX150" s="60">
        <f t="shared" si="122"/>
        <v>1043.4839156523403</v>
      </c>
      <c r="CY150" s="60">
        <f ca="1">AVERAGE(OFFSET($CX$3,0,0,'Données projet'!$E$13+1,1))-AVERAGE(OFFSET($H$3,0,0,'Données projet'!$E$13+1,1))</f>
        <v>597.75551942969628</v>
      </c>
      <c r="CZ150" s="60">
        <f t="shared" si="150"/>
        <v>322.81767004794284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327.99999999999955</v>
      </c>
      <c r="O151" s="14">
        <f>N151*VLOOKUP('Données projet'!$B$9,Paramètres!$A$1:$I$89,3,0)*VLOOKUP('Données projet'!$B$9,Paramètres!$A$1:$I$89,5,0)</f>
        <v>296.77439999999956</v>
      </c>
      <c r="P151" s="14">
        <f t="shared" si="141"/>
        <v>70.499828966950616</v>
      </c>
      <c r="Q151" s="22">
        <f t="shared" si="108"/>
        <v>639.66928211743823</v>
      </c>
      <c r="R151" s="60">
        <f t="shared" si="109"/>
        <v>933.0026154507716</v>
      </c>
      <c r="S151" s="60">
        <f ca="1">AVERAGE(OFFSET($R$3,0,0,'Données projet'!$E$9+1,1))-AVERAGE(OFFSET($H$3,0,0,'Données projet'!$E$9+1,1))</f>
        <v>509.56241660612449</v>
      </c>
      <c r="T151" s="60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327.99999999999955</v>
      </c>
      <c r="AJ151" s="14">
        <f>AI151*VLOOKUP('Données projet'!$B$10,Paramètres!$A$1:$I$89,3,0)*VLOOKUP('Données projet'!$B$10,Paramètres!$A$1:$I$89,5,0)</f>
        <v>332.59199999999953</v>
      </c>
      <c r="AK151" s="14">
        <f t="shared" si="143"/>
        <v>77.967449959094523</v>
      </c>
      <c r="AL151" s="22">
        <f t="shared" si="112"/>
        <v>715.05770867875538</v>
      </c>
      <c r="AM151" s="60">
        <f t="shared" si="113"/>
        <v>1008.3910420120887</v>
      </c>
      <c r="AN151" s="60">
        <f ca="1">AVERAGE(OFFSET($AM$3,0,0,'Données projet'!$E$10+1,1))-AVERAGE(OFFSET($H$3,0,0,'Données projet'!$E$10+1,1))</f>
        <v>565.72091871734051</v>
      </c>
      <c r="AO151" s="60">
        <f t="shared" si="144"/>
        <v>306.61893266146666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-6.2527760746888816E-13</v>
      </c>
      <c r="BE151" s="14">
        <f>BD151*VLOOKUP('Données projet'!$B$11,Paramètres!$A$1:$I$89,3,0)*VLOOKUP('Données projet'!$B$11,Paramètres!$A$1:$I$89,5,0)</f>
        <v>-2.9262992029543964E-13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246.64907095367749</v>
      </c>
      <c r="BJ151" s="60">
        <f t="shared" si="146"/>
        <v>145.34368562171613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</v>
      </c>
      <c r="BY151" s="13">
        <f>IF('Données projet'!$A$114&gt;35,BY150+BX151-CG150,IF(A151&lt;'Données projet'!$A$114,$BV$205^A151,IF(A151='Données projet'!$A$114,'Données projet'!$B$114,BY150+BX151-CG150)))</f>
        <v>327.99999999999955</v>
      </c>
      <c r="BZ151" s="14">
        <f>BY151*VLOOKUP('Données projet'!$B$12,Paramètres!$A$1:$I$89,3,0)*VLOOKUP('Données projet'!$B$12,Paramètres!$A$1:$I$89,5,0)</f>
        <v>317.24159999999961</v>
      </c>
      <c r="CA151" s="14">
        <f t="shared" si="147"/>
        <v>74.779126034245124</v>
      </c>
      <c r="CB151" s="22">
        <f t="shared" si="118"/>
        <v>682.76943117630947</v>
      </c>
      <c r="CC151" s="60">
        <f t="shared" si="119"/>
        <v>976.10276450964284</v>
      </c>
      <c r="CD151" s="60">
        <f ca="1">AVERAGE(OFFSET($CC$3,0,0,'Données projet'!$E$12+1,1))-AVERAGE(OFFSET($H$3,0,0,'Données projet'!$E$12+1,1))</f>
        <v>541.66888676162716</v>
      </c>
      <c r="CE151" s="60">
        <f t="shared" si="148"/>
        <v>294.45557293177131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3.5</v>
      </c>
      <c r="CT151" s="13">
        <f>IF('Données projet'!$A$140&gt;35,CT150+CS151-DB150,IF(A151&lt;'Données projet'!$A$140,$CQ$205^A151,IF(A151='Données projet'!$A$140,'Données projet'!$B$140,CT150+CS151-DB150)))</f>
        <v>327.99999999999955</v>
      </c>
      <c r="CU151" s="18">
        <f>CT151*VLOOKUP('Données projet'!$B$13,Paramètres!$A$1:$I$89,3,0)*VLOOKUP('Données projet'!$B$13,Paramètres!$A$1:$I$89,5,0)</f>
        <v>353.05919999999952</v>
      </c>
      <c r="CV151" s="14">
        <f t="shared" si="149"/>
        <v>82.192112885281873</v>
      </c>
      <c r="CW151" s="22">
        <f t="shared" si="121"/>
        <v>758.06270327519826</v>
      </c>
      <c r="CX151" s="60">
        <f t="shared" si="122"/>
        <v>1051.3960366085316</v>
      </c>
      <c r="CY151" s="60">
        <f ca="1">AVERAGE(OFFSET($CX$3,0,0,'Données projet'!$E$13+1,1))-AVERAGE(OFFSET($H$3,0,0,'Données projet'!$E$13+1,1))</f>
        <v>597.75551942969628</v>
      </c>
      <c r="CZ151" s="60">
        <f t="shared" si="150"/>
        <v>322.81767004794284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331.49999999999955</v>
      </c>
      <c r="O152" s="14">
        <f>N152*VLOOKUP('Données projet'!$B$9,Paramètres!$A$1:$I$89,3,0)*VLOOKUP('Données projet'!$B$9,Paramètres!$A$1:$I$89,5,0)</f>
        <v>299.94119999999958</v>
      </c>
      <c r="P152" s="14">
        <f t="shared" si="141"/>
        <v>71.164136596531449</v>
      </c>
      <c r="Q152" s="22">
        <f t="shared" si="108"/>
        <v>646.34179457229163</v>
      </c>
      <c r="R152" s="60">
        <f t="shared" si="109"/>
        <v>939.675127905625</v>
      </c>
      <c r="S152" s="60">
        <f ca="1">AVERAGE(OFFSET($R$3,0,0,'Données projet'!$E$9+1,1))-AVERAGE(OFFSET($H$3,0,0,'Données projet'!$E$9+1,1))</f>
        <v>509.56241660612449</v>
      </c>
      <c r="T152" s="60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331.49999999999955</v>
      </c>
      <c r="AJ152" s="14">
        <f>AI152*VLOOKUP('Données projet'!$B$10,Paramètres!$A$1:$I$89,3,0)*VLOOKUP('Données projet'!$B$10,Paramètres!$A$1:$I$89,5,0)</f>
        <v>336.14099999999956</v>
      </c>
      <c r="AK152" s="14">
        <f t="shared" si="143"/>
        <v>78.702123682786379</v>
      </c>
      <c r="AL152" s="22">
        <f t="shared" si="112"/>
        <v>722.51844041418553</v>
      </c>
      <c r="AM152" s="60">
        <f t="shared" si="113"/>
        <v>1015.8517737475188</v>
      </c>
      <c r="AN152" s="60">
        <f ca="1">AVERAGE(OFFSET($AM$3,0,0,'Données projet'!$E$10+1,1))-AVERAGE(OFFSET($H$3,0,0,'Données projet'!$E$10+1,1))</f>
        <v>565.72091871734051</v>
      </c>
      <c r="AO152" s="60">
        <f t="shared" si="144"/>
        <v>306.61893266146666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-6.2527760746888816E-13</v>
      </c>
      <c r="BE152" s="14">
        <f>BD152*VLOOKUP('Données projet'!$B$11,Paramètres!$A$1:$I$89,3,0)*VLOOKUP('Données projet'!$B$11,Paramètres!$A$1:$I$89,5,0)</f>
        <v>-2.9262992029543964E-13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246.64907095367749</v>
      </c>
      <c r="BJ152" s="60">
        <f t="shared" si="146"/>
        <v>145.34368562171613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</v>
      </c>
      <c r="BY152" s="13">
        <f>IF('Données projet'!$A$114&gt;35,BY151+BX152-CG151,IF(A152&lt;'Données projet'!$A$114,$BV$205^A152,IF(A152='Données projet'!$A$114,'Données projet'!$B$114,BY151+BX152-CG151)))</f>
        <v>331.49999999999955</v>
      </c>
      <c r="BZ152" s="14">
        <f>BY152*VLOOKUP('Données projet'!$B$12,Paramètres!$A$1:$I$89,3,0)*VLOOKUP('Données projet'!$B$12,Paramètres!$A$1:$I$89,5,0)</f>
        <v>320.62679999999955</v>
      </c>
      <c r="CA152" s="14">
        <f t="shared" si="147"/>
        <v>75.483756735990767</v>
      </c>
      <c r="CB152" s="22">
        <f t="shared" si="118"/>
        <v>689.8925529818498</v>
      </c>
      <c r="CC152" s="60">
        <f t="shared" si="119"/>
        <v>983.22588631518306</v>
      </c>
      <c r="CD152" s="60">
        <f ca="1">AVERAGE(OFFSET($CC$3,0,0,'Données projet'!$E$12+1,1))-AVERAGE(OFFSET($H$3,0,0,'Données projet'!$E$12+1,1))</f>
        <v>541.66888676162716</v>
      </c>
      <c r="CE152" s="60">
        <f t="shared" si="148"/>
        <v>294.45557293177131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3.5</v>
      </c>
      <c r="CT152" s="13">
        <f>IF('Données projet'!$A$140&gt;35,CT151+CS152-DB151,IF(A152&lt;'Données projet'!$A$140,$CQ$205^A152,IF(A152='Données projet'!$A$140,'Données projet'!$B$140,CT151+CS152-DB151)))</f>
        <v>331.49999999999955</v>
      </c>
      <c r="CU152" s="18">
        <f>CT152*VLOOKUP('Données projet'!$B$13,Paramètres!$A$1:$I$89,3,0)*VLOOKUP('Données projet'!$B$13,Paramètres!$A$1:$I$89,5,0)</f>
        <v>356.82659999999947</v>
      </c>
      <c r="CV152" s="14">
        <f t="shared" si="149"/>
        <v>82.966594873126951</v>
      </c>
      <c r="CW152" s="22">
        <f t="shared" si="121"/>
        <v>765.97314773736196</v>
      </c>
      <c r="CX152" s="60">
        <f t="shared" si="122"/>
        <v>1059.3064810706953</v>
      </c>
      <c r="CY152" s="60">
        <f ca="1">AVERAGE(OFFSET($CX$3,0,0,'Données projet'!$E$13+1,1))-AVERAGE(OFFSET($H$3,0,0,'Données projet'!$E$13+1,1))</f>
        <v>597.75551942969628</v>
      </c>
      <c r="CZ152" s="60">
        <f t="shared" si="150"/>
        <v>322.81767004794284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334.99999999999955</v>
      </c>
      <c r="O153" s="14">
        <f>N153*VLOOKUP('Données projet'!$B$9,Paramètres!$A$1:$I$89,3,0)*VLOOKUP('Données projet'!$B$9,Paramètres!$A$1:$I$89,5,0)</f>
        <v>303.10799999999961</v>
      </c>
      <c r="P153" s="14">
        <f t="shared" si="141"/>
        <v>71.827628304517162</v>
      </c>
      <c r="Q153" s="22">
        <f t="shared" si="108"/>
        <v>653.0128859637</v>
      </c>
      <c r="R153" s="60">
        <f t="shared" si="109"/>
        <v>946.34621929703326</v>
      </c>
      <c r="S153" s="60">
        <f ca="1">AVERAGE(OFFSET($R$3,0,0,'Données projet'!$E$9+1,1))-AVERAGE(OFFSET($H$3,0,0,'Données projet'!$E$9+1,1))</f>
        <v>509.56241660612449</v>
      </c>
      <c r="T153" s="60">
        <f t="shared" si="142"/>
        <v>278.21741231699929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334.99999999999955</v>
      </c>
      <c r="AJ153" s="14">
        <f>AI153*VLOOKUP('Données projet'!$B$10,Paramètres!$A$1:$I$89,3,0)*VLOOKUP('Données projet'!$B$10,Paramètres!$A$1:$I$89,5,0)</f>
        <v>339.68999999999954</v>
      </c>
      <c r="AK153" s="14">
        <f t="shared" si="143"/>
        <v>79.435895059237467</v>
      </c>
      <c r="AL153" s="22">
        <f t="shared" si="112"/>
        <v>729.97760056150446</v>
      </c>
      <c r="AM153" s="60">
        <f t="shared" si="113"/>
        <v>1023.3109338948377</v>
      </c>
      <c r="AN153" s="60">
        <f ca="1">AVERAGE(OFFSET($AM$3,0,0,'Données projet'!$E$10+1,1))-AVERAGE(OFFSET($H$3,0,0,'Données projet'!$E$10+1,1))</f>
        <v>565.72091871734051</v>
      </c>
      <c r="AO153" s="60">
        <f t="shared" si="144"/>
        <v>306.61893266146666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335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-6.2527760746888816E-13</v>
      </c>
      <c r="BE153" s="14">
        <f>BD153*VLOOKUP('Données projet'!$B$11,Paramètres!$A$1:$I$89,3,0)*VLOOKUP('Données projet'!$B$11,Paramètres!$A$1:$I$89,5,0)</f>
        <v>-2.9262992029543964E-13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246.64907095367749</v>
      </c>
      <c r="BJ153" s="60">
        <f t="shared" si="146"/>
        <v>145.34368562171613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335</v>
      </c>
      <c r="BW153" s="13">
        <f>VLOOKUP(A153,'Données projet'!$A$113:$I$133,9,0)</f>
        <v>3.5</v>
      </c>
      <c r="BX153" s="13">
        <f t="array" ref="BX153">INDEX(BW:BW,MIN(IF(ISNUMBER(BW153:BW349),ROW(BW153:BW349),"")))</f>
        <v>3.5</v>
      </c>
      <c r="BY153" s="13">
        <f>IF('Données projet'!$A$114&gt;35,BY152+BX153-CG152,IF(A153&lt;'Données projet'!$A$114,$BV$205^A153,IF(A153='Données projet'!$A$114,'Données projet'!$B$114,BY152+BX153-CG152)))</f>
        <v>334.99999999999955</v>
      </c>
      <c r="BZ153" s="14">
        <f>BY153*VLOOKUP('Données projet'!$B$12,Paramètres!$A$1:$I$89,3,0)*VLOOKUP('Données projet'!$B$12,Paramètres!$A$1:$I$89,5,0)</f>
        <v>324.01199999999955</v>
      </c>
      <c r="CA153" s="14">
        <f t="shared" si="147"/>
        <v>76.187521990192948</v>
      </c>
      <c r="CB153" s="22">
        <f t="shared" si="118"/>
        <v>697.01416746625182</v>
      </c>
      <c r="CC153" s="60">
        <f t="shared" si="119"/>
        <v>990.34750079958508</v>
      </c>
      <c r="CD153" s="60">
        <f ca="1">AVERAGE(OFFSET($CC$3,0,0,'Données projet'!$E$12+1,1))-AVERAGE(OFFSET($H$3,0,0,'Données projet'!$E$12+1,1))</f>
        <v>541.66888676162716</v>
      </c>
      <c r="CE153" s="60">
        <f t="shared" si="148"/>
        <v>294.45557293177131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335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335</v>
      </c>
      <c r="CR153" s="13">
        <f>VLOOKUP(A153,'Données projet'!$A$139:$I$159,9,0)</f>
        <v>3.5</v>
      </c>
      <c r="CS153" s="13">
        <f t="array" ref="CS153">INDEX(CR:CR,MIN(IF(ISNUMBER(CR153:CR349),ROW(CR153:CR349),"")))</f>
        <v>3.5</v>
      </c>
      <c r="CT153" s="13">
        <f>IF('Données projet'!$A$140&gt;35,CT152+CS153-DB152,IF(A153&lt;'Données projet'!$A$140,$CQ$205^A153,IF(A153='Données projet'!$A$140,'Données projet'!$B$140,CT152+CS153-DB152)))</f>
        <v>334.99999999999955</v>
      </c>
      <c r="CU153" s="18">
        <f>CT153*VLOOKUP('Données projet'!$B$13,Paramètres!$A$1:$I$89,3,0)*VLOOKUP('Données projet'!$B$13,Paramètres!$A$1:$I$89,5,0)</f>
        <v>360.59399999999948</v>
      </c>
      <c r="CV153" s="14">
        <f t="shared" si="149"/>
        <v>83.740125620084783</v>
      </c>
      <c r="CW153" s="22">
        <f t="shared" si="121"/>
        <v>773.88193545498007</v>
      </c>
      <c r="CX153" s="60">
        <f t="shared" si="122"/>
        <v>1067.2152687883133</v>
      </c>
      <c r="CY153" s="60">
        <f ca="1">AVERAGE(OFFSET($CX$3,0,0,'Données projet'!$E$13+1,1))-AVERAGE(OFFSET($H$3,0,0,'Données projet'!$E$13+1,1))</f>
        <v>597.75551942969628</v>
      </c>
      <c r="CZ153" s="60">
        <f t="shared" si="150"/>
        <v>322.81767004794284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335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-4.1145540308207271E-13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509.56241660612449</v>
      </c>
      <c r="T154" s="60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-4.6111381379887462E-13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565.72091871734051</v>
      </c>
      <c r="AO154" s="60">
        <f t="shared" si="144"/>
        <v>306.61893266146666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-6.2527760746888816E-13</v>
      </c>
      <c r="BE154" s="14">
        <f>BD154*VLOOKUP('Données projet'!$B$11,Paramètres!$A$1:$I$89,3,0)*VLOOKUP('Données projet'!$B$11,Paramètres!$A$1:$I$89,5,0)</f>
        <v>-2.9262992029543964E-13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246.64907095367749</v>
      </c>
      <c r="BJ154" s="60">
        <f t="shared" si="146"/>
        <v>145.34368562171613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-4.5474735088646412E-13</v>
      </c>
      <c r="BZ154" s="14">
        <f>BY154*VLOOKUP('Données projet'!$B$12,Paramètres!$A$1:$I$89,3,0)*VLOOKUP('Données projet'!$B$12,Paramètres!$A$1:$I$89,5,0)</f>
        <v>-4.3983163777738812E-13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541.66888676162716</v>
      </c>
      <c r="CE154" s="60">
        <f t="shared" si="148"/>
        <v>294.45557293177131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-4.5474735088646412E-13</v>
      </c>
      <c r="CU154" s="18">
        <f>CT154*VLOOKUP('Données projet'!$B$13,Paramètres!$A$1:$I$89,3,0)*VLOOKUP('Données projet'!$B$13,Paramètres!$A$1:$I$89,5,0)</f>
        <v>-4.8949004849418999E-13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597.75551942969628</v>
      </c>
      <c r="CZ154" s="60">
        <f t="shared" si="150"/>
        <v>322.81767004794284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-4.1145540308207271E-13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509.56241660612449</v>
      </c>
      <c r="T155" s="60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-4.6111381379887462E-13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565.72091871734051</v>
      </c>
      <c r="AO155" s="60">
        <f t="shared" si="144"/>
        <v>306.61893266146666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-6.2527760746888816E-13</v>
      </c>
      <c r="BE155" s="14">
        <f>BD155*VLOOKUP('Données projet'!$B$11,Paramètres!$A$1:$I$89,3,0)*VLOOKUP('Données projet'!$B$11,Paramètres!$A$1:$I$89,5,0)</f>
        <v>-2.9262992029543964E-13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246.64907095367749</v>
      </c>
      <c r="BJ155" s="60">
        <f t="shared" si="146"/>
        <v>145.34368562171613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-4.5474735088646412E-13</v>
      </c>
      <c r="BZ155" s="14">
        <f>BY155*VLOOKUP('Données projet'!$B$12,Paramètres!$A$1:$I$89,3,0)*VLOOKUP('Données projet'!$B$12,Paramètres!$A$1:$I$89,5,0)</f>
        <v>-4.3983163777738812E-13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541.66888676162716</v>
      </c>
      <c r="CE155" s="60">
        <f t="shared" si="148"/>
        <v>294.45557293177131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-4.5474735088646412E-13</v>
      </c>
      <c r="CU155" s="18">
        <f>CT155*VLOOKUP('Données projet'!$B$13,Paramètres!$A$1:$I$89,3,0)*VLOOKUP('Données projet'!$B$13,Paramètres!$A$1:$I$89,5,0)</f>
        <v>-4.8949004849418999E-13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597.75551942969628</v>
      </c>
      <c r="CZ155" s="60">
        <f t="shared" si="150"/>
        <v>322.81767004794284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-4.1145540308207271E-13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509.56241660612449</v>
      </c>
      <c r="T156" s="60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-4.6111381379887462E-13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565.72091871734051</v>
      </c>
      <c r="AO156" s="60">
        <f t="shared" si="144"/>
        <v>306.61893266146666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-6.2527760746888816E-13</v>
      </c>
      <c r="BE156" s="14">
        <f>BD156*VLOOKUP('Données projet'!$B$11,Paramètres!$A$1:$I$89,3,0)*VLOOKUP('Données projet'!$B$11,Paramètres!$A$1:$I$89,5,0)</f>
        <v>-2.9262992029543964E-13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246.64907095367749</v>
      </c>
      <c r="BJ156" s="60">
        <f t="shared" si="146"/>
        <v>145.34368562171613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-4.5474735088646412E-13</v>
      </c>
      <c r="BZ156" s="14">
        <f>BY156*VLOOKUP('Données projet'!$B$12,Paramètres!$A$1:$I$89,3,0)*VLOOKUP('Données projet'!$B$12,Paramètres!$A$1:$I$89,5,0)</f>
        <v>-4.3983163777738812E-13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541.66888676162716</v>
      </c>
      <c r="CE156" s="60">
        <f t="shared" si="148"/>
        <v>294.45557293177131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-4.5474735088646412E-13</v>
      </c>
      <c r="CU156" s="18">
        <f>CT156*VLOOKUP('Données projet'!$B$13,Paramètres!$A$1:$I$89,3,0)*VLOOKUP('Données projet'!$B$13,Paramètres!$A$1:$I$89,5,0)</f>
        <v>-4.8949004849418999E-13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597.75551942969628</v>
      </c>
      <c r="CZ156" s="60">
        <f t="shared" si="150"/>
        <v>322.81767004794284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-4.1145540308207271E-13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509.56241660612449</v>
      </c>
      <c r="T157" s="60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-4.6111381379887462E-13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565.72091871734051</v>
      </c>
      <c r="AO157" s="60">
        <f t="shared" si="144"/>
        <v>306.61893266146666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-6.2527760746888816E-13</v>
      </c>
      <c r="BE157" s="14">
        <f>BD157*VLOOKUP('Données projet'!$B$11,Paramètres!$A$1:$I$89,3,0)*VLOOKUP('Données projet'!$B$11,Paramètres!$A$1:$I$89,5,0)</f>
        <v>-2.9262992029543964E-13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246.64907095367749</v>
      </c>
      <c r="BJ157" s="60">
        <f t="shared" si="146"/>
        <v>145.34368562171613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-4.5474735088646412E-13</v>
      </c>
      <c r="BZ157" s="14">
        <f>BY157*VLOOKUP('Données projet'!$B$12,Paramètres!$A$1:$I$89,3,0)*VLOOKUP('Données projet'!$B$12,Paramètres!$A$1:$I$89,5,0)</f>
        <v>-4.3983163777738812E-13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541.66888676162716</v>
      </c>
      <c r="CE157" s="60">
        <f t="shared" si="148"/>
        <v>294.45557293177131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-4.5474735088646412E-13</v>
      </c>
      <c r="CU157" s="18">
        <f>CT157*VLOOKUP('Données projet'!$B$13,Paramètres!$A$1:$I$89,3,0)*VLOOKUP('Données projet'!$B$13,Paramètres!$A$1:$I$89,5,0)</f>
        <v>-4.8949004849418999E-13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597.75551942969628</v>
      </c>
      <c r="CZ157" s="60">
        <f t="shared" si="150"/>
        <v>322.81767004794284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-4.1145540308207271E-13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509.56241660612449</v>
      </c>
      <c r="T158" s="60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-4.6111381379887462E-13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565.72091871734051</v>
      </c>
      <c r="AO158" s="60">
        <f t="shared" si="144"/>
        <v>306.61893266146666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-6.2527760746888816E-13</v>
      </c>
      <c r="BE158" s="14">
        <f>BD158*VLOOKUP('Données projet'!$B$11,Paramètres!$A$1:$I$89,3,0)*VLOOKUP('Données projet'!$B$11,Paramètres!$A$1:$I$89,5,0)</f>
        <v>-2.9262992029543964E-13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246.64907095367749</v>
      </c>
      <c r="BJ158" s="60">
        <f t="shared" si="146"/>
        <v>145.34368562171613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-4.5474735088646412E-13</v>
      </c>
      <c r="BZ158" s="14">
        <f>BY158*VLOOKUP('Données projet'!$B$12,Paramètres!$A$1:$I$89,3,0)*VLOOKUP('Données projet'!$B$12,Paramètres!$A$1:$I$89,5,0)</f>
        <v>-4.3983163777738812E-13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541.66888676162716</v>
      </c>
      <c r="CE158" s="60">
        <f t="shared" si="148"/>
        <v>294.45557293177131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-4.5474735088646412E-13</v>
      </c>
      <c r="CU158" s="18">
        <f>CT158*VLOOKUP('Données projet'!$B$13,Paramètres!$A$1:$I$89,3,0)*VLOOKUP('Données projet'!$B$13,Paramètres!$A$1:$I$89,5,0)</f>
        <v>-4.8949004849418999E-13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597.75551942969628</v>
      </c>
      <c r="CZ158" s="60">
        <f t="shared" si="150"/>
        <v>322.81767004794284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-4.1145540308207271E-13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509.56241660612449</v>
      </c>
      <c r="T159" s="60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-4.6111381379887462E-13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565.72091871734051</v>
      </c>
      <c r="AO159" s="60">
        <f t="shared" si="144"/>
        <v>306.61893266146666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-6.2527760746888816E-13</v>
      </c>
      <c r="BE159" s="14">
        <f>BD159*VLOOKUP('Données projet'!$B$11,Paramètres!$A$1:$I$89,3,0)*VLOOKUP('Données projet'!$B$11,Paramètres!$A$1:$I$89,5,0)</f>
        <v>-2.9262992029543964E-13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246.64907095367749</v>
      </c>
      <c r="BJ159" s="60">
        <f t="shared" si="146"/>
        <v>145.34368562171613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-4.5474735088646412E-13</v>
      </c>
      <c r="BZ159" s="14">
        <f>BY159*VLOOKUP('Données projet'!$B$12,Paramètres!$A$1:$I$89,3,0)*VLOOKUP('Données projet'!$B$12,Paramètres!$A$1:$I$89,5,0)</f>
        <v>-4.3983163777738812E-13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541.66888676162716</v>
      </c>
      <c r="CE159" s="60">
        <f t="shared" si="148"/>
        <v>294.45557293177131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-4.5474735088646412E-13</v>
      </c>
      <c r="CU159" s="18">
        <f>CT159*VLOOKUP('Données projet'!$B$13,Paramètres!$A$1:$I$89,3,0)*VLOOKUP('Données projet'!$B$13,Paramètres!$A$1:$I$89,5,0)</f>
        <v>-4.8949004849418999E-13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597.75551942969628</v>
      </c>
      <c r="CZ159" s="60">
        <f t="shared" si="150"/>
        <v>322.81767004794284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-4.1145540308207271E-13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509.56241660612449</v>
      </c>
      <c r="T160" s="60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-4.6111381379887462E-13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565.72091871734051</v>
      </c>
      <c r="AO160" s="60">
        <f t="shared" si="144"/>
        <v>306.61893266146666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-6.2527760746888816E-13</v>
      </c>
      <c r="BE160" s="14">
        <f>BD160*VLOOKUP('Données projet'!$B$11,Paramètres!$A$1:$I$89,3,0)*VLOOKUP('Données projet'!$B$11,Paramètres!$A$1:$I$89,5,0)</f>
        <v>-2.9262992029543964E-13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246.64907095367749</v>
      </c>
      <c r="BJ160" s="60">
        <f t="shared" si="146"/>
        <v>145.34368562171613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-4.5474735088646412E-13</v>
      </c>
      <c r="BZ160" s="14">
        <f>BY160*VLOOKUP('Données projet'!$B$12,Paramètres!$A$1:$I$89,3,0)*VLOOKUP('Données projet'!$B$12,Paramètres!$A$1:$I$89,5,0)</f>
        <v>-4.3983163777738812E-13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541.66888676162716</v>
      </c>
      <c r="CE160" s="60">
        <f t="shared" si="148"/>
        <v>294.45557293177131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-4.5474735088646412E-13</v>
      </c>
      <c r="CU160" s="18">
        <f>CT160*VLOOKUP('Données projet'!$B$13,Paramètres!$A$1:$I$89,3,0)*VLOOKUP('Données projet'!$B$13,Paramètres!$A$1:$I$89,5,0)</f>
        <v>-4.8949004849418999E-13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597.75551942969628</v>
      </c>
      <c r="CZ160" s="60">
        <f t="shared" si="150"/>
        <v>322.81767004794284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-4.1145540308207271E-13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509.56241660612449</v>
      </c>
      <c r="T161" s="60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-4.6111381379887462E-13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565.72091871734051</v>
      </c>
      <c r="AO161" s="60">
        <f t="shared" si="144"/>
        <v>306.61893266146666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-6.2527760746888816E-13</v>
      </c>
      <c r="BE161" s="14">
        <f>BD161*VLOOKUP('Données projet'!$B$11,Paramètres!$A$1:$I$89,3,0)*VLOOKUP('Données projet'!$B$11,Paramètres!$A$1:$I$89,5,0)</f>
        <v>-2.9262992029543964E-13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246.64907095367749</v>
      </c>
      <c r="BJ161" s="60">
        <f t="shared" si="146"/>
        <v>145.34368562171613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-4.5474735088646412E-13</v>
      </c>
      <c r="BZ161" s="14">
        <f>BY161*VLOOKUP('Données projet'!$B$12,Paramètres!$A$1:$I$89,3,0)*VLOOKUP('Données projet'!$B$12,Paramètres!$A$1:$I$89,5,0)</f>
        <v>-4.3983163777738812E-13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541.66888676162716</v>
      </c>
      <c r="CE161" s="60">
        <f t="shared" si="148"/>
        <v>294.45557293177131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-4.5474735088646412E-13</v>
      </c>
      <c r="CU161" s="18">
        <f>CT161*VLOOKUP('Données projet'!$B$13,Paramètres!$A$1:$I$89,3,0)*VLOOKUP('Données projet'!$B$13,Paramètres!$A$1:$I$89,5,0)</f>
        <v>-4.8949004849418999E-13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597.75551942969628</v>
      </c>
      <c r="CZ161" s="60">
        <f t="shared" si="150"/>
        <v>322.81767004794284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-4.1145540308207271E-13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509.56241660612449</v>
      </c>
      <c r="T162" s="60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-4.6111381379887462E-13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565.72091871734051</v>
      </c>
      <c r="AO162" s="60">
        <f t="shared" si="144"/>
        <v>306.61893266146666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-6.2527760746888816E-13</v>
      </c>
      <c r="BE162" s="14">
        <f>BD162*VLOOKUP('Données projet'!$B$11,Paramètres!$A$1:$I$89,3,0)*VLOOKUP('Données projet'!$B$11,Paramètres!$A$1:$I$89,5,0)</f>
        <v>-2.9262992029543964E-13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246.64907095367749</v>
      </c>
      <c r="BJ162" s="60">
        <f t="shared" si="146"/>
        <v>145.34368562171613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-4.5474735088646412E-13</v>
      </c>
      <c r="BZ162" s="14">
        <f>BY162*VLOOKUP('Données projet'!$B$12,Paramètres!$A$1:$I$89,3,0)*VLOOKUP('Données projet'!$B$12,Paramètres!$A$1:$I$89,5,0)</f>
        <v>-4.3983163777738812E-13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541.66888676162716</v>
      </c>
      <c r="CE162" s="60">
        <f t="shared" si="148"/>
        <v>294.45557293177131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-4.5474735088646412E-13</v>
      </c>
      <c r="CU162" s="18">
        <f>CT162*VLOOKUP('Données projet'!$B$13,Paramètres!$A$1:$I$89,3,0)*VLOOKUP('Données projet'!$B$13,Paramètres!$A$1:$I$89,5,0)</f>
        <v>-4.8949004849418999E-13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597.75551942969628</v>
      </c>
      <c r="CZ162" s="60">
        <f t="shared" si="150"/>
        <v>322.81767004794284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-4.1145540308207271E-13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509.56241660612449</v>
      </c>
      <c r="T163" s="60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-4.6111381379887462E-13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565.72091871734051</v>
      </c>
      <c r="AO163" s="60">
        <f t="shared" si="144"/>
        <v>306.61893266146666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-6.2527760746888816E-13</v>
      </c>
      <c r="BE163" s="14">
        <f>BD163*VLOOKUP('Données projet'!$B$11,Paramètres!$A$1:$I$89,3,0)*VLOOKUP('Données projet'!$B$11,Paramètres!$A$1:$I$89,5,0)</f>
        <v>-2.9262992029543964E-13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246.64907095367749</v>
      </c>
      <c r="BJ163" s="60">
        <f t="shared" si="146"/>
        <v>145.34368562171613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-4.5474735088646412E-13</v>
      </c>
      <c r="BZ163" s="14">
        <f>BY163*VLOOKUP('Données projet'!$B$12,Paramètres!$A$1:$I$89,3,0)*VLOOKUP('Données projet'!$B$12,Paramètres!$A$1:$I$89,5,0)</f>
        <v>-4.3983163777738812E-13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541.66888676162716</v>
      </c>
      <c r="CE163" s="60">
        <f t="shared" si="148"/>
        <v>294.45557293177131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-4.5474735088646412E-13</v>
      </c>
      <c r="CU163" s="18">
        <f>CT163*VLOOKUP('Données projet'!$B$13,Paramètres!$A$1:$I$89,3,0)*VLOOKUP('Données projet'!$B$13,Paramètres!$A$1:$I$89,5,0)</f>
        <v>-4.8949004849418999E-13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597.75551942969628</v>
      </c>
      <c r="CZ163" s="60">
        <f t="shared" si="150"/>
        <v>322.81767004794284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-4.1145540308207271E-13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509.56241660612449</v>
      </c>
      <c r="T164" s="60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-4.6111381379887462E-13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565.72091871734051</v>
      </c>
      <c r="AO164" s="60">
        <f t="shared" si="144"/>
        <v>306.61893266146666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-6.2527760746888816E-13</v>
      </c>
      <c r="BE164" s="14">
        <f>BD164*VLOOKUP('Données projet'!$B$11,Paramètres!$A$1:$I$89,3,0)*VLOOKUP('Données projet'!$B$11,Paramètres!$A$1:$I$89,5,0)</f>
        <v>-2.9262992029543964E-13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246.64907095367749</v>
      </c>
      <c r="BJ164" s="60">
        <f t="shared" si="146"/>
        <v>145.34368562171613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-4.5474735088646412E-13</v>
      </c>
      <c r="BZ164" s="14">
        <f>BY164*VLOOKUP('Données projet'!$B$12,Paramètres!$A$1:$I$89,3,0)*VLOOKUP('Données projet'!$B$12,Paramètres!$A$1:$I$89,5,0)</f>
        <v>-4.3983163777738812E-13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541.66888676162716</v>
      </c>
      <c r="CE164" s="60">
        <f t="shared" si="148"/>
        <v>294.45557293177131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-4.5474735088646412E-13</v>
      </c>
      <c r="CU164" s="18">
        <f>CT164*VLOOKUP('Données projet'!$B$13,Paramètres!$A$1:$I$89,3,0)*VLOOKUP('Données projet'!$B$13,Paramètres!$A$1:$I$89,5,0)</f>
        <v>-4.8949004849418999E-13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597.75551942969628</v>
      </c>
      <c r="CZ164" s="60">
        <f t="shared" si="150"/>
        <v>322.81767004794284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-4.1145540308207271E-13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509.56241660612449</v>
      </c>
      <c r="T165" s="60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-4.6111381379887462E-13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565.72091871734051</v>
      </c>
      <c r="AO165" s="60">
        <f t="shared" si="144"/>
        <v>306.61893266146666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-6.2527760746888816E-13</v>
      </c>
      <c r="BE165" s="14">
        <f>BD165*VLOOKUP('Données projet'!$B$11,Paramètres!$A$1:$I$89,3,0)*VLOOKUP('Données projet'!$B$11,Paramètres!$A$1:$I$89,5,0)</f>
        <v>-2.9262992029543964E-13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246.64907095367749</v>
      </c>
      <c r="BJ165" s="60">
        <f t="shared" si="146"/>
        <v>145.34368562171613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-4.5474735088646412E-13</v>
      </c>
      <c r="BZ165" s="14">
        <f>BY165*VLOOKUP('Données projet'!$B$12,Paramètres!$A$1:$I$89,3,0)*VLOOKUP('Données projet'!$B$12,Paramètres!$A$1:$I$89,5,0)</f>
        <v>-4.3983163777738812E-13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541.66888676162716</v>
      </c>
      <c r="CE165" s="60">
        <f t="shared" si="148"/>
        <v>294.45557293177131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-4.5474735088646412E-13</v>
      </c>
      <c r="CU165" s="18">
        <f>CT165*VLOOKUP('Données projet'!$B$13,Paramètres!$A$1:$I$89,3,0)*VLOOKUP('Données projet'!$B$13,Paramètres!$A$1:$I$89,5,0)</f>
        <v>-4.8949004849418999E-13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597.75551942969628</v>
      </c>
      <c r="CZ165" s="60">
        <f t="shared" si="150"/>
        <v>322.81767004794284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-4.1145540308207271E-13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509.56241660612449</v>
      </c>
      <c r="T166" s="60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-4.6111381379887462E-13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565.72091871734051</v>
      </c>
      <c r="AO166" s="60">
        <f t="shared" si="144"/>
        <v>306.61893266146666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-6.2527760746888816E-13</v>
      </c>
      <c r="BE166" s="14">
        <f>BD166*VLOOKUP('Données projet'!$B$11,Paramètres!$A$1:$I$89,3,0)*VLOOKUP('Données projet'!$B$11,Paramètres!$A$1:$I$89,5,0)</f>
        <v>-2.9262992029543964E-13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246.64907095367749</v>
      </c>
      <c r="BJ166" s="60">
        <f t="shared" si="146"/>
        <v>145.34368562171613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-4.5474735088646412E-13</v>
      </c>
      <c r="BZ166" s="14">
        <f>BY166*VLOOKUP('Données projet'!$B$12,Paramètres!$A$1:$I$89,3,0)*VLOOKUP('Données projet'!$B$12,Paramètres!$A$1:$I$89,5,0)</f>
        <v>-4.3983163777738812E-13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541.66888676162716</v>
      </c>
      <c r="CE166" s="60">
        <f t="shared" si="148"/>
        <v>294.45557293177131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-4.5474735088646412E-13</v>
      </c>
      <c r="CU166" s="18">
        <f>CT166*VLOOKUP('Données projet'!$B$13,Paramètres!$A$1:$I$89,3,0)*VLOOKUP('Données projet'!$B$13,Paramètres!$A$1:$I$89,5,0)</f>
        <v>-4.8949004849418999E-13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597.75551942969628</v>
      </c>
      <c r="CZ166" s="60">
        <f t="shared" si="150"/>
        <v>322.81767004794284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-4.1145540308207271E-13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509.56241660612449</v>
      </c>
      <c r="T167" s="60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-4.6111381379887462E-13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565.72091871734051</v>
      </c>
      <c r="AO167" s="60">
        <f t="shared" si="144"/>
        <v>306.61893266146666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-6.2527760746888816E-13</v>
      </c>
      <c r="BE167" s="14">
        <f>BD167*VLOOKUP('Données projet'!$B$11,Paramètres!$A$1:$I$89,3,0)*VLOOKUP('Données projet'!$B$11,Paramètres!$A$1:$I$89,5,0)</f>
        <v>-2.9262992029543964E-13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246.64907095367749</v>
      </c>
      <c r="BJ167" s="60">
        <f t="shared" si="146"/>
        <v>145.34368562171613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-4.5474735088646412E-13</v>
      </c>
      <c r="BZ167" s="14">
        <f>BY167*VLOOKUP('Données projet'!$B$12,Paramètres!$A$1:$I$89,3,0)*VLOOKUP('Données projet'!$B$12,Paramètres!$A$1:$I$89,5,0)</f>
        <v>-4.3983163777738812E-13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541.66888676162716</v>
      </c>
      <c r="CE167" s="60">
        <f t="shared" si="148"/>
        <v>294.45557293177131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-4.5474735088646412E-13</v>
      </c>
      <c r="CU167" s="18">
        <f>CT167*VLOOKUP('Données projet'!$B$13,Paramètres!$A$1:$I$89,3,0)*VLOOKUP('Données projet'!$B$13,Paramètres!$A$1:$I$89,5,0)</f>
        <v>-4.8949004849418999E-13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597.75551942969628</v>
      </c>
      <c r="CZ167" s="60">
        <f t="shared" si="150"/>
        <v>322.81767004794284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-4.1145540308207271E-13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509.56241660612449</v>
      </c>
      <c r="T168" s="60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-4.6111381379887462E-13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565.72091871734051</v>
      </c>
      <c r="AO168" s="60">
        <f t="shared" si="144"/>
        <v>306.61893266146666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-6.2527760746888816E-13</v>
      </c>
      <c r="BE168" s="14">
        <f>BD168*VLOOKUP('Données projet'!$B$11,Paramètres!$A$1:$I$89,3,0)*VLOOKUP('Données projet'!$B$11,Paramètres!$A$1:$I$89,5,0)</f>
        <v>-2.9262992029543964E-13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246.64907095367749</v>
      </c>
      <c r="BJ168" s="60">
        <f t="shared" si="146"/>
        <v>145.34368562171613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-4.5474735088646412E-13</v>
      </c>
      <c r="BZ168" s="14">
        <f>BY168*VLOOKUP('Données projet'!$B$12,Paramètres!$A$1:$I$89,3,0)*VLOOKUP('Données projet'!$B$12,Paramètres!$A$1:$I$89,5,0)</f>
        <v>-4.3983163777738812E-13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541.66888676162716</v>
      </c>
      <c r="CE168" s="60">
        <f t="shared" si="148"/>
        <v>294.45557293177131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-4.5474735088646412E-13</v>
      </c>
      <c r="CU168" s="18">
        <f>CT168*VLOOKUP('Données projet'!$B$13,Paramètres!$A$1:$I$89,3,0)*VLOOKUP('Données projet'!$B$13,Paramètres!$A$1:$I$89,5,0)</f>
        <v>-4.8949004849418999E-13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597.75551942969628</v>
      </c>
      <c r="CZ168" s="60">
        <f t="shared" si="150"/>
        <v>322.81767004794284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-4.1145540308207271E-13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509.56241660612449</v>
      </c>
      <c r="T169" s="60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-4.6111381379887462E-13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565.72091871734051</v>
      </c>
      <c r="AO169" s="60">
        <f t="shared" si="144"/>
        <v>306.61893266146666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-6.2527760746888816E-13</v>
      </c>
      <c r="BE169" s="14">
        <f>BD169*VLOOKUP('Données projet'!$B$11,Paramètres!$A$1:$I$89,3,0)*VLOOKUP('Données projet'!$B$11,Paramètres!$A$1:$I$89,5,0)</f>
        <v>-2.9262992029543964E-13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246.64907095367749</v>
      </c>
      <c r="BJ169" s="60">
        <f t="shared" si="146"/>
        <v>145.34368562171613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-4.5474735088646412E-13</v>
      </c>
      <c r="BZ169" s="14">
        <f>BY169*VLOOKUP('Données projet'!$B$12,Paramètres!$A$1:$I$89,3,0)*VLOOKUP('Données projet'!$B$12,Paramètres!$A$1:$I$89,5,0)</f>
        <v>-4.3983163777738812E-13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541.66888676162716</v>
      </c>
      <c r="CE169" s="60">
        <f t="shared" si="148"/>
        <v>294.45557293177131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-4.5474735088646412E-13</v>
      </c>
      <c r="CU169" s="18">
        <f>CT169*VLOOKUP('Données projet'!$B$13,Paramètres!$A$1:$I$89,3,0)*VLOOKUP('Données projet'!$B$13,Paramètres!$A$1:$I$89,5,0)</f>
        <v>-4.8949004849418999E-13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597.75551942969628</v>
      </c>
      <c r="CZ169" s="60">
        <f t="shared" si="150"/>
        <v>322.81767004794284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-4.1145540308207271E-13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509.56241660612449</v>
      </c>
      <c r="T170" s="60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-4.6111381379887462E-13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565.72091871734051</v>
      </c>
      <c r="AO170" s="60">
        <f t="shared" si="144"/>
        <v>306.61893266146666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-6.2527760746888816E-13</v>
      </c>
      <c r="BE170" s="14">
        <f>BD170*VLOOKUP('Données projet'!$B$11,Paramètres!$A$1:$I$89,3,0)*VLOOKUP('Données projet'!$B$11,Paramètres!$A$1:$I$89,5,0)</f>
        <v>-2.9262992029543964E-13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246.64907095367749</v>
      </c>
      <c r="BJ170" s="60">
        <f t="shared" si="146"/>
        <v>145.34368562171613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-4.5474735088646412E-13</v>
      </c>
      <c r="BZ170" s="14">
        <f>BY170*VLOOKUP('Données projet'!$B$12,Paramètres!$A$1:$I$89,3,0)*VLOOKUP('Données projet'!$B$12,Paramètres!$A$1:$I$89,5,0)</f>
        <v>-4.3983163777738812E-13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541.66888676162716</v>
      </c>
      <c r="CE170" s="60">
        <f t="shared" si="148"/>
        <v>294.45557293177131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-4.5474735088646412E-13</v>
      </c>
      <c r="CU170" s="18">
        <f>CT170*VLOOKUP('Données projet'!$B$13,Paramètres!$A$1:$I$89,3,0)*VLOOKUP('Données projet'!$B$13,Paramètres!$A$1:$I$89,5,0)</f>
        <v>-4.8949004849418999E-13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597.75551942969628</v>
      </c>
      <c r="CZ170" s="60">
        <f t="shared" si="150"/>
        <v>322.81767004794284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-4.1145540308207271E-13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509.56241660612449</v>
      </c>
      <c r="T171" s="60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-4.6111381379887462E-13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565.72091871734051</v>
      </c>
      <c r="AO171" s="60">
        <f t="shared" si="144"/>
        <v>306.61893266146666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-6.2527760746888816E-13</v>
      </c>
      <c r="BE171" s="14">
        <f>BD171*VLOOKUP('Données projet'!$B$11,Paramètres!$A$1:$I$89,3,0)*VLOOKUP('Données projet'!$B$11,Paramètres!$A$1:$I$89,5,0)</f>
        <v>-2.9262992029543964E-13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246.64907095367749</v>
      </c>
      <c r="BJ171" s="60">
        <f t="shared" si="146"/>
        <v>145.34368562171613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-4.5474735088646412E-13</v>
      </c>
      <c r="BZ171" s="14">
        <f>BY171*VLOOKUP('Données projet'!$B$12,Paramètres!$A$1:$I$89,3,0)*VLOOKUP('Données projet'!$B$12,Paramètres!$A$1:$I$89,5,0)</f>
        <v>-4.3983163777738812E-13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541.66888676162716</v>
      </c>
      <c r="CE171" s="60">
        <f t="shared" si="148"/>
        <v>294.45557293177131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-4.5474735088646412E-13</v>
      </c>
      <c r="CU171" s="18">
        <f>CT171*VLOOKUP('Données projet'!$B$13,Paramètres!$A$1:$I$89,3,0)*VLOOKUP('Données projet'!$B$13,Paramètres!$A$1:$I$89,5,0)</f>
        <v>-4.8949004849418999E-13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597.75551942969628</v>
      </c>
      <c r="CZ171" s="60">
        <f t="shared" si="150"/>
        <v>322.81767004794284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-4.1145540308207271E-13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509.56241660612449</v>
      </c>
      <c r="T172" s="60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-4.6111381379887462E-13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565.72091871734051</v>
      </c>
      <c r="AO172" s="60">
        <f t="shared" si="144"/>
        <v>306.61893266146666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-6.2527760746888816E-13</v>
      </c>
      <c r="BE172" s="14">
        <f>BD172*VLOOKUP('Données projet'!$B$11,Paramètres!$A$1:$I$89,3,0)*VLOOKUP('Données projet'!$B$11,Paramètres!$A$1:$I$89,5,0)</f>
        <v>-2.9262992029543964E-13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246.64907095367749</v>
      </c>
      <c r="BJ172" s="60">
        <f t="shared" si="146"/>
        <v>145.34368562171613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-4.5474735088646412E-13</v>
      </c>
      <c r="BZ172" s="14">
        <f>BY172*VLOOKUP('Données projet'!$B$12,Paramètres!$A$1:$I$89,3,0)*VLOOKUP('Données projet'!$B$12,Paramètres!$A$1:$I$89,5,0)</f>
        <v>-4.3983163777738812E-13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541.66888676162716</v>
      </c>
      <c r="CE172" s="60">
        <f t="shared" si="148"/>
        <v>294.45557293177131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-4.5474735088646412E-13</v>
      </c>
      <c r="CU172" s="18">
        <f>CT172*VLOOKUP('Données projet'!$B$13,Paramètres!$A$1:$I$89,3,0)*VLOOKUP('Données projet'!$B$13,Paramètres!$A$1:$I$89,5,0)</f>
        <v>-4.8949004849418999E-13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597.75551942969628</v>
      </c>
      <c r="CZ172" s="60">
        <f t="shared" si="150"/>
        <v>322.81767004794284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-4.1145540308207271E-13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509.56241660612449</v>
      </c>
      <c r="T173" s="60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-4.6111381379887462E-13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565.72091871734051</v>
      </c>
      <c r="AO173" s="60">
        <f t="shared" si="144"/>
        <v>306.61893266146666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-6.2527760746888816E-13</v>
      </c>
      <c r="BE173" s="14">
        <f>BD173*VLOOKUP('Données projet'!$B$11,Paramètres!$A$1:$I$89,3,0)*VLOOKUP('Données projet'!$B$11,Paramètres!$A$1:$I$89,5,0)</f>
        <v>-2.9262992029543964E-13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246.64907095367749</v>
      </c>
      <c r="BJ173" s="60">
        <f t="shared" si="146"/>
        <v>145.34368562171613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-4.5474735088646412E-13</v>
      </c>
      <c r="BZ173" s="14">
        <f>BY173*VLOOKUP('Données projet'!$B$12,Paramètres!$A$1:$I$89,3,0)*VLOOKUP('Données projet'!$B$12,Paramètres!$A$1:$I$89,5,0)</f>
        <v>-4.3983163777738812E-13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541.66888676162716</v>
      </c>
      <c r="CE173" s="60">
        <f t="shared" si="148"/>
        <v>294.45557293177131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-4.5474735088646412E-13</v>
      </c>
      <c r="CU173" s="18">
        <f>CT173*VLOOKUP('Données projet'!$B$13,Paramètres!$A$1:$I$89,3,0)*VLOOKUP('Données projet'!$B$13,Paramètres!$A$1:$I$89,5,0)</f>
        <v>-4.8949004849418999E-13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597.75551942969628</v>
      </c>
      <c r="CZ173" s="60">
        <f t="shared" si="150"/>
        <v>322.81767004794284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-4.1145540308207271E-13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509.56241660612449</v>
      </c>
      <c r="T174" s="60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-4.6111381379887462E-13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565.72091871734051</v>
      </c>
      <c r="AO174" s="60">
        <f t="shared" si="144"/>
        <v>306.61893266146666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-6.2527760746888816E-13</v>
      </c>
      <c r="BE174" s="14">
        <f>BD174*VLOOKUP('Données projet'!$B$11,Paramètres!$A$1:$I$89,3,0)*VLOOKUP('Données projet'!$B$11,Paramètres!$A$1:$I$89,5,0)</f>
        <v>-2.9262992029543964E-13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246.64907095367749</v>
      </c>
      <c r="BJ174" s="60">
        <f t="shared" si="146"/>
        <v>145.34368562171613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-4.5474735088646412E-13</v>
      </c>
      <c r="BZ174" s="14">
        <f>BY174*VLOOKUP('Données projet'!$B$12,Paramètres!$A$1:$I$89,3,0)*VLOOKUP('Données projet'!$B$12,Paramètres!$A$1:$I$89,5,0)</f>
        <v>-4.3983163777738812E-13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541.66888676162716</v>
      </c>
      <c r="CE174" s="60">
        <f t="shared" si="148"/>
        <v>294.45557293177131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-4.5474735088646412E-13</v>
      </c>
      <c r="CU174" s="18">
        <f>CT174*VLOOKUP('Données projet'!$B$13,Paramètres!$A$1:$I$89,3,0)*VLOOKUP('Données projet'!$B$13,Paramètres!$A$1:$I$89,5,0)</f>
        <v>-4.8949004849418999E-13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597.75551942969628</v>
      </c>
      <c r="CZ174" s="60">
        <f t="shared" si="150"/>
        <v>322.81767004794284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-4.1145540308207271E-13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509.56241660612449</v>
      </c>
      <c r="T175" s="60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-4.6111381379887462E-13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565.72091871734051</v>
      </c>
      <c r="AO175" s="60">
        <f t="shared" si="144"/>
        <v>306.61893266146666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-6.2527760746888816E-13</v>
      </c>
      <c r="BE175" s="14">
        <f>BD175*VLOOKUP('Données projet'!$B$11,Paramètres!$A$1:$I$89,3,0)*VLOOKUP('Données projet'!$B$11,Paramètres!$A$1:$I$89,5,0)</f>
        <v>-2.9262992029543964E-13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246.64907095367749</v>
      </c>
      <c r="BJ175" s="60">
        <f t="shared" si="146"/>
        <v>145.34368562171613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-4.5474735088646412E-13</v>
      </c>
      <c r="BZ175" s="14">
        <f>BY175*VLOOKUP('Données projet'!$B$12,Paramètres!$A$1:$I$89,3,0)*VLOOKUP('Données projet'!$B$12,Paramètres!$A$1:$I$89,5,0)</f>
        <v>-4.3983163777738812E-13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541.66888676162716</v>
      </c>
      <c r="CE175" s="60">
        <f t="shared" si="148"/>
        <v>294.45557293177131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-4.5474735088646412E-13</v>
      </c>
      <c r="CU175" s="18">
        <f>CT175*VLOOKUP('Données projet'!$B$13,Paramètres!$A$1:$I$89,3,0)*VLOOKUP('Données projet'!$B$13,Paramètres!$A$1:$I$89,5,0)</f>
        <v>-4.8949004849418999E-13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597.75551942969628</v>
      </c>
      <c r="CZ175" s="60">
        <f t="shared" si="150"/>
        <v>322.81767004794284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-4.1145540308207271E-13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509.56241660612449</v>
      </c>
      <c r="T176" s="60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-4.6111381379887462E-13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565.72091871734051</v>
      </c>
      <c r="AO176" s="60">
        <f t="shared" si="144"/>
        <v>306.61893266146666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-6.2527760746888816E-13</v>
      </c>
      <c r="BE176" s="14">
        <f>BD176*VLOOKUP('Données projet'!$B$11,Paramètres!$A$1:$I$89,3,0)*VLOOKUP('Données projet'!$B$11,Paramètres!$A$1:$I$89,5,0)</f>
        <v>-2.9262992029543964E-13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246.64907095367749</v>
      </c>
      <c r="BJ176" s="60">
        <f t="shared" si="146"/>
        <v>145.34368562171613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-4.5474735088646412E-13</v>
      </c>
      <c r="BZ176" s="14">
        <f>BY176*VLOOKUP('Données projet'!$B$12,Paramètres!$A$1:$I$89,3,0)*VLOOKUP('Données projet'!$B$12,Paramètres!$A$1:$I$89,5,0)</f>
        <v>-4.3983163777738812E-13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541.66888676162716</v>
      </c>
      <c r="CE176" s="60">
        <f t="shared" si="148"/>
        <v>294.45557293177131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-4.5474735088646412E-13</v>
      </c>
      <c r="CU176" s="18">
        <f>CT176*VLOOKUP('Données projet'!$B$13,Paramètres!$A$1:$I$89,3,0)*VLOOKUP('Données projet'!$B$13,Paramètres!$A$1:$I$89,5,0)</f>
        <v>-4.8949004849418999E-13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597.75551942969628</v>
      </c>
      <c r="CZ176" s="60">
        <f t="shared" si="150"/>
        <v>322.81767004794284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-4.1145540308207271E-13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509.56241660612449</v>
      </c>
      <c r="T177" s="60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-4.6111381379887462E-13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565.72091871734051</v>
      </c>
      <c r="AO177" s="60">
        <f t="shared" si="144"/>
        <v>306.61893266146666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-6.2527760746888816E-13</v>
      </c>
      <c r="BE177" s="14">
        <f>BD177*VLOOKUP('Données projet'!$B$11,Paramètres!$A$1:$I$89,3,0)*VLOOKUP('Données projet'!$B$11,Paramètres!$A$1:$I$89,5,0)</f>
        <v>-2.9262992029543964E-13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246.64907095367749</v>
      </c>
      <c r="BJ177" s="60">
        <f t="shared" si="146"/>
        <v>145.34368562171613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-4.5474735088646412E-13</v>
      </c>
      <c r="BZ177" s="14">
        <f>BY177*VLOOKUP('Données projet'!$B$12,Paramètres!$A$1:$I$89,3,0)*VLOOKUP('Données projet'!$B$12,Paramètres!$A$1:$I$89,5,0)</f>
        <v>-4.3983163777738812E-13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541.66888676162716</v>
      </c>
      <c r="CE177" s="60">
        <f t="shared" si="148"/>
        <v>294.45557293177131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-4.5474735088646412E-13</v>
      </c>
      <c r="CU177" s="18">
        <f>CT177*VLOOKUP('Données projet'!$B$13,Paramètres!$A$1:$I$89,3,0)*VLOOKUP('Données projet'!$B$13,Paramètres!$A$1:$I$89,5,0)</f>
        <v>-4.8949004849418999E-13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597.75551942969628</v>
      </c>
      <c r="CZ177" s="60">
        <f t="shared" si="150"/>
        <v>322.81767004794284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-4.1145540308207271E-13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509.56241660612449</v>
      </c>
      <c r="T178" s="60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-4.6111381379887462E-13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565.72091871734051</v>
      </c>
      <c r="AO178" s="60">
        <f t="shared" si="144"/>
        <v>306.61893266146666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-6.2527760746888816E-13</v>
      </c>
      <c r="BE178" s="14">
        <f>BD178*VLOOKUP('Données projet'!$B$11,Paramètres!$A$1:$I$89,3,0)*VLOOKUP('Données projet'!$B$11,Paramètres!$A$1:$I$89,5,0)</f>
        <v>-2.9262992029543964E-13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246.64907095367749</v>
      </c>
      <c r="BJ178" s="60">
        <f t="shared" si="146"/>
        <v>145.34368562171613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-4.5474735088646412E-13</v>
      </c>
      <c r="BZ178" s="14">
        <f>BY178*VLOOKUP('Données projet'!$B$12,Paramètres!$A$1:$I$89,3,0)*VLOOKUP('Données projet'!$B$12,Paramètres!$A$1:$I$89,5,0)</f>
        <v>-4.3983163777738812E-13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541.66888676162716</v>
      </c>
      <c r="CE178" s="60">
        <f t="shared" si="148"/>
        <v>294.45557293177131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-4.5474735088646412E-13</v>
      </c>
      <c r="CU178" s="18">
        <f>CT178*VLOOKUP('Données projet'!$B$13,Paramètres!$A$1:$I$89,3,0)*VLOOKUP('Données projet'!$B$13,Paramètres!$A$1:$I$89,5,0)</f>
        <v>-4.8949004849418999E-13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597.75551942969628</v>
      </c>
      <c r="CZ178" s="60">
        <f t="shared" si="150"/>
        <v>322.81767004794284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-4.1145540308207271E-13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509.56241660612449</v>
      </c>
      <c r="T179" s="60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-4.6111381379887462E-13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565.72091871734051</v>
      </c>
      <c r="AO179" s="60">
        <f t="shared" si="144"/>
        <v>306.61893266146666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-6.2527760746888816E-13</v>
      </c>
      <c r="BE179" s="14">
        <f>BD179*VLOOKUP('Données projet'!$B$11,Paramètres!$A$1:$I$89,3,0)*VLOOKUP('Données projet'!$B$11,Paramètres!$A$1:$I$89,5,0)</f>
        <v>-2.9262992029543964E-13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246.64907095367749</v>
      </c>
      <c r="BJ179" s="60">
        <f t="shared" si="146"/>
        <v>145.34368562171613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-4.5474735088646412E-13</v>
      </c>
      <c r="BZ179" s="14">
        <f>BY179*VLOOKUP('Données projet'!$B$12,Paramètres!$A$1:$I$89,3,0)*VLOOKUP('Données projet'!$B$12,Paramètres!$A$1:$I$89,5,0)</f>
        <v>-4.3983163777738812E-13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541.66888676162716</v>
      </c>
      <c r="CE179" s="60">
        <f t="shared" si="148"/>
        <v>294.45557293177131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-4.5474735088646412E-13</v>
      </c>
      <c r="CU179" s="18">
        <f>CT179*VLOOKUP('Données projet'!$B$13,Paramètres!$A$1:$I$89,3,0)*VLOOKUP('Données projet'!$B$13,Paramètres!$A$1:$I$89,5,0)</f>
        <v>-4.8949004849418999E-13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597.75551942969628</v>
      </c>
      <c r="CZ179" s="60">
        <f t="shared" si="150"/>
        <v>322.81767004794284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-4.1145540308207271E-13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509.56241660612449</v>
      </c>
      <c r="T180" s="60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-4.6111381379887462E-13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565.72091871734051</v>
      </c>
      <c r="AO180" s="60">
        <f t="shared" si="144"/>
        <v>306.61893266146666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-6.2527760746888816E-13</v>
      </c>
      <c r="BE180" s="14">
        <f>BD180*VLOOKUP('Données projet'!$B$11,Paramètres!$A$1:$I$89,3,0)*VLOOKUP('Données projet'!$B$11,Paramètres!$A$1:$I$89,5,0)</f>
        <v>-2.9262992029543964E-13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246.64907095367749</v>
      </c>
      <c r="BJ180" s="60">
        <f t="shared" si="146"/>
        <v>145.34368562171613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-4.5474735088646412E-13</v>
      </c>
      <c r="BZ180" s="14">
        <f>BY180*VLOOKUP('Données projet'!$B$12,Paramètres!$A$1:$I$89,3,0)*VLOOKUP('Données projet'!$B$12,Paramètres!$A$1:$I$89,5,0)</f>
        <v>-4.3983163777738812E-13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541.66888676162716</v>
      </c>
      <c r="CE180" s="60">
        <f t="shared" si="148"/>
        <v>294.45557293177131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-4.5474735088646412E-13</v>
      </c>
      <c r="CU180" s="18">
        <f>CT180*VLOOKUP('Données projet'!$B$13,Paramètres!$A$1:$I$89,3,0)*VLOOKUP('Données projet'!$B$13,Paramètres!$A$1:$I$89,5,0)</f>
        <v>-4.8949004849418999E-13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597.75551942969628</v>
      </c>
      <c r="CZ180" s="60">
        <f t="shared" si="150"/>
        <v>322.81767004794284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-4.1145540308207271E-13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509.56241660612449</v>
      </c>
      <c r="T181" s="60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-4.6111381379887462E-13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565.72091871734051</v>
      </c>
      <c r="AO181" s="60">
        <f t="shared" si="144"/>
        <v>306.61893266146666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-6.2527760746888816E-13</v>
      </c>
      <c r="BE181" s="14">
        <f>BD181*VLOOKUP('Données projet'!$B$11,Paramètres!$A$1:$I$89,3,0)*VLOOKUP('Données projet'!$B$11,Paramètres!$A$1:$I$89,5,0)</f>
        <v>-2.9262992029543964E-13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246.64907095367749</v>
      </c>
      <c r="BJ181" s="60">
        <f t="shared" si="146"/>
        <v>145.34368562171613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-4.5474735088646412E-13</v>
      </c>
      <c r="BZ181" s="14">
        <f>BY181*VLOOKUP('Données projet'!$B$12,Paramètres!$A$1:$I$89,3,0)*VLOOKUP('Données projet'!$B$12,Paramètres!$A$1:$I$89,5,0)</f>
        <v>-4.3983163777738812E-13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541.66888676162716</v>
      </c>
      <c r="CE181" s="60">
        <f t="shared" si="148"/>
        <v>294.45557293177131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-4.5474735088646412E-13</v>
      </c>
      <c r="CU181" s="18">
        <f>CT181*VLOOKUP('Données projet'!$B$13,Paramètres!$A$1:$I$89,3,0)*VLOOKUP('Données projet'!$B$13,Paramètres!$A$1:$I$89,5,0)</f>
        <v>-4.8949004849418999E-13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597.75551942969628</v>
      </c>
      <c r="CZ181" s="60">
        <f t="shared" si="150"/>
        <v>322.81767004794284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-4.1145540308207271E-13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509.56241660612449</v>
      </c>
      <c r="T182" s="60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-4.6111381379887462E-13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565.72091871734051</v>
      </c>
      <c r="AO182" s="60">
        <f t="shared" si="144"/>
        <v>306.61893266146666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-6.2527760746888816E-13</v>
      </c>
      <c r="BE182" s="14">
        <f>BD182*VLOOKUP('Données projet'!$B$11,Paramètres!$A$1:$I$89,3,0)*VLOOKUP('Données projet'!$B$11,Paramètres!$A$1:$I$89,5,0)</f>
        <v>-2.9262992029543964E-13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246.64907095367749</v>
      </c>
      <c r="BJ182" s="60">
        <f t="shared" si="146"/>
        <v>145.34368562171613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-4.5474735088646412E-13</v>
      </c>
      <c r="BZ182" s="14">
        <f>BY182*VLOOKUP('Données projet'!$B$12,Paramètres!$A$1:$I$89,3,0)*VLOOKUP('Données projet'!$B$12,Paramètres!$A$1:$I$89,5,0)</f>
        <v>-4.3983163777738812E-13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541.66888676162716</v>
      </c>
      <c r="CE182" s="60">
        <f t="shared" si="148"/>
        <v>294.45557293177131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-4.5474735088646412E-13</v>
      </c>
      <c r="CU182" s="18">
        <f>CT182*VLOOKUP('Données projet'!$B$13,Paramètres!$A$1:$I$89,3,0)*VLOOKUP('Données projet'!$B$13,Paramètres!$A$1:$I$89,5,0)</f>
        <v>-4.8949004849418999E-13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597.75551942969628</v>
      </c>
      <c r="CZ182" s="60">
        <f t="shared" si="150"/>
        <v>322.81767004794284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-4.1145540308207271E-13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509.56241660612449</v>
      </c>
      <c r="T183" s="60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-4.6111381379887462E-13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565.72091871734051</v>
      </c>
      <c r="AO183" s="60">
        <f t="shared" si="144"/>
        <v>306.61893266146666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-6.2527760746888816E-13</v>
      </c>
      <c r="BE183" s="14">
        <f>BD183*VLOOKUP('Données projet'!$B$11,Paramètres!$A$1:$I$89,3,0)*VLOOKUP('Données projet'!$B$11,Paramètres!$A$1:$I$89,5,0)</f>
        <v>-2.9262992029543964E-13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246.64907095367749</v>
      </c>
      <c r="BJ183" s="60">
        <f t="shared" si="146"/>
        <v>145.34368562171613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-4.5474735088646412E-13</v>
      </c>
      <c r="BZ183" s="14">
        <f>BY183*VLOOKUP('Données projet'!$B$12,Paramètres!$A$1:$I$89,3,0)*VLOOKUP('Données projet'!$B$12,Paramètres!$A$1:$I$89,5,0)</f>
        <v>-4.3983163777738812E-13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541.66888676162716</v>
      </c>
      <c r="CE183" s="60">
        <f t="shared" si="148"/>
        <v>294.45557293177131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-4.5474735088646412E-13</v>
      </c>
      <c r="CU183" s="18">
        <f>CT183*VLOOKUP('Données projet'!$B$13,Paramètres!$A$1:$I$89,3,0)*VLOOKUP('Données projet'!$B$13,Paramètres!$A$1:$I$89,5,0)</f>
        <v>-4.8949004849418999E-13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597.75551942969628</v>
      </c>
      <c r="CZ183" s="60">
        <f t="shared" si="150"/>
        <v>322.81767004794284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-4.1145540308207271E-13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509.56241660612449</v>
      </c>
      <c r="T184" s="60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-4.6111381379887462E-13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565.72091871734051</v>
      </c>
      <c r="AO184" s="60">
        <f t="shared" si="144"/>
        <v>306.61893266146666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-6.2527760746888816E-13</v>
      </c>
      <c r="BE184" s="14">
        <f>BD184*VLOOKUP('Données projet'!$B$11,Paramètres!$A$1:$I$89,3,0)*VLOOKUP('Données projet'!$B$11,Paramètres!$A$1:$I$89,5,0)</f>
        <v>-2.9262992029543964E-13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246.64907095367749</v>
      </c>
      <c r="BJ184" s="60">
        <f t="shared" si="146"/>
        <v>145.34368562171613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-4.5474735088646412E-13</v>
      </c>
      <c r="BZ184" s="14">
        <f>BY184*VLOOKUP('Données projet'!$B$12,Paramètres!$A$1:$I$89,3,0)*VLOOKUP('Données projet'!$B$12,Paramètres!$A$1:$I$89,5,0)</f>
        <v>-4.3983163777738812E-13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541.66888676162716</v>
      </c>
      <c r="CE184" s="60">
        <f t="shared" si="148"/>
        <v>294.45557293177131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-4.5474735088646412E-13</v>
      </c>
      <c r="CU184" s="18">
        <f>CT184*VLOOKUP('Données projet'!$B$13,Paramètres!$A$1:$I$89,3,0)*VLOOKUP('Données projet'!$B$13,Paramètres!$A$1:$I$89,5,0)</f>
        <v>-4.8949004849418999E-13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597.75551942969628</v>
      </c>
      <c r="CZ184" s="60">
        <f t="shared" si="150"/>
        <v>322.81767004794284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-4.1145540308207271E-13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509.56241660612449</v>
      </c>
      <c r="T185" s="60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-4.6111381379887462E-13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565.72091871734051</v>
      </c>
      <c r="AO185" s="60">
        <f t="shared" si="144"/>
        <v>306.61893266146666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-6.2527760746888816E-13</v>
      </c>
      <c r="BE185" s="14">
        <f>BD185*VLOOKUP('Données projet'!$B$11,Paramètres!$A$1:$I$89,3,0)*VLOOKUP('Données projet'!$B$11,Paramètres!$A$1:$I$89,5,0)</f>
        <v>-2.9262992029543964E-13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246.64907095367749</v>
      </c>
      <c r="BJ185" s="60">
        <f t="shared" si="146"/>
        <v>145.34368562171613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-4.5474735088646412E-13</v>
      </c>
      <c r="BZ185" s="14">
        <f>BY185*VLOOKUP('Données projet'!$B$12,Paramètres!$A$1:$I$89,3,0)*VLOOKUP('Données projet'!$B$12,Paramètres!$A$1:$I$89,5,0)</f>
        <v>-4.3983163777738812E-13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541.66888676162716</v>
      </c>
      <c r="CE185" s="60">
        <f t="shared" si="148"/>
        <v>294.45557293177131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-4.5474735088646412E-13</v>
      </c>
      <c r="CU185" s="18">
        <f>CT185*VLOOKUP('Données projet'!$B$13,Paramètres!$A$1:$I$89,3,0)*VLOOKUP('Données projet'!$B$13,Paramètres!$A$1:$I$89,5,0)</f>
        <v>-4.8949004849418999E-13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597.75551942969628</v>
      </c>
      <c r="CZ185" s="60">
        <f t="shared" si="150"/>
        <v>322.81767004794284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-4.1145540308207271E-13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509.56241660612449</v>
      </c>
      <c r="T186" s="60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-4.6111381379887462E-13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565.72091871734051</v>
      </c>
      <c r="AO186" s="60">
        <f t="shared" si="144"/>
        <v>306.61893266146666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-6.2527760746888816E-13</v>
      </c>
      <c r="BE186" s="14">
        <f>BD186*VLOOKUP('Données projet'!$B$11,Paramètres!$A$1:$I$89,3,0)*VLOOKUP('Données projet'!$B$11,Paramètres!$A$1:$I$89,5,0)</f>
        <v>-2.9262992029543964E-13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246.64907095367749</v>
      </c>
      <c r="BJ186" s="60">
        <f t="shared" si="146"/>
        <v>145.34368562171613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-4.5474735088646412E-13</v>
      </c>
      <c r="BZ186" s="14">
        <f>BY186*VLOOKUP('Données projet'!$B$12,Paramètres!$A$1:$I$89,3,0)*VLOOKUP('Données projet'!$B$12,Paramètres!$A$1:$I$89,5,0)</f>
        <v>-4.3983163777738812E-13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541.66888676162716</v>
      </c>
      <c r="CE186" s="60">
        <f t="shared" si="148"/>
        <v>294.45557293177131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-4.5474735088646412E-13</v>
      </c>
      <c r="CU186" s="18">
        <f>CT186*VLOOKUP('Données projet'!$B$13,Paramètres!$A$1:$I$89,3,0)*VLOOKUP('Données projet'!$B$13,Paramètres!$A$1:$I$89,5,0)</f>
        <v>-4.8949004849418999E-13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597.75551942969628</v>
      </c>
      <c r="CZ186" s="60">
        <f t="shared" si="150"/>
        <v>322.81767004794284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-4.1145540308207271E-13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509.56241660612449</v>
      </c>
      <c r="T187" s="60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-4.6111381379887462E-13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565.72091871734051</v>
      </c>
      <c r="AO187" s="60">
        <f t="shared" si="144"/>
        <v>306.61893266146666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-6.2527760746888816E-13</v>
      </c>
      <c r="BE187" s="14">
        <f>BD187*VLOOKUP('Données projet'!$B$11,Paramètres!$A$1:$I$89,3,0)*VLOOKUP('Données projet'!$B$11,Paramètres!$A$1:$I$89,5,0)</f>
        <v>-2.9262992029543964E-13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246.64907095367749</v>
      </c>
      <c r="BJ187" s="60">
        <f t="shared" si="146"/>
        <v>145.34368562171613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-4.5474735088646412E-13</v>
      </c>
      <c r="BZ187" s="14">
        <f>BY187*VLOOKUP('Données projet'!$B$12,Paramètres!$A$1:$I$89,3,0)*VLOOKUP('Données projet'!$B$12,Paramètres!$A$1:$I$89,5,0)</f>
        <v>-4.3983163777738812E-13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541.66888676162716</v>
      </c>
      <c r="CE187" s="60">
        <f t="shared" si="148"/>
        <v>294.45557293177131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-4.5474735088646412E-13</v>
      </c>
      <c r="CU187" s="18">
        <f>CT187*VLOOKUP('Données projet'!$B$13,Paramètres!$A$1:$I$89,3,0)*VLOOKUP('Données projet'!$B$13,Paramètres!$A$1:$I$89,5,0)</f>
        <v>-4.8949004849418999E-13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597.75551942969628</v>
      </c>
      <c r="CZ187" s="60">
        <f t="shared" si="150"/>
        <v>322.81767004794284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-4.1145540308207271E-13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509.56241660612449</v>
      </c>
      <c r="T188" s="60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-4.6111381379887462E-13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565.72091871734051</v>
      </c>
      <c r="AO188" s="60">
        <f t="shared" si="144"/>
        <v>306.61893266146666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-6.2527760746888816E-13</v>
      </c>
      <c r="BE188" s="14">
        <f>BD188*VLOOKUP('Données projet'!$B$11,Paramètres!$A$1:$I$89,3,0)*VLOOKUP('Données projet'!$B$11,Paramètres!$A$1:$I$89,5,0)</f>
        <v>-2.9262992029543964E-13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246.64907095367749</v>
      </c>
      <c r="BJ188" s="60">
        <f t="shared" si="146"/>
        <v>145.34368562171613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-4.5474735088646412E-13</v>
      </c>
      <c r="BZ188" s="14">
        <f>BY188*VLOOKUP('Données projet'!$B$12,Paramètres!$A$1:$I$89,3,0)*VLOOKUP('Données projet'!$B$12,Paramètres!$A$1:$I$89,5,0)</f>
        <v>-4.3983163777738812E-13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541.66888676162716</v>
      </c>
      <c r="CE188" s="60">
        <f t="shared" si="148"/>
        <v>294.45557293177131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-4.5474735088646412E-13</v>
      </c>
      <c r="CU188" s="18">
        <f>CT188*VLOOKUP('Données projet'!$B$13,Paramètres!$A$1:$I$89,3,0)*VLOOKUP('Données projet'!$B$13,Paramètres!$A$1:$I$89,5,0)</f>
        <v>-4.8949004849418999E-13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597.75551942969628</v>
      </c>
      <c r="CZ188" s="60">
        <f t="shared" si="150"/>
        <v>322.81767004794284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-4.1145540308207271E-13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509.56241660612449</v>
      </c>
      <c r="T189" s="60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-4.6111381379887462E-13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565.72091871734051</v>
      </c>
      <c r="AO189" s="60">
        <f t="shared" si="144"/>
        <v>306.61893266146666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-6.2527760746888816E-13</v>
      </c>
      <c r="BE189" s="14">
        <f>BD189*VLOOKUP('Données projet'!$B$11,Paramètres!$A$1:$I$89,3,0)*VLOOKUP('Données projet'!$B$11,Paramètres!$A$1:$I$89,5,0)</f>
        <v>-2.9262992029543964E-13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246.64907095367749</v>
      </c>
      <c r="BJ189" s="60">
        <f t="shared" si="146"/>
        <v>145.34368562171613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-4.5474735088646412E-13</v>
      </c>
      <c r="BZ189" s="14">
        <f>BY189*VLOOKUP('Données projet'!$B$12,Paramètres!$A$1:$I$89,3,0)*VLOOKUP('Données projet'!$B$12,Paramètres!$A$1:$I$89,5,0)</f>
        <v>-4.3983163777738812E-13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541.66888676162716</v>
      </c>
      <c r="CE189" s="60">
        <f t="shared" si="148"/>
        <v>294.45557293177131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-4.5474735088646412E-13</v>
      </c>
      <c r="CU189" s="18">
        <f>CT189*VLOOKUP('Données projet'!$B$13,Paramètres!$A$1:$I$89,3,0)*VLOOKUP('Données projet'!$B$13,Paramètres!$A$1:$I$89,5,0)</f>
        <v>-4.8949004849418999E-13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597.75551942969628</v>
      </c>
      <c r="CZ189" s="60">
        <f t="shared" si="150"/>
        <v>322.81767004794284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-4.1145540308207271E-13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509.56241660612449</v>
      </c>
      <c r="T190" s="60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-4.6111381379887462E-13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565.72091871734051</v>
      </c>
      <c r="AO190" s="60">
        <f t="shared" si="144"/>
        <v>306.61893266146666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-6.2527760746888816E-13</v>
      </c>
      <c r="BE190" s="14">
        <f>BD190*VLOOKUP('Données projet'!$B$11,Paramètres!$A$1:$I$89,3,0)*VLOOKUP('Données projet'!$B$11,Paramètres!$A$1:$I$89,5,0)</f>
        <v>-2.9262992029543964E-13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246.64907095367749</v>
      </c>
      <c r="BJ190" s="60">
        <f t="shared" si="146"/>
        <v>145.34368562171613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-4.5474735088646412E-13</v>
      </c>
      <c r="BZ190" s="14">
        <f>BY190*VLOOKUP('Données projet'!$B$12,Paramètres!$A$1:$I$89,3,0)*VLOOKUP('Données projet'!$B$12,Paramètres!$A$1:$I$89,5,0)</f>
        <v>-4.3983163777738812E-13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541.66888676162716</v>
      </c>
      <c r="CE190" s="60">
        <f t="shared" si="148"/>
        <v>294.45557293177131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-4.5474735088646412E-13</v>
      </c>
      <c r="CU190" s="18">
        <f>CT190*VLOOKUP('Données projet'!$B$13,Paramètres!$A$1:$I$89,3,0)*VLOOKUP('Données projet'!$B$13,Paramètres!$A$1:$I$89,5,0)</f>
        <v>-4.8949004849418999E-13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597.75551942969628</v>
      </c>
      <c r="CZ190" s="60">
        <f t="shared" si="150"/>
        <v>322.81767004794284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-4.1145540308207271E-13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509.56241660612449</v>
      </c>
      <c r="T191" s="60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-4.6111381379887462E-13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565.72091871734051</v>
      </c>
      <c r="AO191" s="60">
        <f t="shared" si="144"/>
        <v>306.61893266146666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-6.2527760746888816E-13</v>
      </c>
      <c r="BE191" s="14">
        <f>BD191*VLOOKUP('Données projet'!$B$11,Paramètres!$A$1:$I$89,3,0)*VLOOKUP('Données projet'!$B$11,Paramètres!$A$1:$I$89,5,0)</f>
        <v>-2.9262992029543964E-13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246.64907095367749</v>
      </c>
      <c r="BJ191" s="60">
        <f t="shared" si="146"/>
        <v>145.34368562171613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-4.5474735088646412E-13</v>
      </c>
      <c r="BZ191" s="14">
        <f>BY191*VLOOKUP('Données projet'!$B$12,Paramètres!$A$1:$I$89,3,0)*VLOOKUP('Données projet'!$B$12,Paramètres!$A$1:$I$89,5,0)</f>
        <v>-4.3983163777738812E-13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541.66888676162716</v>
      </c>
      <c r="CE191" s="60">
        <f t="shared" si="148"/>
        <v>294.45557293177131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-4.5474735088646412E-13</v>
      </c>
      <c r="CU191" s="18">
        <f>CT191*VLOOKUP('Données projet'!$B$13,Paramètres!$A$1:$I$89,3,0)*VLOOKUP('Données projet'!$B$13,Paramètres!$A$1:$I$89,5,0)</f>
        <v>-4.8949004849418999E-13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597.75551942969628</v>
      </c>
      <c r="CZ191" s="60">
        <f t="shared" si="150"/>
        <v>322.81767004794284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-4.1145540308207271E-13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509.56241660612449</v>
      </c>
      <c r="T192" s="60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-4.6111381379887462E-13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565.72091871734051</v>
      </c>
      <c r="AO192" s="60">
        <f t="shared" si="144"/>
        <v>306.61893266146666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-6.2527760746888816E-13</v>
      </c>
      <c r="BE192" s="14">
        <f>BD192*VLOOKUP('Données projet'!$B$11,Paramètres!$A$1:$I$89,3,0)*VLOOKUP('Données projet'!$B$11,Paramètres!$A$1:$I$89,5,0)</f>
        <v>-2.9262992029543964E-13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246.64907095367749</v>
      </c>
      <c r="BJ192" s="60">
        <f t="shared" si="146"/>
        <v>145.34368562171613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-4.5474735088646412E-13</v>
      </c>
      <c r="BZ192" s="14">
        <f>BY192*VLOOKUP('Données projet'!$B$12,Paramètres!$A$1:$I$89,3,0)*VLOOKUP('Données projet'!$B$12,Paramètres!$A$1:$I$89,5,0)</f>
        <v>-4.3983163777738812E-13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541.66888676162716</v>
      </c>
      <c r="CE192" s="60">
        <f t="shared" si="148"/>
        <v>294.45557293177131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-4.5474735088646412E-13</v>
      </c>
      <c r="CU192" s="18">
        <f>CT192*VLOOKUP('Données projet'!$B$13,Paramètres!$A$1:$I$89,3,0)*VLOOKUP('Données projet'!$B$13,Paramètres!$A$1:$I$89,5,0)</f>
        <v>-4.8949004849418999E-13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597.75551942969628</v>
      </c>
      <c r="CZ192" s="60">
        <f t="shared" si="150"/>
        <v>322.81767004794284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-4.1145540308207271E-13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509.56241660612449</v>
      </c>
      <c r="T193" s="60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-4.6111381379887462E-13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565.72091871734051</v>
      </c>
      <c r="AO193" s="60">
        <f t="shared" si="144"/>
        <v>306.61893266146666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-6.2527760746888816E-13</v>
      </c>
      <c r="BE193" s="14">
        <f>BD193*VLOOKUP('Données projet'!$B$11,Paramètres!$A$1:$I$89,3,0)*VLOOKUP('Données projet'!$B$11,Paramètres!$A$1:$I$89,5,0)</f>
        <v>-2.9262992029543964E-13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246.64907095367749</v>
      </c>
      <c r="BJ193" s="60">
        <f t="shared" si="146"/>
        <v>145.34368562171613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-4.5474735088646412E-13</v>
      </c>
      <c r="BZ193" s="14">
        <f>BY193*VLOOKUP('Données projet'!$B$12,Paramètres!$A$1:$I$89,3,0)*VLOOKUP('Données projet'!$B$12,Paramètres!$A$1:$I$89,5,0)</f>
        <v>-4.3983163777738812E-13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541.66888676162716</v>
      </c>
      <c r="CE193" s="60">
        <f t="shared" si="148"/>
        <v>294.45557293177131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-4.5474735088646412E-13</v>
      </c>
      <c r="CU193" s="18">
        <f>CT193*VLOOKUP('Données projet'!$B$13,Paramètres!$A$1:$I$89,3,0)*VLOOKUP('Données projet'!$B$13,Paramètres!$A$1:$I$89,5,0)</f>
        <v>-4.8949004849418999E-13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597.75551942969628</v>
      </c>
      <c r="CZ193" s="60">
        <f t="shared" si="150"/>
        <v>322.81767004794284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-4.1145540308207271E-13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509.56241660612449</v>
      </c>
      <c r="T194" s="60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-4.6111381379887462E-13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565.72091871734051</v>
      </c>
      <c r="AO194" s="60">
        <f t="shared" si="144"/>
        <v>306.61893266146666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-6.2527760746888816E-13</v>
      </c>
      <c r="BE194" s="14">
        <f>BD194*VLOOKUP('Données projet'!$B$11,Paramètres!$A$1:$I$89,3,0)*VLOOKUP('Données projet'!$B$11,Paramètres!$A$1:$I$89,5,0)</f>
        <v>-2.9262992029543964E-13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246.64907095367749</v>
      </c>
      <c r="BJ194" s="60">
        <f t="shared" si="146"/>
        <v>145.34368562171613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-4.5474735088646412E-13</v>
      </c>
      <c r="BZ194" s="14">
        <f>BY194*VLOOKUP('Données projet'!$B$12,Paramètres!$A$1:$I$89,3,0)*VLOOKUP('Données projet'!$B$12,Paramètres!$A$1:$I$89,5,0)</f>
        <v>-4.3983163777738812E-13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541.66888676162716</v>
      </c>
      <c r="CE194" s="60">
        <f t="shared" si="148"/>
        <v>294.45557293177131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-4.5474735088646412E-13</v>
      </c>
      <c r="CU194" s="18">
        <f>CT194*VLOOKUP('Données projet'!$B$13,Paramètres!$A$1:$I$89,3,0)*VLOOKUP('Données projet'!$B$13,Paramètres!$A$1:$I$89,5,0)</f>
        <v>-4.8949004849418999E-13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597.75551942969628</v>
      </c>
      <c r="CZ194" s="60">
        <f t="shared" si="150"/>
        <v>322.81767004794284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-4.1145540308207271E-13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509.56241660612449</v>
      </c>
      <c r="T195" s="60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-4.6111381379887462E-13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565.72091871734051</v>
      </c>
      <c r="AO195" s="60">
        <f t="shared" si="144"/>
        <v>306.61893266146666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-6.2527760746888816E-13</v>
      </c>
      <c r="BE195" s="14">
        <f>BD195*VLOOKUP('Données projet'!$B$11,Paramètres!$A$1:$I$89,3,0)*VLOOKUP('Données projet'!$B$11,Paramètres!$A$1:$I$89,5,0)</f>
        <v>-2.9262992029543964E-13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246.64907095367749</v>
      </c>
      <c r="BJ195" s="60">
        <f t="shared" si="146"/>
        <v>145.34368562171613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-4.5474735088646412E-13</v>
      </c>
      <c r="BZ195" s="14">
        <f>BY195*VLOOKUP('Données projet'!$B$12,Paramètres!$A$1:$I$89,3,0)*VLOOKUP('Données projet'!$B$12,Paramètres!$A$1:$I$89,5,0)</f>
        <v>-4.3983163777738812E-13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541.66888676162716</v>
      </c>
      <c r="CE195" s="60">
        <f t="shared" si="148"/>
        <v>294.45557293177131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-4.5474735088646412E-13</v>
      </c>
      <c r="CU195" s="18">
        <f>CT195*VLOOKUP('Données projet'!$B$13,Paramètres!$A$1:$I$89,3,0)*VLOOKUP('Données projet'!$B$13,Paramètres!$A$1:$I$89,5,0)</f>
        <v>-4.8949004849418999E-13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597.75551942969628</v>
      </c>
      <c r="CZ195" s="60">
        <f t="shared" si="150"/>
        <v>322.81767004794284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-4.1145540308207271E-13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509.56241660612449</v>
      </c>
      <c r="T196" s="60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-4.6111381379887462E-13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565.72091871734051</v>
      </c>
      <c r="AO196" s="60">
        <f t="shared" si="144"/>
        <v>306.61893266146666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-6.2527760746888816E-13</v>
      </c>
      <c r="BE196" s="14">
        <f>BD196*VLOOKUP('Données projet'!$B$11,Paramètres!$A$1:$I$89,3,0)*VLOOKUP('Données projet'!$B$11,Paramètres!$A$1:$I$89,5,0)</f>
        <v>-2.9262992029543964E-13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246.64907095367749</v>
      </c>
      <c r="BJ196" s="60">
        <f t="shared" si="146"/>
        <v>145.34368562171613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-4.5474735088646412E-13</v>
      </c>
      <c r="BZ196" s="14">
        <f>BY196*VLOOKUP('Données projet'!$B$12,Paramètres!$A$1:$I$89,3,0)*VLOOKUP('Données projet'!$B$12,Paramètres!$A$1:$I$89,5,0)</f>
        <v>-4.3983163777738812E-13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541.66888676162716</v>
      </c>
      <c r="CE196" s="60">
        <f t="shared" si="148"/>
        <v>294.45557293177131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-4.5474735088646412E-13</v>
      </c>
      <c r="CU196" s="18">
        <f>CT196*VLOOKUP('Données projet'!$B$13,Paramètres!$A$1:$I$89,3,0)*VLOOKUP('Données projet'!$B$13,Paramètres!$A$1:$I$89,5,0)</f>
        <v>-4.8949004849418999E-13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597.75551942969628</v>
      </c>
      <c r="CZ196" s="60">
        <f t="shared" si="150"/>
        <v>322.81767004794284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-4.1145540308207271E-13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509.56241660612449</v>
      </c>
      <c r="T197" s="60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-4.6111381379887462E-13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565.72091871734051</v>
      </c>
      <c r="AO197" s="60">
        <f t="shared" ref="AO197:AO203" si="205">$AO$3</f>
        <v>306.61893266146666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-6.2527760746888816E-13</v>
      </c>
      <c r="BE197" s="14">
        <f>BD197*VLOOKUP('Données projet'!$B$11,Paramètres!$A$1:$I$89,3,0)*VLOOKUP('Données projet'!$B$11,Paramètres!$A$1:$I$89,5,0)</f>
        <v>-2.9262992029543964E-13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246.64907095367749</v>
      </c>
      <c r="BJ197" s="60">
        <f t="shared" ref="BJ197:BJ203" si="206">$BJ$3</f>
        <v>145.34368562171613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-4.5474735088646412E-13</v>
      </c>
      <c r="BZ197" s="14">
        <f>BY197*VLOOKUP('Données projet'!$B$12,Paramètres!$A$1:$I$89,3,0)*VLOOKUP('Données projet'!$B$12,Paramètres!$A$1:$I$89,5,0)</f>
        <v>-4.3983163777738812E-13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541.66888676162716</v>
      </c>
      <c r="CE197" s="60">
        <f t="shared" ref="CE197:CE203" si="207">$CE$3</f>
        <v>294.45557293177131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-4.5474735088646412E-13</v>
      </c>
      <c r="CU197" s="18">
        <f>CT197*VLOOKUP('Données projet'!$B$13,Paramètres!$A$1:$I$89,3,0)*VLOOKUP('Données projet'!$B$13,Paramètres!$A$1:$I$89,5,0)</f>
        <v>-4.8949004849418999E-13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597.75551942969628</v>
      </c>
      <c r="CZ197" s="60">
        <f t="shared" ref="CZ197:CZ203" si="208">$CZ$3</f>
        <v>322.81767004794284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-4.1145540308207271E-13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509.56241660612449</v>
      </c>
      <c r="T198" s="60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-4.6111381379887462E-13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565.72091871734051</v>
      </c>
      <c r="AO198" s="60">
        <f t="shared" si="205"/>
        <v>306.61893266146666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-6.2527760746888816E-13</v>
      </c>
      <c r="BE198" s="14">
        <f>BD198*VLOOKUP('Données projet'!$B$11,Paramètres!$A$1:$I$89,3,0)*VLOOKUP('Données projet'!$B$11,Paramètres!$A$1:$I$89,5,0)</f>
        <v>-2.9262992029543964E-13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246.64907095367749</v>
      </c>
      <c r="BJ198" s="60">
        <f t="shared" si="206"/>
        <v>145.34368562171613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-4.5474735088646412E-13</v>
      </c>
      <c r="BZ198" s="14">
        <f>BY198*VLOOKUP('Données projet'!$B$12,Paramètres!$A$1:$I$89,3,0)*VLOOKUP('Données projet'!$B$12,Paramètres!$A$1:$I$89,5,0)</f>
        <v>-4.3983163777738812E-13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541.66888676162716</v>
      </c>
      <c r="CE198" s="60">
        <f t="shared" si="207"/>
        <v>294.45557293177131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-4.5474735088646412E-13</v>
      </c>
      <c r="CU198" s="18">
        <f>CT198*VLOOKUP('Données projet'!$B$13,Paramètres!$A$1:$I$89,3,0)*VLOOKUP('Données projet'!$B$13,Paramètres!$A$1:$I$89,5,0)</f>
        <v>-4.8949004849418999E-13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597.75551942969628</v>
      </c>
      <c r="CZ198" s="60">
        <f t="shared" si="208"/>
        <v>322.81767004794284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-4.1145540308207271E-13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509.56241660612449</v>
      </c>
      <c r="T199" s="60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-4.6111381379887462E-13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565.72091871734051</v>
      </c>
      <c r="AO199" s="60">
        <f t="shared" si="205"/>
        <v>306.61893266146666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-6.2527760746888816E-13</v>
      </c>
      <c r="BE199" s="14">
        <f>BD199*VLOOKUP('Données projet'!$B$11,Paramètres!$A$1:$I$89,3,0)*VLOOKUP('Données projet'!$B$11,Paramètres!$A$1:$I$89,5,0)</f>
        <v>-2.9262992029543964E-13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246.64907095367749</v>
      </c>
      <c r="BJ199" s="60">
        <f t="shared" si="206"/>
        <v>145.34368562171613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-4.5474735088646412E-13</v>
      </c>
      <c r="BZ199" s="14">
        <f>BY199*VLOOKUP('Données projet'!$B$12,Paramètres!$A$1:$I$89,3,0)*VLOOKUP('Données projet'!$B$12,Paramètres!$A$1:$I$89,5,0)</f>
        <v>-4.3983163777738812E-13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541.66888676162716</v>
      </c>
      <c r="CE199" s="60">
        <f t="shared" si="207"/>
        <v>294.45557293177131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-4.5474735088646412E-13</v>
      </c>
      <c r="CU199" s="18">
        <f>CT199*VLOOKUP('Données projet'!$B$13,Paramètres!$A$1:$I$89,3,0)*VLOOKUP('Données projet'!$B$13,Paramètres!$A$1:$I$89,5,0)</f>
        <v>-4.8949004849418999E-13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597.75551942969628</v>
      </c>
      <c r="CZ199" s="60">
        <f t="shared" si="208"/>
        <v>322.81767004794284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-4.1145540308207271E-13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509.56241660612449</v>
      </c>
      <c r="T200" s="60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-4.6111381379887462E-13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565.72091871734051</v>
      </c>
      <c r="AO200" s="60">
        <f t="shared" si="205"/>
        <v>306.61893266146666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-6.2527760746888816E-13</v>
      </c>
      <c r="BE200" s="14">
        <f>BD200*VLOOKUP('Données projet'!$B$11,Paramètres!$A$1:$I$89,3,0)*VLOOKUP('Données projet'!$B$11,Paramètres!$A$1:$I$89,5,0)</f>
        <v>-2.9262992029543964E-13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246.64907095367749</v>
      </c>
      <c r="BJ200" s="60">
        <f t="shared" si="206"/>
        <v>145.34368562171613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-4.5474735088646412E-13</v>
      </c>
      <c r="BZ200" s="14">
        <f>BY200*VLOOKUP('Données projet'!$B$12,Paramètres!$A$1:$I$89,3,0)*VLOOKUP('Données projet'!$B$12,Paramètres!$A$1:$I$89,5,0)</f>
        <v>-4.3983163777738812E-13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541.66888676162716</v>
      </c>
      <c r="CE200" s="60">
        <f t="shared" si="207"/>
        <v>294.45557293177131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-4.5474735088646412E-13</v>
      </c>
      <c r="CU200" s="18">
        <f>CT200*VLOOKUP('Données projet'!$B$13,Paramètres!$A$1:$I$89,3,0)*VLOOKUP('Données projet'!$B$13,Paramètres!$A$1:$I$89,5,0)</f>
        <v>-4.8949004849418999E-13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597.75551942969628</v>
      </c>
      <c r="CZ200" s="60">
        <f t="shared" si="208"/>
        <v>322.81767004794284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-4.1145540308207271E-13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509.56241660612449</v>
      </c>
      <c r="T201" s="60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-4.6111381379887462E-13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565.72091871734051</v>
      </c>
      <c r="AO201" s="60">
        <f t="shared" si="205"/>
        <v>306.61893266146666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-6.2527760746888816E-13</v>
      </c>
      <c r="BE201" s="14">
        <f>BD201*VLOOKUP('Données projet'!$B$11,Paramètres!$A$1:$I$89,3,0)*VLOOKUP('Données projet'!$B$11,Paramètres!$A$1:$I$89,5,0)</f>
        <v>-2.9262992029543964E-13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246.64907095367749</v>
      </c>
      <c r="BJ201" s="60">
        <f t="shared" si="206"/>
        <v>145.34368562171613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-4.5474735088646412E-13</v>
      </c>
      <c r="BZ201" s="14">
        <f>BY201*VLOOKUP('Données projet'!$B$12,Paramètres!$A$1:$I$89,3,0)*VLOOKUP('Données projet'!$B$12,Paramètres!$A$1:$I$89,5,0)</f>
        <v>-4.3983163777738812E-13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541.66888676162716</v>
      </c>
      <c r="CE201" s="60">
        <f t="shared" si="207"/>
        <v>294.45557293177131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-4.5474735088646412E-13</v>
      </c>
      <c r="CU201" s="18">
        <f>CT201*VLOOKUP('Données projet'!$B$13,Paramètres!$A$1:$I$89,3,0)*VLOOKUP('Données projet'!$B$13,Paramètres!$A$1:$I$89,5,0)</f>
        <v>-4.8949004849418999E-13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597.75551942969628</v>
      </c>
      <c r="CZ201" s="60">
        <f t="shared" si="208"/>
        <v>322.81767004794284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-4.1145540308207271E-13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509.56241660612449</v>
      </c>
      <c r="T202" s="60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-4.6111381379887462E-13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565.72091871734051</v>
      </c>
      <c r="AO202" s="60">
        <f t="shared" si="205"/>
        <v>306.61893266146666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-6.2527760746888816E-13</v>
      </c>
      <c r="BE202" s="14">
        <f>BD202*VLOOKUP('Données projet'!$B$11,Paramètres!$A$1:$I$89,3,0)*VLOOKUP('Données projet'!$B$11,Paramètres!$A$1:$I$89,5,0)</f>
        <v>-2.9262992029543964E-13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246.64907095367749</v>
      </c>
      <c r="BJ202" s="60">
        <f t="shared" si="206"/>
        <v>145.34368562171613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-4.5474735088646412E-13</v>
      </c>
      <c r="BZ202" s="14">
        <f>BY202*VLOOKUP('Données projet'!$B$12,Paramètres!$A$1:$I$89,3,0)*VLOOKUP('Données projet'!$B$12,Paramètres!$A$1:$I$89,5,0)</f>
        <v>-4.3983163777738812E-13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541.66888676162716</v>
      </c>
      <c r="CE202" s="60">
        <f t="shared" si="207"/>
        <v>294.45557293177131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-4.5474735088646412E-13</v>
      </c>
      <c r="CU202" s="18">
        <f>CT202*VLOOKUP('Données projet'!$B$13,Paramètres!$A$1:$I$89,3,0)*VLOOKUP('Données projet'!$B$13,Paramètres!$A$1:$I$89,5,0)</f>
        <v>-4.8949004849418999E-13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597.75551942969628</v>
      </c>
      <c r="CZ202" s="60">
        <f t="shared" si="208"/>
        <v>322.81767004794284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-4.1145540308207271E-13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509.56241660612449</v>
      </c>
      <c r="T203" s="60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-4.6111381379887462E-13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565.72091871734051</v>
      </c>
      <c r="AO203" s="60">
        <f t="shared" si="205"/>
        <v>306.61893266146666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-6.2527760746888816E-13</v>
      </c>
      <c r="BE203" s="14">
        <f>BD203*VLOOKUP('Données projet'!$B$11,Paramètres!$A$1:$I$89,3,0)*VLOOKUP('Données projet'!$B$11,Paramètres!$A$1:$I$89,5,0)</f>
        <v>-2.9262992029543964E-13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246.64907095367749</v>
      </c>
      <c r="BJ203" s="60">
        <f t="shared" si="206"/>
        <v>145.34368562171613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-4.5474735088646412E-13</v>
      </c>
      <c r="BZ203" s="14">
        <f>BY203*VLOOKUP('Données projet'!$B$12,Paramètres!$A$1:$I$89,3,0)*VLOOKUP('Données projet'!$B$12,Paramètres!$A$1:$I$89,5,0)</f>
        <v>-4.3983163777738812E-13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541.66888676162716</v>
      </c>
      <c r="CE203" s="60">
        <f t="shared" si="207"/>
        <v>294.45557293177131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-4.5474735088646412E-13</v>
      </c>
      <c r="CU203" s="18">
        <f>CT203*VLOOKUP('Données projet'!$B$13,Paramètres!$A$1:$I$89,3,0)*VLOOKUP('Données projet'!$B$13,Paramètres!$A$1:$I$89,5,0)</f>
        <v>-4.8949004849418999E-13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597.75551942969628</v>
      </c>
      <c r="CZ203" s="60">
        <f t="shared" si="208"/>
        <v>322.81767004794284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1.2392705892426346</v>
      </c>
      <c r="BA205" s="86">
        <f>EXP(LN('Données projet'!B88)/'Données projet'!A88)</f>
        <v>1.167092777711815</v>
      </c>
      <c r="BV205" s="86">
        <f>EXP(LN('Données projet'!B114)/'Données projet'!A114)</f>
        <v>1.2392705892426346</v>
      </c>
      <c r="CQ205" s="86">
        <f>EXP(LN('Données projet'!B140)/'Données projet'!A140)</f>
        <v>1.2392705892426346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D4" zoomScale="90" zoomScaleNormal="90" workbookViewId="0">
      <selection activeCell="N10" sqref="N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0.84400800000000009</v>
      </c>
      <c r="C6" s="154">
        <f ca="1">IF(OR('Données projet'!B9="",'Données projet'!C9="",'Données projet'!C9=0%),0,Calculateur!S3)</f>
        <v>509.56241660612449</v>
      </c>
      <c r="D6" s="154">
        <f>IF(OR('Données projet'!B9="",'Données projet'!C9="",'Données projet'!C9=0%),0,Calculateur!T3)</f>
        <v>278.21741231699929</v>
      </c>
      <c r="E6" s="154">
        <f ca="1">MIN(C6,D6)</f>
        <v>278.21741231699929</v>
      </c>
      <c r="F6" s="154">
        <f ca="1">E6*B6</f>
        <v>234.81772173484595</v>
      </c>
      <c r="G6" s="154">
        <f ca="1">F6*(100%-'Données projet'!$C$24)*(100%-'Données projet'!$C$25)*(100%-'Données projet'!$C$26)*(100%-'Données projet'!$C$27)</f>
        <v>211.33594956136136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7.174068000000001</v>
      </c>
      <c r="K6" s="158">
        <f>J6*(100%-'Données projet'!$C$24)*(100%-'Données projet'!$C$25)*(100%-'Données projet'!$C$26)*(100%-'Données projet'!$C$27)</f>
        <v>6.456661200000001</v>
      </c>
      <c r="L6" s="159">
        <f ca="1">G6+I6+K6</f>
        <v>217.79261076136137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pubescent</v>
      </c>
      <c r="B7" s="161">
        <f>'Données projet'!D10</f>
        <v>0.48272399999999999</v>
      </c>
      <c r="C7" s="154">
        <f ca="1">IF(OR('Données projet'!B10="",'Données projet'!C10="",'Données projet'!C10=0%),0,Calculateur!AN3)</f>
        <v>565.72091871734051</v>
      </c>
      <c r="D7" s="154">
        <f>IF(OR('Données projet'!B10="",'Données projet'!C10="",'Données projet'!C10=0%),0,Calculateur!AO3)</f>
        <v>306.61893266146666</v>
      </c>
      <c r="E7" s="154">
        <f t="shared" ref="E7:E15" ca="1" si="0">MIN(C7,D7)</f>
        <v>306.61893266146666</v>
      </c>
      <c r="F7" s="154">
        <f t="shared" ref="F7:F15" ca="1" si="1">E7*B7</f>
        <v>148.01231765007384</v>
      </c>
      <c r="G7" s="154">
        <f ca="1">F7*(100%-'Données projet'!$C$24)*(100%-'Données projet'!$C$25)*(100%-'Données projet'!$C$26)*(100%-'Données projet'!$C$27)</f>
        <v>133.21108588506647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4.103154</v>
      </c>
      <c r="K7" s="158">
        <f>J7*(100%-'Données projet'!$C$24)*(100%-'Données projet'!$C$25)*(100%-'Données projet'!$C$26)*(100%-'Données projet'!$C$27)</f>
        <v>3.6928386</v>
      </c>
      <c r="L7" s="159">
        <f t="shared" ref="L7:L15" ca="1" si="2">G7+I7+K7</f>
        <v>136.90392448506645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Cèdre de l'Atlas</v>
      </c>
      <c r="B8" s="161">
        <f>'Données projet'!D11</f>
        <v>0.154836</v>
      </c>
      <c r="C8" s="154">
        <f ca="1">IF(OR('Données projet'!B11="",'Données projet'!C11="",'Données projet'!C11=0%),0,Calculateur!BI3)</f>
        <v>246.64907095367749</v>
      </c>
      <c r="D8" s="154">
        <f>IF(OR('Données projet'!B11="",'Données projet'!C11="",'Données projet'!C11=0%),0,Calculateur!BJ3)</f>
        <v>145.34368562171613</v>
      </c>
      <c r="E8" s="154">
        <f t="shared" ca="1" si="0"/>
        <v>145.34368562171613</v>
      </c>
      <c r="F8" s="154">
        <f t="shared" ca="1" si="1"/>
        <v>22.50443490692404</v>
      </c>
      <c r="G8" s="154">
        <f ca="1">F8*(100%-'Données projet'!$C$24)*(100%-'Données projet'!$C$25)*(100%-'Données projet'!$C$26)*(100%-'Données projet'!$C$27)</f>
        <v>20.253991416231635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20.253991416231635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Alisier torminal</v>
      </c>
      <c r="B9" s="161">
        <f>'Données projet'!D12</f>
        <v>2.7323999999999998E-2</v>
      </c>
      <c r="C9" s="154">
        <f ca="1">IF(OR('Données projet'!B12="",'Données projet'!C12="",'Données projet'!C12=0%),0,Calculateur!CD3)</f>
        <v>541.66888676162716</v>
      </c>
      <c r="D9" s="154">
        <f>IF(OR('Données projet'!B12="",'Données projet'!C12="",'Données projet'!C12=0%),0,Calculateur!CE3)</f>
        <v>294.45557293177131</v>
      </c>
      <c r="E9" s="154">
        <f t="shared" ca="1" si="0"/>
        <v>294.45557293177131</v>
      </c>
      <c r="F9" s="154">
        <f t="shared" ca="1" si="1"/>
        <v>8.045704074787718</v>
      </c>
      <c r="G9" s="154">
        <f ca="1">F9*(100%-'Données projet'!$C$24)*(100%-'Données projet'!$C$25)*(100%-'Données projet'!$C$26)*(100%-'Données projet'!$C$27)</f>
        <v>7.2411336673089464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0.23225399999999999</v>
      </c>
      <c r="K9" s="158">
        <f>J9*(100%-'Données projet'!$C$24)*(100%-'Données projet'!$C$25)*(100%-'Données projet'!$C$26)*(100%-'Données projet'!$C$27)</f>
        <v>0.20902859999999998</v>
      </c>
      <c r="L9" s="159">
        <f t="shared" ca="1" si="2"/>
        <v>7.4501622673089463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Cormier</v>
      </c>
      <c r="B10" s="161">
        <f>'Données projet'!D13</f>
        <v>6.0720000000000001E-3</v>
      </c>
      <c r="C10" s="154">
        <f ca="1">IF(OR('Données projet'!B13="",'Données projet'!C13="",'Données projet'!C13=0%),0,Calculateur!CY3)</f>
        <v>597.75551942969628</v>
      </c>
      <c r="D10" s="154">
        <f>IF(OR('Données projet'!B13="",'Données projet'!C13="",'Données projet'!C13=0%),0,Calculateur!CZ3)</f>
        <v>322.81767004794284</v>
      </c>
      <c r="E10" s="154">
        <f t="shared" ca="1" si="0"/>
        <v>322.81767004794284</v>
      </c>
      <c r="F10" s="154">
        <f t="shared" ca="1" si="1"/>
        <v>1.960148892531109</v>
      </c>
      <c r="G10" s="154">
        <f ca="1">F10*(100%-'Données projet'!$C$24)*(100%-'Données projet'!$C$25)*(100%-'Données projet'!$C$26)*(100%-'Données projet'!$C$27)</f>
        <v>1.7641340032779982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5.1611999999999998E-2</v>
      </c>
      <c r="K10" s="158">
        <f>J10*(100%-'Données projet'!$C$24)*(100%-'Données projet'!$C$25)*(100%-'Données projet'!$C$26)*(100%-'Données projet'!$C$27)</f>
        <v>4.64508E-2</v>
      </c>
      <c r="L10" s="159">
        <f t="shared" ca="1" si="2"/>
        <v>1.8105848032779981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415.34032725916262</v>
      </c>
      <c r="G16" s="173">
        <f t="shared" ca="1" si="3"/>
        <v>373.80629453324639</v>
      </c>
      <c r="H16" s="174">
        <f t="shared" si="3"/>
        <v>0</v>
      </c>
      <c r="I16" s="174">
        <f t="shared" si="3"/>
        <v>0</v>
      </c>
      <c r="J16" s="175">
        <f t="shared" si="3"/>
        <v>11.561088000000002</v>
      </c>
      <c r="K16" s="175">
        <f t="shared" si="3"/>
        <v>10.404979200000001</v>
      </c>
      <c r="L16" s="176">
        <f t="shared" ca="1" si="3"/>
        <v>384.21127373324646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Cèdre de l'Atlas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G1" zoomScale="70" zoomScaleNormal="70" workbookViewId="0">
      <selection activeCell="N25" sqref="N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940.00971763606424</v>
      </c>
      <c r="U10" s="188">
        <f>'Données projet'!D9</f>
        <v>0.84400800000000009</v>
      </c>
      <c r="V10" s="187">
        <f>U10*T10</f>
        <v>793.37572176257936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826.88131476556771</v>
      </c>
      <c r="U11" s="188">
        <f>'Données projet'!D10</f>
        <v>0.48272399999999999</v>
      </c>
      <c r="V11" s="187">
        <f t="shared" ref="V11" si="0">U11*T11</f>
        <v>399.1554557888939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Cèdre de l'Atlas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800.53718012488901</v>
      </c>
      <c r="U12" s="188">
        <f>'Données projet'!D11</f>
        <v>0.154836</v>
      </c>
      <c r="V12" s="187">
        <f t="shared" ref="V12:V19" si="1">U12*T12</f>
        <v>123.95197482181732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1095.9861366511386</v>
      </c>
      <c r="U13" s="188">
        <f>'Données projet'!D12</f>
        <v>2.7323999999999998E-2</v>
      </c>
      <c r="V13" s="187">
        <f t="shared" si="1"/>
        <v>29.946725197855709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Cormier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1060.7967013883531</v>
      </c>
      <c r="U14" s="188">
        <f>'Données projet'!D13</f>
        <v>6.0720000000000001E-3</v>
      </c>
      <c r="V14" s="187">
        <f t="shared" si="1"/>
        <v>6.4411575708300797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8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8"/>
      <c r="H16" s="201"/>
      <c r="I16" s="202"/>
      <c r="J16" s="214"/>
      <c r="K16" s="223"/>
      <c r="L16" s="334" t="s">
        <v>254</v>
      </c>
      <c r="M16" s="335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8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8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8"/>
      <c r="H19" s="230" t="s">
        <v>178</v>
      </c>
      <c r="I19" s="230" t="s">
        <v>287</v>
      </c>
      <c r="J19" s="258"/>
      <c r="K19" s="181"/>
      <c r="L19" s="334" t="s">
        <v>288</v>
      </c>
      <c r="M19" s="335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8"/>
      <c r="H20" s="201">
        <v>0</v>
      </c>
      <c r="I20" s="202">
        <v>7000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6" t="s">
        <v>260</v>
      </c>
      <c r="M23" s="336"/>
      <c r="N23" s="336"/>
      <c r="O23" s="25"/>
      <c r="P23" s="25"/>
      <c r="Q23" s="263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-9273.1289648580241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3">
        <f ca="1">T23-T24</f>
        <v>-9273.1289648580241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10</v>
      </c>
      <c r="D26" s="192">
        <f t="shared" si="2"/>
        <v>560</v>
      </c>
      <c r="E26" s="204"/>
      <c r="F26" s="262"/>
      <c r="G26" s="257"/>
      <c r="H26" s="201"/>
      <c r="I26" s="202"/>
      <c r="K26" s="223"/>
      <c r="L26" s="320" t="s">
        <v>258</v>
      </c>
      <c r="M26" s="321"/>
      <c r="N26" s="321"/>
      <c r="O26" s="321"/>
      <c r="P26" s="322"/>
      <c r="Q26" s="263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3"/>
      <c r="M27" s="324"/>
      <c r="N27" s="324"/>
      <c r="O27" s="324"/>
      <c r="P27" s="325"/>
      <c r="Q27" s="263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10</v>
      </c>
      <c r="D28" s="192">
        <f t="shared" si="2"/>
        <v>560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20</v>
      </c>
      <c r="D30" s="192">
        <f t="shared" si="2"/>
        <v>1120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30</v>
      </c>
      <c r="D32" s="192">
        <f t="shared" si="2"/>
        <v>1680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40</v>
      </c>
      <c r="D34" s="192">
        <f t="shared" si="2"/>
        <v>2240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56</v>
      </c>
      <c r="C36" s="204">
        <v>70</v>
      </c>
      <c r="D36" s="192">
        <f t="shared" si="2"/>
        <v>3920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55</v>
      </c>
      <c r="C37" s="204">
        <v>100</v>
      </c>
      <c r="D37" s="192">
        <f t="shared" si="2"/>
        <v>5500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53</v>
      </c>
      <c r="C38" s="204">
        <v>120</v>
      </c>
      <c r="D38" s="192">
        <f t="shared" si="2"/>
        <v>6360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47</v>
      </c>
      <c r="C39" s="204">
        <v>120</v>
      </c>
      <c r="D39" s="192">
        <f t="shared" si="2"/>
        <v>5640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44</v>
      </c>
      <c r="C40" s="204">
        <v>150</v>
      </c>
      <c r="D40" s="192">
        <f t="shared" si="2"/>
        <v>6600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43</v>
      </c>
      <c r="C41" s="204">
        <v>200</v>
      </c>
      <c r="D41" s="192">
        <f t="shared" si="2"/>
        <v>8600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335</v>
      </c>
      <c r="C42" s="204">
        <v>200</v>
      </c>
      <c r="D42" s="192">
        <f t="shared" si="2"/>
        <v>67000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34</v>
      </c>
      <c r="C55" s="204">
        <v>10</v>
      </c>
      <c r="D55" s="189">
        <f t="shared" ref="D55:D73" si="4">B55*C55</f>
        <v>340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0</v>
      </c>
      <c r="C56" s="204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56</v>
      </c>
      <c r="C57" s="204">
        <v>10</v>
      </c>
      <c r="D57" s="189">
        <f t="shared" si="4"/>
        <v>560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0</v>
      </c>
      <c r="C58" s="204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56</v>
      </c>
      <c r="C59" s="204">
        <v>10</v>
      </c>
      <c r="D59" s="189">
        <f t="shared" si="4"/>
        <v>560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0</v>
      </c>
      <c r="C60" s="204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55</v>
      </c>
      <c r="B61" s="191">
        <f>'Données projet'!D69</f>
        <v>56</v>
      </c>
      <c r="C61" s="204">
        <v>20</v>
      </c>
      <c r="D61" s="189">
        <f t="shared" si="4"/>
        <v>1120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0</v>
      </c>
      <c r="C62" s="204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65</v>
      </c>
      <c r="B63" s="191">
        <f>'Données projet'!D71</f>
        <v>56</v>
      </c>
      <c r="C63" s="204">
        <v>30</v>
      </c>
      <c r="D63" s="189">
        <f t="shared" si="4"/>
        <v>1680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0</v>
      </c>
      <c r="C64" s="204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75</v>
      </c>
      <c r="B65" s="191">
        <f>'Données projet'!D73</f>
        <v>56</v>
      </c>
      <c r="C65" s="204">
        <v>40</v>
      </c>
      <c r="D65" s="189">
        <f t="shared" si="4"/>
        <v>2240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80</v>
      </c>
      <c r="B66" s="191">
        <f>'Données projet'!D74</f>
        <v>0</v>
      </c>
      <c r="C66" s="204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56</v>
      </c>
      <c r="C67" s="204">
        <v>70</v>
      </c>
      <c r="D67" s="189">
        <f t="shared" si="4"/>
        <v>3920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100</v>
      </c>
      <c r="B68" s="191">
        <f>'Données projet'!D76</f>
        <v>55</v>
      </c>
      <c r="C68" s="204">
        <v>100</v>
      </c>
      <c r="D68" s="189">
        <f t="shared" si="4"/>
        <v>5500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110</v>
      </c>
      <c r="B69" s="191">
        <f>'Données projet'!D77</f>
        <v>53</v>
      </c>
      <c r="C69" s="204">
        <v>120</v>
      </c>
      <c r="D69" s="189">
        <f t="shared" si="4"/>
        <v>6360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120</v>
      </c>
      <c r="B70" s="191">
        <f>'Données projet'!D78</f>
        <v>47</v>
      </c>
      <c r="C70" s="204">
        <v>120</v>
      </c>
      <c r="D70" s="189">
        <f t="shared" si="4"/>
        <v>5640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130</v>
      </c>
      <c r="B71" s="191">
        <f>'Données projet'!D79</f>
        <v>44</v>
      </c>
      <c r="C71" s="204">
        <v>150</v>
      </c>
      <c r="D71" s="189">
        <f t="shared" si="4"/>
        <v>6600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140</v>
      </c>
      <c r="B72" s="191">
        <f>'Données projet'!D80</f>
        <v>43</v>
      </c>
      <c r="C72" s="204">
        <v>200</v>
      </c>
      <c r="D72" s="189">
        <f t="shared" si="4"/>
        <v>8600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150</v>
      </c>
      <c r="B73" s="191">
        <f>'Données projet'!D81</f>
        <v>335</v>
      </c>
      <c r="C73" s="204">
        <v>200</v>
      </c>
      <c r="D73" s="189">
        <f t="shared" si="4"/>
        <v>67000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Cèdre de l'Atlas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30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51</v>
      </c>
      <c r="B86" s="191">
        <f>'Données projet'!D89</f>
        <v>100</v>
      </c>
      <c r="C86" s="202">
        <v>15</v>
      </c>
      <c r="D86" s="189">
        <f t="shared" ref="D86:D104" si="6">B86*C86</f>
        <v>1500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63</v>
      </c>
      <c r="B87" s="191">
        <f>'Données projet'!D90</f>
        <v>108.46153846153845</v>
      </c>
      <c r="C87" s="202">
        <v>20</v>
      </c>
      <c r="D87" s="189">
        <f t="shared" si="6"/>
        <v>2169.2307692307691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75</v>
      </c>
      <c r="B88" s="191">
        <f>'Données projet'!D91</f>
        <v>85.384615384615415</v>
      </c>
      <c r="C88" s="202">
        <v>30</v>
      </c>
      <c r="D88" s="189">
        <f t="shared" si="6"/>
        <v>2561.5384615384623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87</v>
      </c>
      <c r="B89" s="191">
        <f>'Données projet'!D92</f>
        <v>83.076923076923038</v>
      </c>
      <c r="C89" s="202">
        <v>50</v>
      </c>
      <c r="D89" s="189">
        <f t="shared" si="6"/>
        <v>4153.8461538461515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99</v>
      </c>
      <c r="B90" s="191">
        <f>'Données projet'!D93</f>
        <v>198.46153846153845</v>
      </c>
      <c r="C90" s="202">
        <v>60</v>
      </c>
      <c r="D90" s="189">
        <f t="shared" si="6"/>
        <v>11907.692307692307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109</v>
      </c>
      <c r="B91" s="191">
        <f>'Données projet'!D94</f>
        <v>256.15384615384613</v>
      </c>
      <c r="C91" s="202">
        <v>80</v>
      </c>
      <c r="D91" s="189">
        <f t="shared" si="6"/>
        <v>20492.307692307691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7"/>
        <v>0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34</v>
      </c>
      <c r="C117" s="204">
        <v>10</v>
      </c>
      <c r="D117" s="189">
        <f t="shared" ref="D117:D135" si="8">B117*C117</f>
        <v>340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7"/>
        <v>0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4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7"/>
        <v>0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56</v>
      </c>
      <c r="C119" s="204">
        <v>10</v>
      </c>
      <c r="D119" s="189">
        <f t="shared" si="8"/>
        <v>560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7"/>
        <v>0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4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7"/>
        <v>0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56</v>
      </c>
      <c r="C121" s="204">
        <v>15</v>
      </c>
      <c r="D121" s="189">
        <f t="shared" si="8"/>
        <v>840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7"/>
        <v>0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4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7"/>
        <v>0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56</v>
      </c>
      <c r="C123" s="204">
        <v>20</v>
      </c>
      <c r="D123" s="189">
        <f t="shared" si="8"/>
        <v>1120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>
        <f>IF(O122+1&lt;=MIN('Données projet'!$E$9:$E$18),O122+1,"STOP")</f>
        <v>90</v>
      </c>
      <c r="P123" s="195">
        <f t="shared" si="7"/>
        <v>0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4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>
        <f>IF(O123+1&lt;=MIN('Données projet'!$E$9:$E$18),O123+1,"STOP")</f>
        <v>91</v>
      </c>
      <c r="P124" s="195">
        <f t="shared" si="7"/>
        <v>0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56</v>
      </c>
      <c r="C125" s="204">
        <v>40</v>
      </c>
      <c r="D125" s="189">
        <f t="shared" si="8"/>
        <v>2240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>
        <f>IF(O124+1&lt;=MIN('Données projet'!$E$9:$E$18),O124+1,"STOP")</f>
        <v>92</v>
      </c>
      <c r="P125" s="195">
        <f t="shared" si="7"/>
        <v>0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4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>
        <f>IF(O125+1&lt;=MIN('Données projet'!$E$9:$E$18),O125+1,"STOP")</f>
        <v>93</v>
      </c>
      <c r="P126" s="195">
        <f t="shared" si="7"/>
        <v>0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56</v>
      </c>
      <c r="C127" s="204">
        <v>60</v>
      </c>
      <c r="D127" s="189">
        <f t="shared" si="8"/>
        <v>3360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>
        <f>IF(O126+1&lt;=MIN('Données projet'!$E$9:$E$18),O126+1,"STOP")</f>
        <v>94</v>
      </c>
      <c r="P127" s="195">
        <f t="shared" si="7"/>
        <v>0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4">
        <v>80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>
        <f>IF(O127+1&lt;=MIN('Données projet'!$E$9:$E$18),O127+1,"STOP")</f>
        <v>95</v>
      </c>
      <c r="P128" s="195">
        <f t="shared" si="7"/>
        <v>0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56</v>
      </c>
      <c r="C129" s="204">
        <v>100</v>
      </c>
      <c r="D129" s="189">
        <f t="shared" si="8"/>
        <v>5600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>
        <f>IF(O128+1&lt;=MIN('Données projet'!$E$9:$E$18),O128+1,"STOP")</f>
        <v>96</v>
      </c>
      <c r="P129" s="195">
        <f t="shared" ref="P129:P132" si="9">$P$25/(1+$M$4)^O129</f>
        <v>0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55</v>
      </c>
      <c r="C130" s="204">
        <v>110</v>
      </c>
      <c r="D130" s="189">
        <f t="shared" si="8"/>
        <v>6050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>
        <f>IF(O129+1&lt;=MIN('Données projet'!$E$9:$E$18),O129+1,"STOP")</f>
        <v>97</v>
      </c>
      <c r="P130" s="195">
        <f t="shared" si="9"/>
        <v>0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53</v>
      </c>
      <c r="C131" s="204">
        <v>130</v>
      </c>
      <c r="D131" s="189">
        <f t="shared" si="8"/>
        <v>6890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>
        <f>IF(O130+1&lt;=MIN('Données projet'!$E$9:$E$18),O130+1,"STOP")</f>
        <v>98</v>
      </c>
      <c r="P131" s="195">
        <f t="shared" si="9"/>
        <v>0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47</v>
      </c>
      <c r="C132" s="204">
        <v>140</v>
      </c>
      <c r="D132" s="189">
        <f t="shared" si="8"/>
        <v>6580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>
        <f>IF(O131+1&lt;=MIN('Données projet'!$E$9:$E$18),O131+1,"STOP")</f>
        <v>99</v>
      </c>
      <c r="P132" s="195">
        <f t="shared" si="9"/>
        <v>0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44</v>
      </c>
      <c r="C133" s="204">
        <v>150</v>
      </c>
      <c r="D133" s="189">
        <f t="shared" si="8"/>
        <v>6600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43</v>
      </c>
      <c r="C134" s="204">
        <v>160</v>
      </c>
      <c r="D134" s="189">
        <f t="shared" si="8"/>
        <v>6880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335</v>
      </c>
      <c r="C135" s="202">
        <v>200</v>
      </c>
      <c r="D135" s="189">
        <f t="shared" si="8"/>
        <v>67000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30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34</v>
      </c>
      <c r="C148" s="202">
        <v>10</v>
      </c>
      <c r="D148" s="192">
        <f t="shared" ref="D148:D166" si="10">B148*C148</f>
        <v>340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56</v>
      </c>
      <c r="C150" s="202">
        <v>10</v>
      </c>
      <c r="D150" s="192">
        <f t="shared" si="10"/>
        <v>560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56</v>
      </c>
      <c r="C152" s="202">
        <v>15</v>
      </c>
      <c r="D152" s="192">
        <f t="shared" si="10"/>
        <v>840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56</v>
      </c>
      <c r="C154" s="202">
        <v>20</v>
      </c>
      <c r="D154" s="192">
        <f t="shared" si="10"/>
        <v>1120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56</v>
      </c>
      <c r="C156" s="202">
        <v>40</v>
      </c>
      <c r="D156" s="192">
        <f t="shared" si="10"/>
        <v>2240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56</v>
      </c>
      <c r="C158" s="202">
        <v>60</v>
      </c>
      <c r="D158" s="192">
        <f t="shared" si="10"/>
        <v>3360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56</v>
      </c>
      <c r="C160" s="202">
        <v>80</v>
      </c>
      <c r="D160" s="192">
        <f t="shared" si="10"/>
        <v>4480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55</v>
      </c>
      <c r="C161" s="202">
        <v>100</v>
      </c>
      <c r="D161" s="192">
        <f t="shared" si="10"/>
        <v>5500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53</v>
      </c>
      <c r="C162" s="202">
        <v>110</v>
      </c>
      <c r="D162" s="192">
        <f t="shared" si="10"/>
        <v>5830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47</v>
      </c>
      <c r="C163" s="202">
        <v>130</v>
      </c>
      <c r="D163" s="192">
        <f t="shared" si="10"/>
        <v>6110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44</v>
      </c>
      <c r="C164" s="202">
        <v>150</v>
      </c>
      <c r="D164" s="192">
        <f t="shared" si="10"/>
        <v>6600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43</v>
      </c>
      <c r="C165" s="202">
        <v>200</v>
      </c>
      <c r="D165" s="192">
        <f t="shared" si="10"/>
        <v>8600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335</v>
      </c>
      <c r="C166" s="204">
        <v>200</v>
      </c>
      <c r="D166" s="192">
        <f t="shared" si="10"/>
        <v>67000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2023-07-06T15:04:36Z</dcterms:modified>
</cp:coreProperties>
</file>