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Caisse des Dépôts et Consignations\CNPF C+for n° 109 Bonnes (CDC n° 4)\5 - Montage technique et administratif du dossier\"/>
    </mc:Choice>
  </mc:AlternateContent>
  <bookViews>
    <workbookView xWindow="0" yWindow="0" windowWidth="11745" windowHeight="53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6" i="1" l="1"/>
  <c r="B49" i="1"/>
  <c r="D232" i="1" l="1"/>
  <c r="B232" i="1"/>
  <c r="D231" i="1"/>
  <c r="B231" i="1"/>
  <c r="D230" i="1"/>
  <c r="B230" i="1"/>
  <c r="D229" i="1"/>
  <c r="B229" i="1"/>
  <c r="D228" i="1"/>
  <c r="B228" i="1"/>
  <c r="D227" i="1"/>
  <c r="B227" i="1"/>
  <c r="D226" i="1"/>
  <c r="B226" i="1"/>
  <c r="D225" i="1"/>
  <c r="B225" i="1"/>
  <c r="D224" i="1"/>
  <c r="B224" i="1"/>
  <c r="D223" i="1"/>
  <c r="B223" i="1"/>
  <c r="D222" i="1"/>
  <c r="B222" i="1"/>
  <c r="D221" i="1"/>
  <c r="B221" i="1"/>
  <c r="D220" i="1"/>
  <c r="B220" i="1"/>
  <c r="B219" i="1"/>
  <c r="B218" i="1"/>
  <c r="D263" i="1" l="1"/>
  <c r="D148" i="1" l="1"/>
  <c r="B148" i="1"/>
  <c r="D147" i="1"/>
  <c r="B147" i="1"/>
  <c r="D146" i="1"/>
  <c r="B146" i="1"/>
  <c r="D145" i="1"/>
  <c r="B145" i="1"/>
  <c r="D144" i="1"/>
  <c r="B144" i="1"/>
  <c r="D141" i="1"/>
  <c r="D143" i="1"/>
  <c r="B143" i="1"/>
  <c r="D142" i="1"/>
  <c r="B142" i="1"/>
  <c r="B141" i="1"/>
  <c r="B140" i="1"/>
  <c r="D125" i="1" l="1"/>
  <c r="B125" i="1"/>
  <c r="B124" i="1"/>
  <c r="D123" i="1"/>
  <c r="B123" i="1"/>
  <c r="B122" i="1"/>
  <c r="D121" i="1"/>
  <c r="B121" i="1"/>
  <c r="B120" i="1"/>
  <c r="D119" i="1"/>
  <c r="B119" i="1"/>
  <c r="B117" i="1"/>
  <c r="D117" i="1"/>
  <c r="D107" i="1" l="1"/>
  <c r="B107" i="1"/>
  <c r="D106" i="1"/>
  <c r="B106" i="1"/>
  <c r="D105" i="1"/>
  <c r="B105" i="1"/>
  <c r="D104" i="1"/>
  <c r="B104" i="1"/>
  <c r="B103" i="1"/>
  <c r="D102" i="1"/>
  <c r="B102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/>
  <c r="B89" i="1"/>
  <c r="B88" i="1"/>
  <c r="D179" i="1" l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D75" i="1"/>
  <c r="B75" i="1"/>
  <c r="B74" i="1"/>
  <c r="D73" i="1"/>
  <c r="B73" i="1"/>
  <c r="B72" i="1"/>
  <c r="B71" i="1"/>
  <c r="B70" i="1"/>
  <c r="D69" i="1"/>
  <c r="D71" i="1" s="1"/>
  <c r="B69" i="1"/>
  <c r="B68" i="1"/>
  <c r="D67" i="1"/>
  <c r="B67" i="1"/>
  <c r="B66" i="1"/>
  <c r="D65" i="1"/>
  <c r="B65" i="1"/>
  <c r="B64" i="1"/>
  <c r="D63" i="1"/>
  <c r="B63" i="1"/>
  <c r="B62" i="1"/>
  <c r="B37" i="1"/>
  <c r="B36" i="1"/>
  <c r="D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BQ4" i="2"/>
  <c r="BR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HG28" i="2"/>
  <c r="FS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CM35" i="2"/>
  <c r="FQ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HH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HI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FS113" i="2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FS124" i="2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FS140" i="2"/>
  <c r="FR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FR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HI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HI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ED154" i="2" s="1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G155" i="2"/>
  <c r="HH155" i="2"/>
  <c r="EY154" i="2"/>
  <c r="DI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G156" i="2" l="1"/>
  <c r="HI156" i="2"/>
  <c r="HH156" i="2"/>
  <c r="EY155" i="2"/>
  <c r="ED155" i="2"/>
  <c r="DH156" i="2"/>
  <c r="FS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EC157" i="2"/>
  <c r="EB157" i="2"/>
  <c r="EA157" i="2"/>
  <c r="ED157" i="2" s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H160" i="2"/>
  <c r="HG160" i="2"/>
  <c r="DG160" i="2"/>
  <c r="EC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G161" i="2" l="1"/>
  <c r="FS161" i="2"/>
  <c r="EX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DI161" i="2"/>
  <c r="ED161" i="2"/>
  <c r="EW162" i="2"/>
  <c r="EY161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HI163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Y163" i="2"/>
  <c r="ED163" i="2"/>
  <c r="DI163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B165" i="2"/>
  <c r="ED165" i="2" s="1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HH167" i="2"/>
  <c r="HI167" i="2"/>
  <c r="EC167" i="2"/>
  <c r="FR167" i="2"/>
  <c r="EY166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DI167" i="2"/>
  <c r="EB168" i="2"/>
  <c r="DG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HG172" i="2"/>
  <c r="EY171" i="2"/>
  <c r="EB172" i="2"/>
  <c r="EA172" i="2"/>
  <c r="ED171" i="2"/>
  <c r="EV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Y173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B175" i="2"/>
  <c r="FS175" i="2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S178" i="2"/>
  <c r="FQ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G179" i="2" l="1"/>
  <c r="HI179" i="2"/>
  <c r="DF179" i="2"/>
  <c r="ED178" i="2"/>
  <c r="EA179" i="2"/>
  <c r="EV179" i="2"/>
  <c r="EB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HG180" i="2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FS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W185" i="2"/>
  <c r="EV185" i="2"/>
  <c r="EA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B186" i="2"/>
  <c r="FR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Y189" i="2" s="1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HI191" i="2"/>
  <c r="EW191" i="2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HH192" i="2"/>
  <c r="HI192" i="2"/>
  <c r="EY191" i="2"/>
  <c r="EW192" i="2"/>
  <c r="EV192" i="2"/>
  <c r="EB192" i="2"/>
  <c r="EC192" i="2"/>
  <c r="EA192" i="2"/>
  <c r="ED192" i="2" s="1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B193" i="2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FQ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G195" i="2" l="1"/>
  <c r="HI195" i="2"/>
  <c r="EX195" i="2"/>
  <c r="FQ195" i="2"/>
  <c r="EY194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HG197" i="2"/>
  <c r="FS197" i="2"/>
  <c r="EW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HG199" i="2"/>
  <c r="EY198" i="2"/>
  <c r="EB199" i="2"/>
  <c r="FS199" i="2"/>
  <c r="EV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HH201" i="2"/>
  <c r="HG201" i="2"/>
  <c r="ED200" i="2"/>
  <c r="FS201" i="2"/>
  <c r="EB201" i="2"/>
  <c r="EA201" i="2"/>
  <c r="DI200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HG202" i="2"/>
  <c r="FS202" i="2"/>
  <c r="EX202" i="2"/>
  <c r="ED201" i="2"/>
  <c r="FR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DN56" i="2" a="1"/>
  <c r="DN56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DN63" i="2" a="1"/>
  <c r="DN63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GT107" i="2" l="1" a="1"/>
  <c r="GT107" i="2" s="1"/>
  <c r="GT11" i="2" a="1"/>
  <c r="GT11" i="2" s="1"/>
  <c r="GT122" i="2" a="1"/>
  <c r="GT122" i="2" s="1"/>
  <c r="GT174" i="2" a="1"/>
  <c r="GT174" i="2" s="1"/>
  <c r="GT198" i="2" a="1"/>
  <c r="GT198" i="2" s="1"/>
  <c r="GT51" i="2" a="1"/>
  <c r="GT51" i="2" s="1"/>
  <c r="GT189" i="2" a="1"/>
  <c r="GT189" i="2" s="1"/>
  <c r="GT15" i="2" a="1"/>
  <c r="GT15" i="2" s="1"/>
  <c r="GT138" i="2" a="1"/>
  <c r="GT138" i="2" s="1"/>
  <c r="GT178" i="2" a="1"/>
  <c r="GT178" i="2" s="1"/>
  <c r="GT121" i="2" a="1"/>
  <c r="GT121" i="2" s="1"/>
  <c r="GT21" i="2" a="1"/>
  <c r="GT21" i="2" s="1"/>
  <c r="GT102" i="2" a="1"/>
  <c r="GT102" i="2" s="1"/>
  <c r="GT68" i="2" a="1"/>
  <c r="GT68" i="2" s="1"/>
  <c r="GT191" i="2" a="1"/>
  <c r="GT191" i="2" s="1"/>
  <c r="GT12" i="2" a="1"/>
  <c r="GT12" i="2" s="1"/>
  <c r="GT147" i="2" a="1"/>
  <c r="GT147" i="2" s="1"/>
  <c r="GT181" i="2" a="1"/>
  <c r="GT181" i="2" s="1"/>
  <c r="GT190" i="2" a="1"/>
  <c r="GT190" i="2" s="1"/>
  <c r="GT38" i="2" a="1"/>
  <c r="GT38" i="2" s="1"/>
  <c r="GT152" i="2" a="1"/>
  <c r="GT152" i="2" s="1"/>
  <c r="GT184" i="2" a="1"/>
  <c r="GT184" i="2" s="1"/>
  <c r="GT126" i="2" a="1"/>
  <c r="GT126" i="2" s="1"/>
  <c r="GT33" i="2" a="1"/>
  <c r="GT33" i="2" s="1"/>
  <c r="GT115" i="2" a="1"/>
  <c r="GT115" i="2" s="1"/>
  <c r="GT74" i="2" a="1"/>
  <c r="GT74" i="2" s="1"/>
  <c r="GT133" i="2" a="1"/>
  <c r="GT133" i="2" s="1"/>
  <c r="HH203" i="2"/>
  <c r="HG203" i="2"/>
  <c r="FS203" i="2"/>
  <c r="FR203" i="2"/>
  <c r="FD59" i="2" a="1"/>
  <c r="FD59" i="2" s="1"/>
  <c r="FD160" i="2" a="1"/>
  <c r="FD160" i="2" s="1"/>
  <c r="FD189" i="2" a="1"/>
  <c r="FD189" i="2" s="1"/>
  <c r="FD14" i="2" a="1"/>
  <c r="FD14" i="2" s="1"/>
  <c r="FD144" i="2" a="1"/>
  <c r="FD144" i="2" s="1"/>
  <c r="FD159" i="2" a="1"/>
  <c r="FD159" i="2" s="1"/>
  <c r="FD48" i="2" a="1"/>
  <c r="FD48" i="2" s="1"/>
  <c r="FD21" i="2" a="1"/>
  <c r="FD21" i="2" s="1"/>
  <c r="FD137" i="2" a="1"/>
  <c r="FD137" i="2" s="1"/>
  <c r="FD107" i="2" a="1"/>
  <c r="FD107" i="2" s="1"/>
  <c r="FD44" i="2" a="1"/>
  <c r="FD44" i="2" s="1"/>
  <c r="FD188" i="2" a="1"/>
  <c r="FD188" i="2" s="1"/>
  <c r="FD167" i="2" a="1"/>
  <c r="FD167" i="2" s="1"/>
  <c r="FD60" i="2" a="1"/>
  <c r="FD60" i="2" s="1"/>
  <c r="FD131" i="2" a="1"/>
  <c r="FD131" i="2" s="1"/>
  <c r="FD194" i="2" a="1"/>
  <c r="FD194" i="2" s="1"/>
  <c r="FD43" i="2" a="1"/>
  <c r="FD43" i="2" s="1"/>
  <c r="FD187" i="2" a="1"/>
  <c r="FD187" i="2" s="1"/>
  <c r="FD19" i="2" a="1"/>
  <c r="FD19" i="2" s="1"/>
  <c r="FD64" i="2" a="1"/>
  <c r="FD64" i="2" s="1"/>
  <c r="FY30" i="2" a="1"/>
  <c r="FY30" i="2" s="1"/>
  <c r="FY80" i="2" a="1"/>
  <c r="FY80" i="2" s="1"/>
  <c r="FY182" i="2" a="1"/>
  <c r="FY182" i="2" s="1"/>
  <c r="FY115" i="2" a="1"/>
  <c r="FY115" i="2" s="1"/>
  <c r="FY104" i="2" a="1"/>
  <c r="FY104" i="2" s="1"/>
  <c r="FY86" i="2" a="1"/>
  <c r="FY86" i="2" s="1"/>
  <c r="FY58" i="2" a="1"/>
  <c r="FY58" i="2" s="1"/>
  <c r="FY121" i="2" a="1"/>
  <c r="FY121" i="2" s="1"/>
  <c r="FY167" i="2" a="1"/>
  <c r="FY167" i="2" s="1"/>
  <c r="FY142" i="2" a="1"/>
  <c r="FY142" i="2" s="1"/>
  <c r="FY34" i="2" a="1"/>
  <c r="FY34" i="2" s="1"/>
  <c r="FY169" i="2" a="1"/>
  <c r="FY169" i="2" s="1"/>
  <c r="FY42" i="2" a="1"/>
  <c r="FY42" i="2" s="1"/>
  <c r="FY196" i="2" a="1"/>
  <c r="FY196" i="2" s="1"/>
  <c r="FY82" i="2" a="1"/>
  <c r="FY82" i="2" s="1"/>
  <c r="FY124" i="2" a="1"/>
  <c r="FY124" i="2" s="1"/>
  <c r="FY172" i="2" a="1"/>
  <c r="FY172" i="2" s="1"/>
  <c r="FY178" i="2" a="1"/>
  <c r="FY178" i="2" s="1"/>
  <c r="FY55" i="2" a="1"/>
  <c r="FY55" i="2" s="1"/>
  <c r="FY164" i="2" a="1"/>
  <c r="FY164" i="2" s="1"/>
  <c r="FY149" i="2" a="1"/>
  <c r="FY149" i="2" s="1"/>
  <c r="FY24" i="2" a="1"/>
  <c r="FY24" i="2" s="1"/>
  <c r="FY126" i="2" a="1"/>
  <c r="FY126" i="2" s="1"/>
  <c r="FY116" i="2" a="1"/>
  <c r="FY116" i="2" s="1"/>
  <c r="FY62" i="2" a="1"/>
  <c r="FY62" i="2" s="1"/>
  <c r="FY190" i="2" a="1"/>
  <c r="FY190" i="2" s="1"/>
  <c r="FY72" i="2" a="1"/>
  <c r="FY72" i="2" s="1"/>
  <c r="FY174" i="2" a="1"/>
  <c r="FY174" i="2" s="1"/>
  <c r="FY152" i="2" a="1"/>
  <c r="FY152" i="2" s="1"/>
  <c r="FY173" i="2" a="1"/>
  <c r="FY173" i="2" s="1"/>
  <c r="FY47" i="2" a="1"/>
  <c r="FY47" i="2" s="1"/>
  <c r="FY188" i="2" a="1"/>
  <c r="FY188" i="2" s="1"/>
  <c r="FY28" i="2" a="1"/>
  <c r="FY28" i="2" s="1"/>
  <c r="FY78" i="2" a="1"/>
  <c r="FY78" i="2" s="1"/>
  <c r="FY110" i="2" a="1"/>
  <c r="FY110" i="2" s="1"/>
  <c r="FY99" i="2" a="1"/>
  <c r="FY99" i="2" s="1"/>
  <c r="FY102" i="2" a="1"/>
  <c r="FY102" i="2" s="1"/>
  <c r="FY92" i="2" a="1"/>
  <c r="FY92" i="2" s="1"/>
  <c r="FY111" i="2" a="1"/>
  <c r="FY111" i="2" s="1"/>
  <c r="FY73" i="2" a="1"/>
  <c r="FY73" i="2" s="1"/>
  <c r="FY71" i="2" a="1"/>
  <c r="FY71" i="2" s="1"/>
  <c r="FY186" i="2" a="1"/>
  <c r="FY186" i="2" s="1"/>
  <c r="FY133" i="2" a="1"/>
  <c r="FY133" i="2" s="1"/>
  <c r="FY159" i="2" a="1"/>
  <c r="FY159" i="2" s="1"/>
  <c r="FY143" i="2" a="1"/>
  <c r="FY143" i="2" s="1"/>
  <c r="FY191" i="2" a="1"/>
  <c r="FY191" i="2" s="1"/>
  <c r="FY165" i="2" a="1"/>
  <c r="FY165" i="2" s="1"/>
  <c r="FY153" i="2" a="1"/>
  <c r="FY153" i="2" s="1"/>
  <c r="FY146" i="2" a="1"/>
  <c r="FY146" i="2" s="1"/>
  <c r="FY69" i="2" a="1"/>
  <c r="FY69" i="2" s="1"/>
  <c r="FY66" i="2" a="1"/>
  <c r="FY66" i="2" s="1"/>
  <c r="FY120" i="2" a="1"/>
  <c r="FY120" i="2" s="1"/>
  <c r="FY32" i="2" a="1"/>
  <c r="FY32" i="2" s="1"/>
  <c r="FY18" i="2" a="1"/>
  <c r="FY18" i="2" s="1"/>
  <c r="FY50" i="2" a="1"/>
  <c r="FY50" i="2" s="1"/>
  <c r="FY140" i="2" a="1"/>
  <c r="FY140" i="2" s="1"/>
  <c r="FY29" i="2" a="1"/>
  <c r="FY29" i="2" s="1"/>
  <c r="FY35" i="2" a="1"/>
  <c r="FY35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Y57" i="2" a="1"/>
  <c r="FY57" i="2" s="1"/>
  <c r="CS105" i="2" a="1"/>
  <c r="CS105" i="2" s="1"/>
  <c r="CS134" i="2" a="1"/>
  <c r="CS134" i="2" s="1"/>
  <c r="CS161" i="2" a="1"/>
  <c r="CS161" i="2" s="1"/>
  <c r="CS120" i="2" a="1"/>
  <c r="CS120" i="2" s="1"/>
  <c r="CS24" i="2" a="1"/>
  <c r="CS24" i="2" s="1"/>
  <c r="CS137" i="2" a="1"/>
  <c r="CS137" i="2" s="1"/>
  <c r="CS114" i="2" a="1"/>
  <c r="CS114" i="2" s="1"/>
  <c r="CS185" i="2" a="1"/>
  <c r="CS185" i="2" s="1"/>
  <c r="CS38" i="2" a="1"/>
  <c r="CS38" i="2" s="1"/>
  <c r="CS129" i="2" a="1"/>
  <c r="CS129" i="2" s="1"/>
  <c r="CS52" i="2" a="1"/>
  <c r="CS52" i="2" s="1"/>
  <c r="CS66" i="2" a="1"/>
  <c r="CS66" i="2" s="1"/>
  <c r="CS77" i="2" a="1"/>
  <c r="CS77" i="2" s="1"/>
  <c r="BX107" i="2" a="1"/>
  <c r="BX107" i="2" s="1"/>
  <c r="BC83" i="2" a="1"/>
  <c r="BC83" i="2" s="1"/>
  <c r="BC82" i="2" a="1"/>
  <c r="BC82" i="2" s="1"/>
  <c r="BC164" i="2" a="1"/>
  <c r="BC164" i="2" s="1"/>
  <c r="BC7" i="2" a="1"/>
  <c r="BC7" i="2" s="1"/>
  <c r="BC55" i="2" a="1"/>
  <c r="BC55" i="2" s="1"/>
  <c r="BC68" i="2" a="1"/>
  <c r="BC68" i="2" s="1"/>
  <c r="BC151" i="2" a="1"/>
  <c r="BC151" i="2" s="1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47" i="2" a="1"/>
  <c r="BC47" i="2" s="1"/>
  <c r="BC18" i="2" a="1"/>
  <c r="BC18" i="2" s="1"/>
  <c r="BC84" i="2" a="1"/>
  <c r="BC84" i="2" s="1"/>
  <c r="BC114" i="2" a="1"/>
  <c r="BC114" i="2" s="1"/>
  <c r="BC192" i="2" a="1"/>
  <c r="BC192" i="2" s="1"/>
  <c r="BC38" i="2" a="1"/>
  <c r="BC38" i="2" s="1"/>
  <c r="BC32" i="2" a="1"/>
  <c r="BC32" i="2" s="1"/>
  <c r="BC126" i="2" a="1"/>
  <c r="BC12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Y78" i="2" l="1"/>
  <c r="CY58" i="2"/>
  <c r="CY149" i="2"/>
  <c r="CY95" i="2"/>
  <c r="CY176" i="2"/>
  <c r="CY155" i="2"/>
  <c r="CY142" i="2"/>
  <c r="CY126" i="2"/>
  <c r="CY156" i="2"/>
  <c r="CY99" i="2"/>
  <c r="CY94" i="2"/>
  <c r="CY92" i="2"/>
  <c r="CY125" i="2"/>
  <c r="CY140" i="2"/>
  <c r="CY184" i="2"/>
  <c r="CY84" i="2"/>
  <c r="CY13" i="2"/>
  <c r="CY52" i="2"/>
  <c r="CY152" i="2"/>
  <c r="CY20" i="2"/>
  <c r="CY171" i="2"/>
  <c r="CY33" i="2"/>
  <c r="CY151" i="2"/>
  <c r="CY112" i="2"/>
  <c r="CY47" i="2"/>
  <c r="CY139" i="2"/>
  <c r="CY109" i="2"/>
  <c r="CY190" i="2"/>
  <c r="CY192" i="2"/>
  <c r="CY3" i="2"/>
  <c r="C10" i="4" s="1"/>
  <c r="E10" i="4" s="1"/>
  <c r="F10" i="4" s="1"/>
  <c r="G10" i="4" s="1"/>
  <c r="L10" i="4" s="1"/>
  <c r="CY138" i="2"/>
  <c r="CY71" i="2"/>
  <c r="CY16" i="2"/>
  <c r="CY201" i="2"/>
  <c r="CY110" i="2"/>
  <c r="CY132" i="2"/>
  <c r="CY10" i="2"/>
  <c r="CY59" i="2"/>
  <c r="CY86" i="2"/>
  <c r="CY119" i="2"/>
  <c r="CY202" i="2"/>
  <c r="CY67" i="2"/>
  <c r="CY161" i="2"/>
  <c r="CY64" i="2"/>
  <c r="CY187" i="2"/>
  <c r="CY174" i="2"/>
  <c r="CY68" i="2"/>
  <c r="CY199" i="2"/>
  <c r="CY118" i="2"/>
  <c r="CY8" i="2"/>
  <c r="CY62" i="2"/>
  <c r="CY101" i="2"/>
  <c r="CY82" i="2"/>
  <c r="CY4" i="2"/>
  <c r="CY158" i="2"/>
  <c r="CY108" i="2"/>
  <c r="CY153" i="2"/>
  <c r="CY159" i="2"/>
  <c r="CY53" i="2"/>
  <c r="CY9" i="2"/>
  <c r="CY120" i="2"/>
  <c r="CY79" i="2"/>
  <c r="CY183" i="2"/>
  <c r="CY74" i="2"/>
  <c r="CY186" i="2"/>
  <c r="CY117" i="2"/>
  <c r="CY203" i="2"/>
  <c r="CY169" i="2"/>
  <c r="CY129" i="2"/>
  <c r="CY179" i="2"/>
  <c r="CY14" i="2"/>
  <c r="CY87" i="2"/>
  <c r="CY144" i="2"/>
  <c r="CY22" i="2"/>
  <c r="CY107" i="2"/>
  <c r="CY114" i="2"/>
  <c r="CY91" i="2"/>
  <c r="CY48" i="2"/>
  <c r="CY185" i="2"/>
  <c r="CY175" i="2"/>
  <c r="CY150" i="2"/>
  <c r="CY143" i="2"/>
  <c r="CY141" i="2"/>
  <c r="CY55" i="2"/>
  <c r="CY167" i="2"/>
  <c r="CY98" i="2"/>
  <c r="CY137" i="2"/>
  <c r="CY111" i="2"/>
  <c r="CY23" i="2"/>
  <c r="CY163" i="2"/>
  <c r="CY88" i="2"/>
  <c r="CY75" i="2"/>
  <c r="CY15" i="2"/>
  <c r="CY131" i="2"/>
  <c r="CY7" i="2"/>
  <c r="CY56" i="2"/>
  <c r="CY31" i="2"/>
  <c r="CY45" i="2"/>
  <c r="CY191" i="2"/>
  <c r="CY77" i="2"/>
  <c r="CY106" i="2"/>
  <c r="CY36" i="2"/>
  <c r="CY35" i="2"/>
  <c r="CY103" i="2"/>
  <c r="CY30" i="2"/>
  <c r="CY162" i="2"/>
  <c r="CY189" i="2"/>
  <c r="CY83" i="2"/>
  <c r="CY24" i="2"/>
  <c r="CY54" i="2"/>
  <c r="CY70" i="2"/>
  <c r="CY12" i="2"/>
  <c r="CY180" i="2"/>
  <c r="CY195" i="2"/>
  <c r="CY32" i="2"/>
  <c r="CY146" i="2"/>
  <c r="CY177" i="2"/>
  <c r="CY18" i="2"/>
  <c r="CY133" i="2"/>
  <c r="CY160" i="2"/>
  <c r="CY61" i="2"/>
  <c r="CY127" i="2"/>
  <c r="CY200" i="2"/>
  <c r="CY122" i="2"/>
  <c r="CY104" i="2"/>
  <c r="CY136" i="2"/>
  <c r="CY124" i="2"/>
  <c r="CY57" i="2"/>
  <c r="CY181" i="2"/>
  <c r="CY173" i="2"/>
  <c r="CY113" i="2"/>
  <c r="CY93" i="2"/>
  <c r="CY157" i="2"/>
  <c r="CY198" i="2"/>
  <c r="CY46" i="2"/>
  <c r="CY66" i="2"/>
  <c r="CY44" i="2"/>
  <c r="CY41" i="2"/>
  <c r="CY193" i="2"/>
  <c r="CY154" i="2"/>
  <c r="CY102" i="2"/>
  <c r="CY49" i="2"/>
  <c r="CY182" i="2"/>
  <c r="CY42" i="2"/>
  <c r="CY63" i="2"/>
  <c r="CY178" i="2"/>
  <c r="CY135" i="2"/>
  <c r="CY72" i="2"/>
  <c r="CY81" i="2"/>
  <c r="CY73" i="2"/>
  <c r="CY69" i="2"/>
  <c r="CY194" i="2"/>
  <c r="CY65" i="2"/>
  <c r="CY196" i="2"/>
  <c r="CY85" i="2"/>
  <c r="CY168" i="2"/>
  <c r="CY166" i="2"/>
  <c r="CY105" i="2"/>
  <c r="CY145" i="2"/>
  <c r="CY6" i="2"/>
  <c r="CY60" i="2"/>
  <c r="CY121" i="2"/>
  <c r="CY21" i="2"/>
  <c r="CY34" i="2"/>
  <c r="CY164" i="2"/>
  <c r="CY51" i="2"/>
  <c r="CY76" i="2"/>
  <c r="CY123" i="2"/>
  <c r="CY134" i="2"/>
  <c r="CY165" i="2"/>
  <c r="CY25" i="2"/>
  <c r="CY97" i="2"/>
  <c r="CY90" i="2"/>
  <c r="CY17" i="2"/>
  <c r="CY43" i="2"/>
  <c r="CY29" i="2"/>
  <c r="CY115" i="2"/>
  <c r="CY197" i="2"/>
  <c r="CY38" i="2"/>
  <c r="CY170" i="2"/>
  <c r="CY39" i="2"/>
  <c r="CY116" i="2"/>
  <c r="CY26" i="2"/>
  <c r="CY11" i="2"/>
  <c r="CY50" i="2"/>
  <c r="CY27" i="2"/>
  <c r="CY37" i="2"/>
  <c r="CY130" i="2"/>
  <c r="CY80" i="2"/>
  <c r="CY172" i="2"/>
  <c r="CY100" i="2"/>
  <c r="CY89" i="2"/>
  <c r="CY148" i="2"/>
  <c r="CY19" i="2"/>
  <c r="CY147" i="2"/>
  <c r="CY128" i="2"/>
  <c r="CY28" i="2"/>
  <c r="CY5" i="2"/>
  <c r="CY188" i="2"/>
  <c r="CY96" i="2"/>
  <c r="CY40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01" i="2" l="1"/>
  <c r="DT93" i="2"/>
  <c r="DT161" i="2"/>
  <c r="DT128" i="2"/>
  <c r="DT22" i="2"/>
  <c r="DT123" i="2"/>
  <c r="DT65" i="2"/>
  <c r="DT33" i="2"/>
  <c r="DT46" i="2"/>
  <c r="DT44" i="2"/>
  <c r="DT88" i="2"/>
  <c r="DT198" i="2"/>
  <c r="DT30" i="2"/>
  <c r="DT132" i="2"/>
  <c r="DT82" i="2"/>
  <c r="DT4" i="2"/>
  <c r="DT141" i="2"/>
  <c r="DT197" i="2"/>
  <c r="DT108" i="2"/>
  <c r="DT28" i="2"/>
  <c r="DT130" i="2"/>
  <c r="DT51" i="2"/>
  <c r="DT146" i="2"/>
  <c r="DT77" i="2"/>
  <c r="DT159" i="2"/>
  <c r="DT162" i="2"/>
  <c r="DT62" i="2"/>
  <c r="DT151" i="2"/>
  <c r="DT79" i="2"/>
  <c r="DT196" i="2"/>
  <c r="DT31" i="2"/>
  <c r="DT63" i="2"/>
  <c r="DT163" i="2"/>
  <c r="DT120" i="2"/>
  <c r="DT186" i="2"/>
  <c r="DT91" i="2"/>
  <c r="DT173" i="2"/>
  <c r="DT97" i="2"/>
  <c r="DT140" i="2"/>
  <c r="DT172" i="2"/>
  <c r="DT129" i="2"/>
  <c r="DT202" i="2"/>
  <c r="DT78" i="2"/>
  <c r="DT109" i="2"/>
  <c r="DT90" i="2"/>
  <c r="DT194" i="2"/>
  <c r="DT59" i="2"/>
  <c r="DT154" i="2"/>
  <c r="DT189" i="2"/>
  <c r="DT9" i="2"/>
  <c r="DT117" i="2"/>
  <c r="DT176" i="2"/>
  <c r="DT67" i="2"/>
  <c r="DT112" i="2"/>
  <c r="DT188" i="2"/>
  <c r="DT37" i="2"/>
  <c r="DT122" i="2"/>
  <c r="DT145" i="2"/>
  <c r="DT156" i="2"/>
  <c r="DT64" i="2"/>
  <c r="DT99" i="2"/>
  <c r="DT139" i="2"/>
  <c r="DT26" i="2"/>
  <c r="DT118" i="2"/>
  <c r="DT73" i="2"/>
  <c r="DT148" i="2"/>
  <c r="DT102" i="2"/>
  <c r="DT113" i="2"/>
  <c r="DT87" i="2"/>
  <c r="DT160" i="2"/>
  <c r="DT40" i="2"/>
  <c r="DT19" i="2"/>
  <c r="DT155" i="2"/>
  <c r="DT203" i="2"/>
  <c r="DT182" i="2"/>
  <c r="DT60" i="2"/>
  <c r="DT5" i="2"/>
  <c r="DT48" i="2"/>
  <c r="DT76" i="2"/>
  <c r="DT153" i="2"/>
  <c r="DT80" i="2"/>
  <c r="DT42" i="2"/>
  <c r="DT164" i="2"/>
  <c r="DT193" i="2"/>
  <c r="DT25" i="2"/>
  <c r="DT89" i="2"/>
  <c r="DT201" i="2"/>
  <c r="DT103" i="2"/>
  <c r="DT27" i="2"/>
  <c r="DT96" i="2"/>
  <c r="DT58" i="2"/>
  <c r="DT23" i="2"/>
  <c r="DT177" i="2"/>
  <c r="DT21" i="2"/>
  <c r="DT171" i="2"/>
  <c r="DT178" i="2"/>
  <c r="DT84" i="2"/>
  <c r="DT8" i="2"/>
  <c r="DT32" i="2"/>
  <c r="DT95" i="2"/>
  <c r="DT71" i="2"/>
  <c r="DT13" i="2"/>
  <c r="DT116" i="2"/>
  <c r="DT131" i="2"/>
  <c r="DT47" i="2"/>
  <c r="DT70" i="2"/>
  <c r="DT45" i="2"/>
  <c r="DT143" i="2"/>
  <c r="DT169" i="2"/>
  <c r="DT111" i="2"/>
  <c r="DT152" i="2"/>
  <c r="DT142" i="2"/>
  <c r="DT134" i="2"/>
  <c r="DT53" i="2"/>
  <c r="DT149" i="2"/>
  <c r="DT107" i="2"/>
  <c r="DT119" i="2"/>
  <c r="DT138" i="2"/>
  <c r="DT92" i="2"/>
  <c r="DT15" i="2"/>
  <c r="DT124" i="2"/>
  <c r="DT52" i="2"/>
  <c r="DT39" i="2"/>
  <c r="DT41" i="2"/>
  <c r="DT10" i="2"/>
  <c r="DT106" i="2"/>
  <c r="DT16" i="2"/>
  <c r="DT135" i="2"/>
  <c r="DT72" i="2"/>
  <c r="DT43" i="2"/>
  <c r="DT200" i="2"/>
  <c r="DT20" i="2"/>
  <c r="DT115" i="2"/>
  <c r="DT195" i="2"/>
  <c r="DT167" i="2"/>
  <c r="DT75" i="2"/>
  <c r="DT50" i="2"/>
  <c r="DT126" i="2"/>
  <c r="DT157" i="2"/>
  <c r="DT94" i="2"/>
  <c r="DT147" i="2"/>
  <c r="DT100" i="2"/>
  <c r="DT36" i="2"/>
  <c r="DT114" i="2"/>
  <c r="DT144" i="2"/>
  <c r="DT183" i="2"/>
  <c r="DT85" i="2"/>
  <c r="DT24" i="2"/>
  <c r="DT56" i="2"/>
  <c r="DT6" i="2"/>
  <c r="DT69" i="2"/>
  <c r="DT17" i="2"/>
  <c r="DT11" i="2"/>
  <c r="DT81" i="2"/>
  <c r="DT174" i="2"/>
  <c r="DT170" i="2"/>
  <c r="DT35" i="2"/>
  <c r="DT61" i="2"/>
  <c r="DT66" i="2"/>
  <c r="DT137" i="2"/>
  <c r="DT133" i="2"/>
  <c r="DT199" i="2"/>
  <c r="DT98" i="2"/>
  <c r="DT12" i="2"/>
  <c r="DT86" i="2"/>
  <c r="DT192" i="2"/>
  <c r="DT18" i="2"/>
  <c r="DT158" i="2"/>
  <c r="DT29" i="2"/>
  <c r="DT185" i="2"/>
  <c r="DT74" i="2"/>
  <c r="DT54" i="2"/>
  <c r="DT125" i="2"/>
  <c r="DT187" i="2"/>
  <c r="DT83" i="2"/>
  <c r="DT190" i="2"/>
  <c r="DT121" i="2"/>
  <c r="DT181" i="2"/>
  <c r="DT57" i="2"/>
  <c r="DT136" i="2"/>
  <c r="DT68" i="2"/>
  <c r="DT166" i="2"/>
  <c r="DT184" i="2"/>
  <c r="DT105" i="2"/>
  <c r="DT168" i="2"/>
  <c r="DT14" i="2"/>
  <c r="DT3" i="2"/>
  <c r="C11" i="4" s="1"/>
  <c r="E11" i="4" s="1"/>
  <c r="F11" i="4" s="1"/>
  <c r="G11" i="4" s="1"/>
  <c r="L11" i="4" s="1"/>
  <c r="DT179" i="2"/>
  <c r="DT104" i="2"/>
  <c r="DT34" i="2"/>
  <c r="DT7" i="2"/>
  <c r="DT150" i="2"/>
  <c r="DT49" i="2"/>
  <c r="DT127" i="2"/>
  <c r="DT180" i="2"/>
  <c r="DT165" i="2"/>
  <c r="DT55" i="2"/>
  <c r="DT38" i="2"/>
  <c r="DT191" i="2"/>
  <c r="DT175" i="2"/>
  <c r="DT110" i="2"/>
  <c r="FJ126" i="2"/>
  <c r="FJ11" i="2"/>
  <c r="FJ39" i="2"/>
  <c r="FJ179" i="2"/>
  <c r="FJ132" i="2"/>
  <c r="FJ146" i="2"/>
  <c r="FJ202" i="2"/>
  <c r="FJ185" i="2"/>
  <c r="FJ194" i="2"/>
  <c r="FJ16" i="2"/>
  <c r="FJ86" i="2"/>
  <c r="FJ53" i="2"/>
  <c r="FJ99" i="2"/>
  <c r="FJ109" i="2"/>
  <c r="FJ118" i="2"/>
  <c r="FJ177" i="2"/>
  <c r="FJ64" i="2"/>
  <c r="FJ167" i="2"/>
  <c r="FJ28" i="2"/>
  <c r="FJ13" i="2"/>
  <c r="FJ55" i="2"/>
  <c r="FJ22" i="2"/>
  <c r="FJ193" i="2"/>
  <c r="FJ178" i="2"/>
  <c r="FJ176" i="2"/>
  <c r="FJ50" i="2"/>
  <c r="FJ79" i="2"/>
  <c r="FJ31" i="2"/>
  <c r="FJ46" i="2"/>
  <c r="FJ89" i="2"/>
  <c r="FJ69" i="2"/>
  <c r="FJ51" i="2"/>
  <c r="FJ130" i="2"/>
  <c r="FJ108" i="2"/>
  <c r="FJ192" i="2"/>
  <c r="FJ65" i="2"/>
  <c r="FJ62" i="2"/>
  <c r="FJ154" i="2"/>
  <c r="FJ186" i="2"/>
  <c r="FJ38" i="2"/>
  <c r="FJ94" i="2"/>
  <c r="FJ105" i="2"/>
  <c r="FJ6" i="2"/>
  <c r="FJ135" i="2"/>
  <c r="FJ26" i="2"/>
  <c r="FJ36" i="2"/>
  <c r="FJ52" i="2"/>
  <c r="FJ30" i="2"/>
  <c r="FJ199" i="2"/>
  <c r="FJ161" i="2"/>
  <c r="FJ183" i="2"/>
  <c r="FJ110" i="2"/>
  <c r="FJ131" i="2"/>
  <c r="FJ14" i="2"/>
  <c r="FJ122" i="2"/>
  <c r="FJ104" i="2"/>
  <c r="FJ172" i="2"/>
  <c r="FJ35" i="2"/>
  <c r="FJ143" i="2"/>
  <c r="FJ153" i="2"/>
  <c r="FJ162" i="2"/>
  <c r="FJ27" i="2"/>
  <c r="FJ8" i="2"/>
  <c r="FJ58" i="2"/>
  <c r="FJ149" i="2"/>
  <c r="FJ112" i="2"/>
  <c r="FJ144" i="2"/>
  <c r="FJ32" i="2"/>
  <c r="FJ181" i="2"/>
  <c r="FJ156" i="2"/>
  <c r="FJ174" i="2"/>
  <c r="FJ195" i="2"/>
  <c r="FJ96" i="2"/>
  <c r="FJ113" i="2"/>
  <c r="FJ21" i="2"/>
  <c r="FJ54" i="2"/>
  <c r="FJ33" i="2"/>
  <c r="FJ150" i="2"/>
  <c r="FJ4" i="2"/>
  <c r="FJ23" i="2"/>
  <c r="FJ93" i="2"/>
  <c r="FJ129" i="2"/>
  <c r="FJ137" i="2"/>
  <c r="FJ48" i="2"/>
  <c r="FJ139" i="2"/>
  <c r="FJ44" i="2"/>
  <c r="FJ165" i="2"/>
  <c r="FJ102" i="2"/>
  <c r="FJ169" i="2"/>
  <c r="FJ136" i="2"/>
  <c r="FJ83" i="2"/>
  <c r="FJ163" i="2"/>
  <c r="FJ141" i="2"/>
  <c r="FJ80" i="2"/>
  <c r="FJ34" i="2"/>
  <c r="FJ72" i="2"/>
  <c r="FJ40" i="2"/>
  <c r="FJ145" i="2"/>
  <c r="FJ41" i="2"/>
  <c r="FJ152" i="2"/>
  <c r="FJ74" i="2"/>
  <c r="FJ120" i="2"/>
  <c r="FJ59" i="2"/>
  <c r="FJ19" i="2"/>
  <c r="FJ121" i="2"/>
  <c r="FJ98" i="2"/>
  <c r="FJ68" i="2"/>
  <c r="FJ107" i="2"/>
  <c r="FJ9" i="2"/>
  <c r="FJ189" i="2"/>
  <c r="FJ81" i="2"/>
  <c r="FJ100" i="2"/>
  <c r="FJ159" i="2"/>
  <c r="FJ115" i="2"/>
  <c r="FJ49" i="2"/>
  <c r="FJ155" i="2"/>
  <c r="FJ85" i="2"/>
  <c r="FJ29" i="2"/>
  <c r="FJ151" i="2"/>
  <c r="FJ56" i="2"/>
  <c r="FJ123" i="2"/>
  <c r="FJ119" i="2"/>
  <c r="FJ182" i="2"/>
  <c r="FJ87" i="2"/>
  <c r="FJ196" i="2"/>
  <c r="FJ43" i="2"/>
  <c r="FJ147" i="2"/>
  <c r="FJ164" i="2"/>
  <c r="FJ91" i="2"/>
  <c r="FJ197" i="2"/>
  <c r="FJ114" i="2"/>
  <c r="FJ63" i="2"/>
  <c r="FJ10" i="2"/>
  <c r="FJ47" i="2"/>
  <c r="FJ12" i="2"/>
  <c r="FJ67" i="2"/>
  <c r="FJ201" i="2"/>
  <c r="FJ198" i="2"/>
  <c r="FJ168" i="2"/>
  <c r="FJ191" i="2"/>
  <c r="FJ184" i="2"/>
  <c r="FJ127" i="2"/>
  <c r="FJ117" i="2"/>
  <c r="FJ138" i="2"/>
  <c r="FJ25" i="2"/>
  <c r="FJ95" i="2"/>
  <c r="FJ42" i="2"/>
  <c r="FJ160" i="2"/>
  <c r="FJ78" i="2"/>
  <c r="FJ92" i="2"/>
  <c r="FJ171" i="2"/>
  <c r="FJ37" i="2"/>
  <c r="FJ76" i="2"/>
  <c r="FJ90" i="2"/>
  <c r="FJ60" i="2"/>
  <c r="FJ75" i="2"/>
  <c r="FJ106" i="2"/>
  <c r="FJ125" i="2"/>
  <c r="FJ166" i="2"/>
  <c r="FJ187" i="2"/>
  <c r="FJ180" i="2"/>
  <c r="FJ15" i="2"/>
  <c r="FJ140" i="2"/>
  <c r="FJ77" i="2"/>
  <c r="FJ66" i="2"/>
  <c r="FJ20" i="2"/>
  <c r="FJ82" i="2"/>
  <c r="FJ45" i="2"/>
  <c r="FJ148" i="2"/>
  <c r="FJ190" i="2"/>
  <c r="FJ17" i="2"/>
  <c r="FJ57" i="2"/>
  <c r="FJ173" i="2"/>
  <c r="FJ18" i="2"/>
  <c r="FJ5" i="2"/>
  <c r="FJ116" i="2"/>
  <c r="FJ70" i="2"/>
  <c r="FJ103" i="2"/>
  <c r="FJ157" i="2"/>
  <c r="FJ111" i="2"/>
  <c r="FJ71" i="2"/>
  <c r="FJ134" i="2"/>
  <c r="FJ124" i="2"/>
  <c r="FJ128" i="2"/>
  <c r="FJ84" i="2"/>
  <c r="FJ61" i="2"/>
  <c r="FJ97" i="2"/>
  <c r="FJ200" i="2"/>
  <c r="FJ158" i="2"/>
  <c r="FJ7" i="2"/>
  <c r="FJ203" i="2"/>
  <c r="FJ133" i="2"/>
  <c r="FJ188" i="2"/>
  <c r="FJ101" i="2"/>
  <c r="FJ170" i="2"/>
  <c r="FJ3" i="2"/>
  <c r="C13" i="4" s="1"/>
  <c r="E13" i="4" s="1"/>
  <c r="F13" i="4" s="1"/>
  <c r="G13" i="4" s="1"/>
  <c r="L13" i="4" s="1"/>
  <c r="FJ73" i="2"/>
  <c r="FJ24" i="2"/>
  <c r="FJ88" i="2"/>
  <c r="FJ142" i="2"/>
  <c r="FJ175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GZ119" i="2" l="1"/>
  <c r="GZ57" i="2"/>
  <c r="GZ199" i="2"/>
  <c r="GZ183" i="2"/>
  <c r="GZ171" i="2"/>
  <c r="GZ72" i="2"/>
  <c r="GZ111" i="2"/>
  <c r="GZ56" i="2"/>
  <c r="GZ152" i="2"/>
  <c r="GZ201" i="2"/>
  <c r="GZ79" i="2"/>
  <c r="GZ43" i="2"/>
  <c r="GZ194" i="2"/>
  <c r="GZ141" i="2"/>
  <c r="GZ200" i="2"/>
  <c r="GZ33" i="2"/>
  <c r="GZ52" i="2"/>
  <c r="GZ97" i="2"/>
  <c r="GZ42" i="2"/>
  <c r="GZ195" i="2"/>
  <c r="GZ129" i="2"/>
  <c r="GZ10" i="2"/>
  <c r="GZ39" i="2"/>
  <c r="GZ137" i="2"/>
  <c r="GZ98" i="2"/>
  <c r="GZ49" i="2"/>
  <c r="GZ140" i="2"/>
  <c r="GZ63" i="2"/>
  <c r="GZ18" i="2"/>
  <c r="GZ86" i="2"/>
  <c r="GZ91" i="2"/>
  <c r="GZ188" i="2"/>
  <c r="GZ35" i="2"/>
  <c r="GZ144" i="2"/>
  <c r="GZ173" i="2"/>
  <c r="GZ73" i="2"/>
  <c r="GZ92" i="2"/>
  <c r="GZ11" i="2"/>
  <c r="GZ70" i="2"/>
  <c r="GZ109" i="2"/>
  <c r="GZ71" i="2"/>
  <c r="GZ85" i="2"/>
  <c r="GZ133" i="2"/>
  <c r="GZ153" i="2"/>
  <c r="GZ4" i="2"/>
  <c r="GZ203" i="2"/>
  <c r="GZ66" i="2"/>
  <c r="GZ96" i="2"/>
  <c r="GZ136" i="2"/>
  <c r="GZ31" i="2"/>
  <c r="GZ77" i="2"/>
  <c r="GZ12" i="2"/>
  <c r="GZ106" i="2"/>
  <c r="GZ184" i="2"/>
  <c r="GZ65" i="2"/>
  <c r="GZ158" i="2"/>
  <c r="GZ110" i="2"/>
  <c r="GZ8" i="2"/>
  <c r="GZ159" i="2"/>
  <c r="GZ76" i="2"/>
  <c r="GZ189" i="2"/>
  <c r="GZ167" i="2"/>
  <c r="GZ29" i="2"/>
  <c r="GZ139" i="2"/>
  <c r="GZ14" i="2"/>
  <c r="GZ82" i="2"/>
  <c r="GZ127" i="2"/>
  <c r="GZ115" i="2"/>
  <c r="GZ160" i="2"/>
  <c r="GZ84" i="2"/>
  <c r="GZ134" i="2"/>
  <c r="GZ50" i="2"/>
  <c r="GZ80" i="2"/>
  <c r="GZ190" i="2"/>
  <c r="GZ143" i="2"/>
  <c r="GZ60" i="2"/>
  <c r="GZ41" i="2"/>
  <c r="GZ157" i="2"/>
  <c r="GZ117" i="2"/>
  <c r="GZ99" i="2"/>
  <c r="GZ38" i="2"/>
  <c r="GZ116" i="2"/>
  <c r="GZ125" i="2"/>
  <c r="GZ45" i="2"/>
  <c r="GZ64" i="2"/>
  <c r="GZ120" i="2"/>
  <c r="GZ166" i="2"/>
  <c r="GZ123" i="2"/>
  <c r="GZ15" i="2"/>
  <c r="GZ25" i="2"/>
  <c r="GZ135" i="2"/>
  <c r="GZ118" i="2"/>
  <c r="GZ113" i="2"/>
  <c r="GZ179" i="2"/>
  <c r="GZ104" i="2"/>
  <c r="GZ36" i="2"/>
  <c r="GZ6" i="2"/>
  <c r="GZ155" i="2"/>
  <c r="GZ23" i="2"/>
  <c r="GZ202" i="2"/>
  <c r="GZ40" i="2"/>
  <c r="GZ149" i="2"/>
  <c r="GZ100" i="2"/>
  <c r="GZ51" i="2"/>
  <c r="GZ28" i="2"/>
  <c r="GZ122" i="2"/>
  <c r="GZ13" i="2"/>
  <c r="GZ19" i="2"/>
  <c r="GZ175" i="2"/>
  <c r="GZ75" i="2"/>
  <c r="GZ55" i="2"/>
  <c r="GZ161" i="2"/>
  <c r="GZ163" i="2"/>
  <c r="GZ180" i="2"/>
  <c r="GZ107" i="2"/>
  <c r="GZ114" i="2"/>
  <c r="GZ58" i="2"/>
  <c r="GZ53" i="2"/>
  <c r="GZ62" i="2"/>
  <c r="GZ169" i="2"/>
  <c r="GZ187" i="2"/>
  <c r="GZ146" i="2"/>
  <c r="GZ165" i="2"/>
  <c r="GZ177" i="2"/>
  <c r="GZ132" i="2"/>
  <c r="GZ176" i="2"/>
  <c r="GZ185" i="2"/>
  <c r="GZ197" i="2"/>
  <c r="GZ182" i="2"/>
  <c r="GZ44" i="2"/>
  <c r="GZ112" i="2"/>
  <c r="GZ138" i="2"/>
  <c r="GZ17" i="2"/>
  <c r="GZ90" i="2"/>
  <c r="GZ174" i="2"/>
  <c r="GZ67" i="2"/>
  <c r="GZ162" i="2"/>
  <c r="GZ5" i="2"/>
  <c r="GZ9" i="2"/>
  <c r="GZ103" i="2"/>
  <c r="GZ102" i="2"/>
  <c r="GZ181" i="2"/>
  <c r="GZ46" i="2"/>
  <c r="GZ78" i="2"/>
  <c r="GZ126" i="2"/>
  <c r="GZ198" i="2"/>
  <c r="GZ7" i="2"/>
  <c r="GZ131" i="2"/>
  <c r="GZ21" i="2"/>
  <c r="GZ124" i="2"/>
  <c r="GZ145" i="2"/>
  <c r="GZ20" i="2"/>
  <c r="GZ88" i="2"/>
  <c r="GZ170" i="2"/>
  <c r="GZ48" i="2"/>
  <c r="GZ89" i="2"/>
  <c r="GZ93" i="2"/>
  <c r="GZ61" i="2"/>
  <c r="GZ32" i="2"/>
  <c r="GZ128" i="2"/>
  <c r="GZ59" i="2"/>
  <c r="GZ191" i="2"/>
  <c r="GZ192" i="2"/>
  <c r="GZ168" i="2"/>
  <c r="GZ83" i="2"/>
  <c r="GZ178" i="2"/>
  <c r="GZ37" i="2"/>
  <c r="GZ151" i="2"/>
  <c r="GZ54" i="2"/>
  <c r="GZ95" i="2"/>
  <c r="GZ142" i="2"/>
  <c r="GZ193" i="2"/>
  <c r="GZ196" i="2"/>
  <c r="GZ164" i="2"/>
  <c r="GZ150" i="2"/>
  <c r="GZ81" i="2"/>
  <c r="GZ30" i="2"/>
  <c r="GZ94" i="2"/>
  <c r="GZ24" i="2"/>
  <c r="GZ27" i="2"/>
  <c r="GZ16" i="2"/>
  <c r="GZ148" i="2"/>
  <c r="GZ74" i="2"/>
  <c r="GZ130" i="2"/>
  <c r="GZ105" i="2"/>
  <c r="GZ186" i="2"/>
  <c r="GZ156" i="2"/>
  <c r="GZ108" i="2"/>
  <c r="GZ147" i="2"/>
  <c r="GZ26" i="2"/>
  <c r="GZ121" i="2"/>
  <c r="GZ22" i="2"/>
  <c r="GZ68" i="2"/>
  <c r="GZ154" i="2"/>
  <c r="GZ101" i="2"/>
  <c r="GZ87" i="2"/>
  <c r="GZ172" i="2"/>
  <c r="GZ69" i="2"/>
  <c r="GZ47" i="2"/>
  <c r="GZ34" i="2"/>
  <c r="GZ3" i="2"/>
  <c r="C15" i="4" s="1"/>
  <c r="E15" i="4" s="1"/>
  <c r="F15" i="4" s="1"/>
  <c r="G15" i="4" s="1"/>
  <c r="L15" i="4" s="1"/>
  <c r="BF116" i="2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123" i="2" l="1"/>
  <c r="BI5" i="2"/>
  <c r="BI47" i="2"/>
  <c r="BI23" i="2"/>
  <c r="BI154" i="2"/>
  <c r="BI7" i="2"/>
  <c r="BI37" i="2"/>
  <c r="BI106" i="2"/>
  <c r="BI124" i="2"/>
  <c r="BI45" i="2"/>
  <c r="BI80" i="2"/>
  <c r="BI57" i="2"/>
  <c r="BI140" i="2"/>
  <c r="BI101" i="2"/>
  <c r="BI164" i="2"/>
  <c r="BI172" i="2"/>
  <c r="BI167" i="2"/>
  <c r="BI105" i="2"/>
  <c r="BI63" i="2"/>
  <c r="BI86" i="2"/>
  <c r="BI160" i="2"/>
  <c r="BI78" i="2"/>
  <c r="BI139" i="2"/>
  <c r="BI146" i="2"/>
  <c r="BI43" i="2"/>
  <c r="BI64" i="2"/>
  <c r="BI100" i="2"/>
  <c r="BI36" i="2"/>
  <c r="BI94" i="2"/>
  <c r="BI75" i="2"/>
  <c r="BI9" i="2"/>
  <c r="BI136" i="2"/>
  <c r="BI202" i="2"/>
  <c r="BI88" i="2"/>
  <c r="BI197" i="2"/>
  <c r="BI168" i="2"/>
  <c r="BI11" i="2"/>
  <c r="BI70" i="2"/>
  <c r="BI159" i="2"/>
  <c r="BI191" i="2"/>
  <c r="BI79" i="2"/>
  <c r="BI72" i="2"/>
  <c r="BI40" i="2"/>
  <c r="BI147" i="2"/>
  <c r="BI179" i="2"/>
  <c r="BI171" i="2"/>
  <c r="BI130" i="2"/>
  <c r="BI184" i="2"/>
  <c r="BI169" i="2"/>
  <c r="BI92" i="2"/>
  <c r="BI90" i="2"/>
  <c r="BI29" i="2"/>
  <c r="BI12" i="2"/>
  <c r="BI165" i="2"/>
  <c r="BI44" i="2"/>
  <c r="BI115" i="2"/>
  <c r="BI131" i="2"/>
  <c r="BI182" i="2"/>
  <c r="BI129" i="2"/>
  <c r="BI42" i="2"/>
  <c r="BI61" i="2"/>
  <c r="BI119" i="2"/>
  <c r="BI39" i="2"/>
  <c r="BI148" i="2"/>
  <c r="BI87" i="2"/>
  <c r="BI85" i="2"/>
  <c r="BI162" i="2"/>
  <c r="BI192" i="2"/>
  <c r="BI196" i="2"/>
  <c r="BI25" i="2"/>
  <c r="BI67" i="2"/>
  <c r="BI193" i="2"/>
  <c r="BI58" i="2"/>
  <c r="BI21" i="2"/>
  <c r="BI104" i="2"/>
  <c r="BI97" i="2"/>
  <c r="BI59" i="2"/>
  <c r="BI120" i="2"/>
  <c r="BI117" i="2"/>
  <c r="BI98" i="2"/>
  <c r="BI134" i="2"/>
  <c r="BI144" i="2"/>
  <c r="BI41" i="2"/>
  <c r="BI30" i="2"/>
  <c r="BI161" i="2"/>
  <c r="BI158" i="2"/>
  <c r="BI95" i="2"/>
  <c r="BI111" i="2"/>
  <c r="BI199" i="2"/>
  <c r="BI27" i="2"/>
  <c r="BI177" i="2"/>
  <c r="BI24" i="2"/>
  <c r="BI125" i="2"/>
  <c r="BI121" i="2"/>
  <c r="BI77" i="2"/>
  <c r="BI53" i="2"/>
  <c r="BI17" i="2"/>
  <c r="BI175" i="2"/>
  <c r="BI74" i="2"/>
  <c r="BI66" i="2"/>
  <c r="BI198" i="2"/>
  <c r="BI52" i="2"/>
  <c r="BI150" i="2"/>
  <c r="BI89" i="2"/>
  <c r="BI34" i="2"/>
  <c r="BI54" i="2"/>
  <c r="BI174" i="2"/>
  <c r="BI103" i="2"/>
  <c r="BI109" i="2"/>
  <c r="BI127" i="2"/>
  <c r="BI60" i="2"/>
  <c r="BI128" i="2"/>
  <c r="BI16" i="2"/>
  <c r="BI132" i="2"/>
  <c r="BI186" i="2"/>
  <c r="BI38" i="2"/>
  <c r="BI188" i="2"/>
  <c r="BI107" i="2"/>
  <c r="BI6" i="2"/>
  <c r="BI4" i="2"/>
  <c r="BI155" i="2"/>
  <c r="BI143" i="2"/>
  <c r="BI142" i="2"/>
  <c r="BI56" i="2"/>
  <c r="BI194" i="2"/>
  <c r="BI141" i="2"/>
  <c r="BI185" i="2"/>
  <c r="BI156" i="2"/>
  <c r="BI26" i="2"/>
  <c r="BI83" i="2"/>
  <c r="BI133" i="2"/>
  <c r="BI73" i="2"/>
  <c r="BI50" i="2"/>
  <c r="BI3" i="2"/>
  <c r="C8" i="4" s="1"/>
  <c r="E8" i="4" s="1"/>
  <c r="F8" i="4" s="1"/>
  <c r="G8" i="4" s="1"/>
  <c r="L8" i="4" s="1"/>
  <c r="BI166" i="2"/>
  <c r="BI163" i="2"/>
  <c r="BI190" i="2"/>
  <c r="BI28" i="2"/>
  <c r="BI126" i="2"/>
  <c r="BI51" i="2"/>
  <c r="BI33" i="2"/>
  <c r="BI138" i="2"/>
  <c r="BI65" i="2"/>
  <c r="BI91" i="2"/>
  <c r="BI137" i="2"/>
  <c r="BI170" i="2"/>
  <c r="BI157" i="2"/>
  <c r="BI113" i="2"/>
  <c r="BI135" i="2"/>
  <c r="BI14" i="2"/>
  <c r="BI20" i="2"/>
  <c r="BI176" i="2"/>
  <c r="BI82" i="2"/>
  <c r="BI102" i="2"/>
  <c r="BI32" i="2"/>
  <c r="BI116" i="2"/>
  <c r="BI69" i="2"/>
  <c r="BI8" i="2"/>
  <c r="BI96" i="2"/>
  <c r="BI152" i="2"/>
  <c r="BI31" i="2"/>
  <c r="BI149" i="2"/>
  <c r="BI68" i="2"/>
  <c r="BI178" i="2"/>
  <c r="BI201" i="2"/>
  <c r="BI187" i="2"/>
  <c r="BI122" i="2"/>
  <c r="BI35" i="2"/>
  <c r="BI13" i="2"/>
  <c r="BI49" i="2"/>
  <c r="BI99" i="2"/>
  <c r="BI55" i="2"/>
  <c r="BI180" i="2"/>
  <c r="BI19" i="2"/>
  <c r="BI173" i="2"/>
  <c r="BI153" i="2"/>
  <c r="BI93" i="2"/>
  <c r="BI108" i="2"/>
  <c r="BI110" i="2"/>
  <c r="BI112" i="2"/>
  <c r="BI151" i="2"/>
  <c r="BI76" i="2"/>
  <c r="BI118" i="2"/>
  <c r="BI15" i="2"/>
  <c r="BI84" i="2"/>
  <c r="BI145" i="2"/>
  <c r="BI189" i="2"/>
  <c r="BI10" i="2"/>
  <c r="BI114" i="2"/>
  <c r="BI203" i="2"/>
  <c r="BI48" i="2"/>
  <c r="BI183" i="2"/>
  <c r="BI181" i="2"/>
  <c r="BI200" i="2"/>
  <c r="BI18" i="2"/>
  <c r="BI71" i="2"/>
  <c r="BI62" i="2"/>
  <c r="BI46" i="2"/>
  <c r="BI81" i="2"/>
  <c r="BI22" i="2"/>
  <c r="BI195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<sst xmlns="http://schemas.openxmlformats.org/spreadsheetml/2006/main" count="1179" uniqueCount="324">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</sst>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631.66036748923955</c:v>
                </c:pt>
                <c:pt idx="82">
                  <c:v>638.90661802503621</c:v>
                </c:pt>
                <c:pt idx="83">
                  <c:v>646.15117115988835</c:v>
                </c:pt>
                <c:pt idx="84">
                  <c:v>653.39404860903915</c:v>
                </c:pt>
                <c:pt idx="85">
                  <c:v>660.63527156703708</c:v>
                </c:pt>
                <c:pt idx="86">
                  <c:v>667.87486072591469</c:v>
                </c:pt>
                <c:pt idx="87">
                  <c:v>675.11283629253967</c:v>
                </c:pt>
                <c:pt idx="88">
                  <c:v>682.34921800518089</c:v>
                </c:pt>
                <c:pt idx="89">
                  <c:v>689.58402514933766</c:v>
                </c:pt>
                <c:pt idx="90">
                  <c:v>696.81727657286899</c:v>
                </c:pt>
                <c:pt idx="91">
                  <c:v>601.32161215624581</c:v>
                </c:pt>
                <c:pt idx="92">
                  <c:v>612.58301041135371</c:v>
                </c:pt>
                <c:pt idx="93">
                  <c:v>623.84011521480932</c:v>
                </c:pt>
                <c:pt idx="94">
                  <c:v>635.09301493951591</c:v>
                </c:pt>
                <c:pt idx="95">
                  <c:v>646.34179457229243</c:v>
                </c:pt>
                <c:pt idx="96">
                  <c:v>657.5865359015296</c:v>
                </c:pt>
                <c:pt idx="97">
                  <c:v>668.82731769134716</c:v>
                </c:pt>
                <c:pt idx="98">
                  <c:v>680.06421584344059</c:v>
                </c:pt>
                <c:pt idx="99">
                  <c:v>691.29730354767992</c:v>
                </c:pt>
                <c:pt idx="100">
                  <c:v>702.52665142241437</c:v>
                </c:pt>
                <c:pt idx="101">
                  <c:v>608.0026257927675</c:v>
                </c:pt>
                <c:pt idx="102">
                  <c:v>618.3074928990726</c:v>
                </c:pt>
                <c:pt idx="103">
                  <c:v>628.60880146856755</c:v>
                </c:pt>
                <c:pt idx="104">
                  <c:v>638.90661802503575</c:v>
                </c:pt>
                <c:pt idx="105">
                  <c:v>649.20100677344124</c:v>
                </c:pt>
                <c:pt idx="106">
                  <c:v>659.49202971702437</c:v>
                </c:pt>
                <c:pt idx="107">
                  <c:v>669.77974676670851</c:v>
                </c:pt>
                <c:pt idx="108">
                  <c:v>680.06421584344037</c:v>
                </c:pt>
                <c:pt idx="109">
                  <c:v>690.34549297401929</c:v>
                </c:pt>
                <c:pt idx="110">
                  <c:v>700.62363238092303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603.8033106091608</c:v>
                </c:pt>
                <c:pt idx="122">
                  <c:v>611.81966247181992</c:v>
                </c:pt>
                <c:pt idx="123">
                  <c:v>619.83383559808942</c:v>
                </c:pt>
                <c:pt idx="124">
                  <c:v>627.84586213083344</c:v>
                </c:pt>
                <c:pt idx="125">
                  <c:v>635.85577332565276</c:v>
                </c:pt>
                <c:pt idx="126">
                  <c:v>643.86359958648518</c:v>
                </c:pt>
                <c:pt idx="127">
                  <c:v>651.86937049934511</c:v>
                </c:pt>
                <c:pt idx="128">
                  <c:v>659.87311486431611</c:v>
                </c:pt>
                <c:pt idx="129">
                  <c:v>667.87486072591389</c:v>
                </c:pt>
                <c:pt idx="130">
                  <c:v>675.87463540191834</c:v>
                </c:pt>
                <c:pt idx="131">
                  <c:v>599.60338857466627</c:v>
                </c:pt>
                <c:pt idx="132">
                  <c:v>607.23915886223779</c:v>
                </c:pt>
                <c:pt idx="133">
                  <c:v>614.87293594423409</c:v>
                </c:pt>
                <c:pt idx="134">
                  <c:v>622.50474805800286</c:v>
                </c:pt>
                <c:pt idx="135">
                  <c:v>630.13462269202034</c:v>
                </c:pt>
                <c:pt idx="136">
                  <c:v>637.76258661477277</c:v>
                </c:pt>
                <c:pt idx="137">
                  <c:v>645.38866590218811</c:v>
                </c:pt>
                <c:pt idx="138">
                  <c:v>653.0128859637</c:v>
                </c:pt>
                <c:pt idx="139">
                  <c:v>660.63527156703606</c:v>
                </c:pt>
                <c:pt idx="140">
                  <c:v>668.25584686179889</c:v>
                </c:pt>
                <c:pt idx="141">
                  <c:v>592.92043173039758</c:v>
                </c:pt>
                <c:pt idx="142">
                  <c:v>599.60338857466627</c:v>
                </c:pt>
                <c:pt idx="143">
                  <c:v>606.28479716716993</c:v>
                </c:pt>
                <c:pt idx="144">
                  <c:v>612.96467697950118</c:v>
                </c:pt>
                <c:pt idx="145">
                  <c:v>619.64304702417701</c:v>
                </c:pt>
                <c:pt idx="146">
                  <c:v>626.31992587040372</c:v>
                </c:pt>
                <c:pt idx="147">
                  <c:v>632.99533165913078</c:v>
                </c:pt>
                <c:pt idx="148">
                  <c:v>639.66928211743823</c:v>
                </c:pt>
                <c:pt idx="149">
                  <c:v>646.34179457229163</c:v>
                </c:pt>
                <c:pt idx="150">
                  <c:v>653.0128859637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35587280"/>
        <c:axId val="-1135585648"/>
      </c:scatterChart>
      <c:valAx>
        <c:axId val="-1135587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5585648"/>
        <c:crosses val="autoZero"/>
        <c:crossBetween val="midCat"/>
      </c:valAx>
      <c:valAx>
        <c:axId val="-113558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5587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3.2596264179477568</c:v>
                </c:pt>
                <c:pt idx="2">
                  <c:v>3.8368893135953157</c:v>
                </c:pt>
                <c:pt idx="3">
                  <c:v>4.5167532458380117</c:v>
                </c:pt>
                <c:pt idx="4">
                  <c:v>5.3175163823720473</c:v>
                </c:pt>
                <c:pt idx="5">
                  <c:v>6.2607506214984907</c:v>
                </c:pt>
                <c:pt idx="6">
                  <c:v>7.3718890244826598</c:v>
                </c:pt>
                <c:pt idx="7">
                  <c:v>8.6809189425035811</c:v>
                </c:pt>
                <c:pt idx="8">
                  <c:v>10.223199902887819</c:v>
                </c:pt>
                <c:pt idx="9">
                  <c:v>12.040428765950772</c:v>
                </c:pt>
                <c:pt idx="10">
                  <c:v>14.181778734787978</c:v>
                </c:pt>
                <c:pt idx="11">
                  <c:v>16.705243609095039</c:v>
                </c:pt>
                <c:pt idx="12">
                  <c:v>19.679224354476879</c:v>
                </c:pt>
                <c:pt idx="13">
                  <c:v>23.184401769018773</c:v>
                </c:pt>
                <c:pt idx="14">
                  <c:v>27.315946956207327</c:v>
                </c:pt>
                <c:pt idx="15">
                  <c:v>32.186130678717483</c:v>
                </c:pt>
                <c:pt idx="16">
                  <c:v>37.927403732464619</c:v>
                </c:pt>
                <c:pt idx="17">
                  <c:v>44.696033553570196</c:v>
                </c:pt>
                <c:pt idx="18">
                  <c:v>52.676397717652179</c:v>
                </c:pt>
                <c:pt idx="19">
                  <c:v>62.086053242762887</c:v>
                </c:pt>
                <c:pt idx="20">
                  <c:v>73.181722174607145</c:v>
                </c:pt>
                <c:pt idx="21">
                  <c:v>86.266359418576414</c:v>
                </c:pt>
                <c:pt idx="22">
                  <c:v>101.69749890073068</c:v>
                </c:pt>
                <c:pt idx="23">
                  <c:v>119.89710973219677</c:v>
                </c:pt>
                <c:pt idx="24">
                  <c:v>141.36323611524736</c:v>
                </c:pt>
                <c:pt idx="25">
                  <c:v>166.68374444299545</c:v>
                </c:pt>
                <c:pt idx="26">
                  <c:v>157.95257379653376</c:v>
                </c:pt>
                <c:pt idx="27">
                  <c:v>167.28270868572113</c:v>
                </c:pt>
                <c:pt idx="28">
                  <c:v>176.60056953769762</c:v>
                </c:pt>
                <c:pt idx="29">
                  <c:v>185.90689600932171</c:v>
                </c:pt>
                <c:pt idx="30">
                  <c:v>195.20234755308141</c:v>
                </c:pt>
                <c:pt idx="31">
                  <c:v>204.48751560370934</c:v>
                </c:pt>
                <c:pt idx="32">
                  <c:v>213.7629334318498</c:v>
                </c:pt>
                <c:pt idx="33">
                  <c:v>223.02908419537752</c:v>
                </c:pt>
                <c:pt idx="34">
                  <c:v>232.28640758080414</c:v>
                </c:pt>
                <c:pt idx="35">
                  <c:v>241.5353053292022</c:v>
                </c:pt>
                <c:pt idx="36">
                  <c:v>250.77614587044249</c:v>
                </c:pt>
                <c:pt idx="37">
                  <c:v>260.00926823787694</c:v>
                </c:pt>
                <c:pt idx="38">
                  <c:v>269.23498539731287</c:v>
                </c:pt>
                <c:pt idx="39">
                  <c:v>278.45358709540176</c:v>
                </c:pt>
                <c:pt idx="40">
                  <c:v>287.66534231076668</c:v>
                </c:pt>
                <c:pt idx="41">
                  <c:v>265.01850795146919</c:v>
                </c:pt>
                <c:pt idx="42">
                  <c:v>273.59698466802359</c:v>
                </c:pt>
                <c:pt idx="43">
                  <c:v>282.16941683584486</c:v>
                </c:pt>
                <c:pt idx="44">
                  <c:v>290.73601415782241</c:v>
                </c:pt>
                <c:pt idx="45">
                  <c:v>299.2969729587515</c:v>
                </c:pt>
                <c:pt idx="46">
                  <c:v>307.85247740544622</c:v>
                </c:pt>
                <c:pt idx="47">
                  <c:v>316.4027005840307</c:v>
                </c:pt>
                <c:pt idx="48">
                  <c:v>324.94780545461322</c:v>
                </c:pt>
                <c:pt idx="49">
                  <c:v>333.48794570022795</c:v>
                </c:pt>
                <c:pt idx="50">
                  <c:v>342.0232664842178</c:v>
                </c:pt>
                <c:pt idx="51">
                  <c:v>350.55390512801915</c:v>
                </c:pt>
                <c:pt idx="52">
                  <c:v>359.07999171948995</c:v>
                </c:pt>
                <c:pt idx="53">
                  <c:v>367.60164966041378</c:v>
                </c:pt>
                <c:pt idx="54">
                  <c:v>376.11899616055706</c:v>
                </c:pt>
                <c:pt idx="55">
                  <c:v>384.63214268461985</c:v>
                </c:pt>
                <c:pt idx="56">
                  <c:v>356.61213763738266</c:v>
                </c:pt>
                <c:pt idx="57">
                  <c:v>370.36626202128286</c:v>
                </c:pt>
                <c:pt idx="58">
                  <c:v>384.10924853273741</c:v>
                </c:pt>
                <c:pt idx="59">
                  <c:v>397.84155180362268</c:v>
                </c:pt>
                <c:pt idx="60">
                  <c:v>411.5635925201197</c:v>
                </c:pt>
                <c:pt idx="61">
                  <c:v>425.27576102838657</c:v>
                </c:pt>
                <c:pt idx="62">
                  <c:v>438.97842045093762</c:v>
                </c:pt>
                <c:pt idx="63">
                  <c:v>452.67190939363354</c:v>
                </c:pt>
                <c:pt idx="64">
                  <c:v>466.35654430807091</c:v>
                </c:pt>
                <c:pt idx="65">
                  <c:v>480.0326215622685</c:v>
                </c:pt>
                <c:pt idx="66">
                  <c:v>493.70041926311961</c:v>
                </c:pt>
                <c:pt idx="67">
                  <c:v>507.36019886655737</c:v>
                </c:pt>
                <c:pt idx="68">
                  <c:v>521.0122066053242</c:v>
                </c:pt>
                <c:pt idx="69">
                  <c:v>534.65667475934322</c:v>
                </c:pt>
                <c:pt idx="70">
                  <c:v>548.2938227896974</c:v>
                </c:pt>
                <c:pt idx="71">
                  <c:v>503.47893641821503</c:v>
                </c:pt>
                <c:pt idx="72">
                  <c:v>518.26568638637889</c:v>
                </c:pt>
                <c:pt idx="73">
                  <c:v>533.04353994173186</c:v>
                </c:pt>
                <c:pt idx="74">
                  <c:v>547.81277836882487</c:v>
                </c:pt>
                <c:pt idx="75">
                  <c:v>562.57366655470685</c:v>
                </c:pt>
                <c:pt idx="76">
                  <c:v>577.32645435890174</c:v>
                </c:pt>
                <c:pt idx="77">
                  <c:v>592.07137783613041</c:v>
                </c:pt>
                <c:pt idx="78">
                  <c:v>606.80866033095333</c:v>
                </c:pt>
                <c:pt idx="79">
                  <c:v>621.53851346059275</c:v>
                </c:pt>
                <c:pt idx="80">
                  <c:v>636.2611379997976</c:v>
                </c:pt>
                <c:pt idx="81">
                  <c:v>650.97672467959057</c:v>
                </c:pt>
                <c:pt idx="82">
                  <c:v>665.68545491008354</c:v>
                </c:pt>
                <c:pt idx="83">
                  <c:v>680.38750143612583</c:v>
                </c:pt>
                <c:pt idx="84">
                  <c:v>695.0830289333752</c:v>
                </c:pt>
                <c:pt idx="85">
                  <c:v>709.7721945513739</c:v>
                </c:pt>
                <c:pt idx="86">
                  <c:v>724.45514840936448</c:v>
                </c:pt>
                <c:pt idx="87">
                  <c:v>739.13203404984915</c:v>
                </c:pt>
                <c:pt idx="88">
                  <c:v>753.80298885428056</c:v>
                </c:pt>
                <c:pt idx="89">
                  <c:v>768.46814442473499</c:v>
                </c:pt>
                <c:pt idx="90">
                  <c:v>783.12762693496188</c:v>
                </c:pt>
                <c:pt idx="91">
                  <c:v>797.78155745380218</c:v>
                </c:pt>
                <c:pt idx="92">
                  <c:v>812.43005224363333</c:v>
                </c:pt>
                <c:pt idx="93">
                  <c:v>827.07322303618855</c:v>
                </c:pt>
                <c:pt idx="94">
                  <c:v>841.71117728784827</c:v>
                </c:pt>
                <c:pt idx="95">
                  <c:v>856.34401841626538</c:v>
                </c:pt>
                <c:pt idx="96">
                  <c:v>870.97184601999334</c:v>
                </c:pt>
                <c:pt idx="97">
                  <c:v>885.59475608260982</c:v>
                </c:pt>
                <c:pt idx="98">
                  <c:v>900.21284116266781</c:v>
                </c:pt>
                <c:pt idx="99">
                  <c:v>914.82619057068553</c:v>
                </c:pt>
                <c:pt idx="100">
                  <c:v>929.43489053425003</c:v>
                </c:pt>
                <c:pt idx="101">
                  <c:v>842.98570149395528</c:v>
                </c:pt>
                <c:pt idx="102">
                  <c:v>857.69030964614478</c:v>
                </c:pt>
                <c:pt idx="103">
                  <c:v>872.38986372828504</c:v>
                </c:pt>
                <c:pt idx="104">
                  <c:v>887.08446081595309</c:v>
                </c:pt>
                <c:pt idx="105">
                  <c:v>901.77419450962213</c:v>
                </c:pt>
                <c:pt idx="106">
                  <c:v>916.45915511480564</c:v>
                </c:pt>
                <c:pt idx="107">
                  <c:v>931.13942981006312</c:v>
                </c:pt>
                <c:pt idx="108">
                  <c:v>945.81510280387658</c:v>
                </c:pt>
                <c:pt idx="109">
                  <c:v>960.48625548129439</c:v>
                </c:pt>
                <c:pt idx="110">
                  <c:v>975.15296654115991</c:v>
                </c:pt>
                <c:pt idx="111">
                  <c:v>989.81531212466336</c:v>
                </c:pt>
                <c:pt idx="112">
                  <c:v>1004.4733659358949</c:v>
                </c:pt>
                <c:pt idx="113">
                  <c:v>1019.1271993549989</c:v>
                </c:pt>
                <c:pt idx="114">
                  <c:v>1033.7768815444927</c:v>
                </c:pt>
                <c:pt idx="115">
                  <c:v>1048.4224795492523</c:v>
                </c:pt>
                <c:pt idx="116">
                  <c:v>1063.0640583906304</c:v>
                </c:pt>
                <c:pt idx="117">
                  <c:v>1077.7016811551241</c:v>
                </c:pt>
                <c:pt idx="118">
                  <c:v>1092.3354090779824</c:v>
                </c:pt>
                <c:pt idx="119">
                  <c:v>1106.965301622105</c:v>
                </c:pt>
                <c:pt idx="120">
                  <c:v>1121.591416552566</c:v>
                </c:pt>
                <c:pt idx="121">
                  <c:v>1136.2138100070445</c:v>
                </c:pt>
                <c:pt idx="122">
                  <c:v>1150.8325365624517</c:v>
                </c:pt>
                <c:pt idx="123">
                  <c:v>1165.4476492980018</c:v>
                </c:pt>
                <c:pt idx="124">
                  <c:v>1180.0591998549571</c:v>
                </c:pt>
                <c:pt idx="125">
                  <c:v>1194.667238493266</c:v>
                </c:pt>
                <c:pt idx="126">
                  <c:v>1209.2718141452913</c:v>
                </c:pt>
                <c:pt idx="127">
                  <c:v>1223.8729744668119</c:v>
                </c:pt>
                <c:pt idx="128">
                  <c:v>1238.4707658854661</c:v>
                </c:pt>
                <c:pt idx="129">
                  <c:v>1253.0652336467997</c:v>
                </c:pt>
                <c:pt idx="130">
                  <c:v>1267.6564218580545</c:v>
                </c:pt>
                <c:pt idx="131">
                  <c:v>1142.7967093597347</c:v>
                </c:pt>
                <c:pt idx="132">
                  <c:v>1155.990352802409</c:v>
                </c:pt>
                <c:pt idx="133">
                  <c:v>1169.1810670663242</c:v>
                </c:pt>
                <c:pt idx="134">
                  <c:v>1182.3688898117773</c:v>
                </c:pt>
                <c:pt idx="135">
                  <c:v>1195.5538577915884</c:v>
                </c:pt>
                <c:pt idx="136">
                  <c:v>1208.7360068829387</c:v>
                </c:pt>
                <c:pt idx="137">
                  <c:v>1221.9153721177481</c:v>
                </c:pt>
                <c:pt idx="138">
                  <c:v>1235.0919877116767</c:v>
                </c:pt>
                <c:pt idx="139">
                  <c:v>1248.2658870918253</c:v>
                </c:pt>
                <c:pt idx="140">
                  <c:v>1261.4371029232104</c:v>
                </c:pt>
                <c:pt idx="141">
                  <c:v>1274.6056671340741</c:v>
                </c:pt>
                <c:pt idx="142">
                  <c:v>1287.7716109400978</c:v>
                </c:pt>
                <c:pt idx="143">
                  <c:v>1300.9349648675736</c:v>
                </c:pt>
                <c:pt idx="144">
                  <c:v>1314.0957587755943</c:v>
                </c:pt>
                <c:pt idx="145">
                  <c:v>1327.2540218773029</c:v>
                </c:pt>
                <c:pt idx="146">
                  <c:v>1340.4097827602673</c:v>
                </c:pt>
                <c:pt idx="147">
                  <c:v>1353.5630694060039</c:v>
                </c:pt>
                <c:pt idx="148">
                  <c:v>1366.7139092087127</c:v>
                </c:pt>
                <c:pt idx="149">
                  <c:v>1379.8623289932475</c:v>
                </c:pt>
                <c:pt idx="150">
                  <c:v>1393.0083550323761</c:v>
                </c:pt>
                <c:pt idx="151">
                  <c:v>1406.152013063346</c:v>
                </c:pt>
                <c:pt idx="152">
                  <c:v>1419.2933283038067</c:v>
                </c:pt>
                <c:pt idx="153">
                  <c:v>1432.4323254671108</c:v>
                </c:pt>
                <c:pt idx="154">
                  <c:v>1445.569028777023</c:v>
                </c:pt>
                <c:pt idx="155">
                  <c:v>1458.7034619818724</c:v>
                </c:pt>
                <c:pt idx="156">
                  <c:v>1471.8356483681648</c:v>
                </c:pt>
                <c:pt idx="157">
                  <c:v>1484.965610773688</c:v>
                </c:pt>
                <c:pt idx="158">
                  <c:v>1498.093371600128</c:v>
                </c:pt>
                <c:pt idx="159">
                  <c:v>1511.2189528252218</c:v>
                </c:pt>
                <c:pt idx="160">
                  <c:v>1524.3423760144694</c:v>
                </c:pt>
                <c:pt idx="161">
                  <c:v>3.5643408089459281E-11</c:v>
                </c:pt>
                <c:pt idx="162">
                  <c:v>3.5643408089459281E-11</c:v>
                </c:pt>
                <c:pt idx="163">
                  <c:v>3.5643408089459281E-11</c:v>
                </c:pt>
                <c:pt idx="164">
                  <c:v>3.5643408089459281E-11</c:v>
                </c:pt>
                <c:pt idx="165">
                  <c:v>3.5643408089459281E-11</c:v>
                </c:pt>
                <c:pt idx="166">
                  <c:v>3.5643408089459281E-11</c:v>
                </c:pt>
                <c:pt idx="167">
                  <c:v>3.5643408089459281E-11</c:v>
                </c:pt>
                <c:pt idx="168">
                  <c:v>3.5643408089459281E-11</c:v>
                </c:pt>
                <c:pt idx="169">
                  <c:v>3.5643408089459281E-11</c:v>
                </c:pt>
                <c:pt idx="170">
                  <c:v>3.5643408089459281E-11</c:v>
                </c:pt>
                <c:pt idx="171">
                  <c:v>3.5643408089459281E-11</c:v>
                </c:pt>
                <c:pt idx="172">
                  <c:v>3.5643408089459281E-11</c:v>
                </c:pt>
                <c:pt idx="173">
                  <c:v>3.5643408089459281E-11</c:v>
                </c:pt>
                <c:pt idx="174">
                  <c:v>3.5643408089459281E-11</c:v>
                </c:pt>
                <c:pt idx="175">
                  <c:v>3.5643408089459281E-11</c:v>
                </c:pt>
                <c:pt idx="176">
                  <c:v>3.5643408089459281E-11</c:v>
                </c:pt>
                <c:pt idx="177">
                  <c:v>3.5643408089459281E-11</c:v>
                </c:pt>
                <c:pt idx="178">
                  <c:v>3.5643408089459281E-11</c:v>
                </c:pt>
                <c:pt idx="179">
                  <c:v>3.5643408089459281E-11</c:v>
                </c:pt>
                <c:pt idx="180">
                  <c:v>3.5643408089459281E-11</c:v>
                </c:pt>
                <c:pt idx="181">
                  <c:v>3.5643408089459281E-11</c:v>
                </c:pt>
                <c:pt idx="182">
                  <c:v>3.5643408089459281E-11</c:v>
                </c:pt>
                <c:pt idx="183">
                  <c:v>3.5643408089459281E-11</c:v>
                </c:pt>
                <c:pt idx="184">
                  <c:v>3.5643408089459281E-11</c:v>
                </c:pt>
                <c:pt idx="185">
                  <c:v>3.5643408089459281E-11</c:v>
                </c:pt>
                <c:pt idx="186">
                  <c:v>3.5643408089459281E-11</c:v>
                </c:pt>
                <c:pt idx="187">
                  <c:v>3.5643408089459281E-11</c:v>
                </c:pt>
                <c:pt idx="188">
                  <c:v>3.5643408089459281E-11</c:v>
                </c:pt>
                <c:pt idx="189">
                  <c:v>3.5643408089459281E-11</c:v>
                </c:pt>
                <c:pt idx="190">
                  <c:v>3.5643408089459281E-11</c:v>
                </c:pt>
                <c:pt idx="191">
                  <c:v>3.5643408089459281E-11</c:v>
                </c:pt>
                <c:pt idx="192">
                  <c:v>3.5643408089459281E-11</c:v>
                </c:pt>
                <c:pt idx="193">
                  <c:v>3.5643408089459281E-11</c:v>
                </c:pt>
                <c:pt idx="194">
                  <c:v>3.5643408089459281E-11</c:v>
                </c:pt>
                <c:pt idx="195">
                  <c:v>3.5643408089459281E-11</c:v>
                </c:pt>
                <c:pt idx="196">
                  <c:v>3.5643408089459281E-11</c:v>
                </c:pt>
                <c:pt idx="197">
                  <c:v>3.5643408089459281E-11</c:v>
                </c:pt>
                <c:pt idx="198">
                  <c:v>3.5643408089459281E-11</c:v>
                </c:pt>
                <c:pt idx="199">
                  <c:v>3.5643408089459281E-11</c:v>
                </c:pt>
                <c:pt idx="200">
                  <c:v>3.5643408089459281E-11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8957184"/>
        <c:axId val="-1208964800"/>
      </c:scatterChart>
      <c:valAx>
        <c:axId val="-1208957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64800"/>
        <c:crosses val="autoZero"/>
        <c:crossBetween val="midCat"/>
      </c:valAx>
      <c:valAx>
        <c:axId val="-120896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57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293.44034996889724</c:v>
                </c:pt>
                <c:pt idx="32">
                  <c:v>316.88647637416977</c:v>
                </c:pt>
                <c:pt idx="33">
                  <c:v>340.2941842426967</c:v>
                </c:pt>
                <c:pt idx="34">
                  <c:v>363.66648605477627</c:v>
                </c:pt>
                <c:pt idx="35">
                  <c:v>387.00597559413177</c:v>
                </c:pt>
                <c:pt idx="36">
                  <c:v>289.96337472940422</c:v>
                </c:pt>
                <c:pt idx="37">
                  <c:v>314.28330815365308</c:v>
                </c:pt>
                <c:pt idx="38">
                  <c:v>338.56152844098671</c:v>
                </c:pt>
                <c:pt idx="39">
                  <c:v>362.80144525672239</c:v>
                </c:pt>
                <c:pt idx="40">
                  <c:v>387.00597559413171</c:v>
                </c:pt>
                <c:pt idx="41">
                  <c:v>411.60899407848501</c:v>
                </c:pt>
                <c:pt idx="42">
                  <c:v>436.18028292908167</c:v>
                </c:pt>
                <c:pt idx="43">
                  <c:v>460.72187919832771</c:v>
                </c:pt>
                <c:pt idx="44">
                  <c:v>485.23558538841758</c:v>
                </c:pt>
                <c:pt idx="45">
                  <c:v>509.72300718239194</c:v>
                </c:pt>
                <c:pt idx="46">
                  <c:v>412.90299192267616</c:v>
                </c:pt>
                <c:pt idx="47">
                  <c:v>436.61108755732999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529.46660755485038</c:v>
                </c:pt>
                <c:pt idx="52">
                  <c:v>551.33817074688682</c:v>
                </c:pt>
                <c:pt idx="53">
                  <c:v>573.19155224586348</c:v>
                </c:pt>
                <c:pt idx="54">
                  <c:v>595.02754210367516</c:v>
                </c:pt>
                <c:pt idx="55">
                  <c:v>616.84686771553982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616.41919362679607</c:v>
                </c:pt>
                <c:pt idx="62">
                  <c:v>635.23110191241869</c:v>
                </c:pt>
                <c:pt idx="63">
                  <c:v>654.03150003454277</c:v>
                </c:pt>
                <c:pt idx="64">
                  <c:v>672.82076514505184</c:v>
                </c:pt>
                <c:pt idx="65">
                  <c:v>691.59925163326659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675.80896375991858</c:v>
                </c:pt>
                <c:pt idx="72">
                  <c:v>692.0259128007566</c:v>
                </c:pt>
                <c:pt idx="73">
                  <c:v>708.23507701664573</c:v>
                </c:pt>
                <c:pt idx="74">
                  <c:v>724.43665952870151</c:v>
                </c:pt>
                <c:pt idx="75">
                  <c:v>740.63085363962227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706.10272969198661</c:v>
                </c:pt>
                <c:pt idx="82">
                  <c:v>714.20495271831248</c:v>
                </c:pt>
                <c:pt idx="83">
                  <c:v>722.3052985482658</c:v>
                </c:pt>
                <c:pt idx="84">
                  <c:v>730.40379119725401</c:v>
                </c:pt>
                <c:pt idx="85">
                  <c:v>738.50045410483654</c:v>
                </c:pt>
                <c:pt idx="86">
                  <c:v>746.59531015482787</c:v>
                </c:pt>
                <c:pt idx="87">
                  <c:v>754.68838169448679</c:v>
                </c:pt>
                <c:pt idx="88">
                  <c:v>762.77969055283802</c:v>
                </c:pt>
                <c:pt idx="89">
                  <c:v>770.86925805817725</c:v>
                </c:pt>
                <c:pt idx="90">
                  <c:v>778.95710505480304</c:v>
                </c:pt>
                <c:pt idx="91">
                  <c:v>672.18040143052724</c:v>
                </c:pt>
                <c:pt idx="92">
                  <c:v>684.77193672549231</c:v>
                </c:pt>
                <c:pt idx="93">
                  <c:v>697.3587237894086</c:v>
                </c:pt>
                <c:pt idx="94">
                  <c:v>709.94086035598684</c:v>
                </c:pt>
                <c:pt idx="95">
                  <c:v>722.51844041418644</c:v>
                </c:pt>
                <c:pt idx="96">
                  <c:v>735.09155441574819</c:v>
                </c:pt>
                <c:pt idx="97">
                  <c:v>747.66028946779909</c:v>
                </c:pt>
                <c:pt idx="98">
                  <c:v>760.22472951184307</c:v>
                </c:pt>
                <c:pt idx="99">
                  <c:v>772.78495549031061</c:v>
                </c:pt>
                <c:pt idx="100">
                  <c:v>785.34104550172617</c:v>
                </c:pt>
                <c:pt idx="101">
                  <c:v>679.65053482644407</c:v>
                </c:pt>
                <c:pt idx="102">
                  <c:v>691.17258507143526</c:v>
                </c:pt>
                <c:pt idx="103">
                  <c:v>702.69069984530927</c:v>
                </c:pt>
                <c:pt idx="104">
                  <c:v>714.20495271831214</c:v>
                </c:pt>
                <c:pt idx="105">
                  <c:v>725.71541469625129</c:v>
                </c:pt>
                <c:pt idx="106">
                  <c:v>737.22215434999634</c:v>
                </c:pt>
                <c:pt idx="107">
                  <c:v>748.72523793647258</c:v>
                </c:pt>
                <c:pt idx="108">
                  <c:v>760.22472951184272</c:v>
                </c:pt>
                <c:pt idx="109">
                  <c:v>771.72069103748652</c:v>
                </c:pt>
                <c:pt idx="110">
                  <c:v>783.21318247934141</c:v>
                </c:pt>
                <c:pt idx="111">
                  <c:v>679.86394234557974</c:v>
                </c:pt>
                <c:pt idx="112">
                  <c:v>689.4658648045837</c:v>
                </c:pt>
                <c:pt idx="113">
                  <c:v>699.06504661949828</c:v>
                </c:pt>
                <c:pt idx="114">
                  <c:v>708.66153071735198</c:v>
                </c:pt>
                <c:pt idx="115">
                  <c:v>718.25535876813331</c:v>
                </c:pt>
                <c:pt idx="116">
                  <c:v>727.84657123825548</c:v>
                </c:pt>
                <c:pt idx="117">
                  <c:v>737.43520744105683</c:v>
                </c:pt>
                <c:pt idx="118">
                  <c:v>747.02130558454246</c:v>
                </c:pt>
                <c:pt idx="119">
                  <c:v>756.60490281654575</c:v>
                </c:pt>
                <c:pt idx="120">
                  <c:v>766.18603526748541</c:v>
                </c:pt>
                <c:pt idx="121">
                  <c:v>674.95522047957547</c:v>
                </c:pt>
                <c:pt idx="122">
                  <c:v>683.9184244821223</c:v>
                </c:pt>
                <c:pt idx="123">
                  <c:v>692.87921896789578</c:v>
                </c:pt>
                <c:pt idx="124">
                  <c:v>701.83763948445903</c:v>
                </c:pt>
                <c:pt idx="125">
                  <c:v>710.79372059813011</c:v>
                </c:pt>
                <c:pt idx="126">
                  <c:v>719.74749593335264</c:v>
                </c:pt>
                <c:pt idx="127">
                  <c:v>728.69899821000763</c:v>
                </c:pt>
                <c:pt idx="128">
                  <c:v>737.64825927879849</c:v>
                </c:pt>
                <c:pt idx="129">
                  <c:v>746.59531015482673</c:v>
                </c:pt>
                <c:pt idx="130">
                  <c:v>755.54018104947966</c:v>
                </c:pt>
                <c:pt idx="131">
                  <c:v>670.25923500176987</c:v>
                </c:pt>
                <c:pt idx="132">
                  <c:v>678.79689098808058</c:v>
                </c:pt>
                <c:pt idx="133">
                  <c:v>687.3323426405899</c:v>
                </c:pt>
                <c:pt idx="134">
                  <c:v>695.86562118765835</c:v>
                </c:pt>
                <c:pt idx="135">
                  <c:v>704.39675702944942</c:v>
                </c:pt>
                <c:pt idx="136">
                  <c:v>712.92577976987411</c:v>
                </c:pt>
                <c:pt idx="137">
                  <c:v>721.45271824692497</c:v>
                </c:pt>
                <c:pt idx="138">
                  <c:v>729.97760056150446</c:v>
                </c:pt>
                <c:pt idx="139">
                  <c:v>738.50045410483551</c:v>
                </c:pt>
                <c:pt idx="140">
                  <c:v>747.02130558454235</c:v>
                </c:pt>
                <c:pt idx="141">
                  <c:v>662.78695256584854</c:v>
                </c:pt>
                <c:pt idx="142">
                  <c:v>670.25923500176987</c:v>
                </c:pt>
                <c:pt idx="143">
                  <c:v>677.7298051889702</c:v>
                </c:pt>
                <c:pt idx="144">
                  <c:v>685.19868466154912</c:v>
                </c:pt>
                <c:pt idx="145">
                  <c:v>692.66589444590579</c:v>
                </c:pt>
                <c:pt idx="146">
                  <c:v>700.13145507817001</c:v>
                </c:pt>
                <c:pt idx="147">
                  <c:v>707.59538662085242</c:v>
                </c:pt>
                <c:pt idx="148">
                  <c:v>715.05770867875538</c:v>
                </c:pt>
                <c:pt idx="149">
                  <c:v>722.51844041418553</c:v>
                </c:pt>
                <c:pt idx="150">
                  <c:v>729.97760056150446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35577488"/>
        <c:axId val="-1135576944"/>
      </c:scatterChart>
      <c:valAx>
        <c:axId val="-1135577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5576944"/>
        <c:crosses val="autoZero"/>
        <c:crossBetween val="midCat"/>
      </c:valAx>
      <c:valAx>
        <c:axId val="-113557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557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3.3772547136744788</c:v>
                </c:pt>
                <c:pt idx="2">
                  <c:v>4.2967678594880176</c:v>
                </c:pt>
                <c:pt idx="3">
                  <c:v>5.4676067846813901</c:v>
                </c:pt>
                <c:pt idx="4">
                  <c:v>6.9587152757032529</c:v>
                </c:pt>
                <c:pt idx="5">
                  <c:v>8.8580138850107826</c:v>
                </c:pt>
                <c:pt idx="6">
                  <c:v>11.277639634244201</c:v>
                </c:pt>
                <c:pt idx="7">
                  <c:v>14.360636618031165</c:v>
                </c:pt>
                <c:pt idx="8">
                  <c:v>18.289500324456991</c:v>
                </c:pt>
                <c:pt idx="9">
                  <c:v>23.297090589245332</c:v>
                </c:pt>
                <c:pt idx="10">
                  <c:v>29.68057146585582</c:v>
                </c:pt>
                <c:pt idx="11">
                  <c:v>37.81921965926626</c:v>
                </c:pt>
                <c:pt idx="12">
                  <c:v>48.19717771885275</c:v>
                </c:pt>
                <c:pt idx="13">
                  <c:v>61.432528228223397</c:v>
                </c:pt>
                <c:pt idx="14">
                  <c:v>78.314449088901185</c:v>
                </c:pt>
                <c:pt idx="15">
                  <c:v>99.850701125907918</c:v>
                </c:pt>
                <c:pt idx="16">
                  <c:v>116.89897174448413</c:v>
                </c:pt>
                <c:pt idx="17">
                  <c:v>133.88642258251903</c:v>
                </c:pt>
                <c:pt idx="18">
                  <c:v>150.82187042131599</c:v>
                </c:pt>
                <c:pt idx="19">
                  <c:v>167.71198305973982</c:v>
                </c:pt>
                <c:pt idx="20">
                  <c:v>184.5619720949239</c:v>
                </c:pt>
                <c:pt idx="21">
                  <c:v>203.11349326743402</c:v>
                </c:pt>
                <c:pt idx="22">
                  <c:v>221.62579605478547</c:v>
                </c:pt>
                <c:pt idx="23">
                  <c:v>240.10261755917995</c:v>
                </c:pt>
                <c:pt idx="24">
                  <c:v>258.54707228388605</c:v>
                </c:pt>
                <c:pt idx="25">
                  <c:v>276.96179384034491</c:v>
                </c:pt>
                <c:pt idx="26">
                  <c:v>243.85167521400322</c:v>
                </c:pt>
                <c:pt idx="27">
                  <c:v>262.57774976053264</c:v>
                </c:pt>
                <c:pt idx="28">
                  <c:v>281.27369284448537</c:v>
                </c:pt>
                <c:pt idx="29">
                  <c:v>299.94178861650357</c:v>
                </c:pt>
                <c:pt idx="30">
                  <c:v>318.58401365201161</c:v>
                </c:pt>
                <c:pt idx="31">
                  <c:v>337.20209432169548</c:v>
                </c:pt>
                <c:pt idx="32">
                  <c:v>355.79755081874191</c:v>
                </c:pt>
                <c:pt idx="33">
                  <c:v>374.3717314954622</c:v>
                </c:pt>
                <c:pt idx="34">
                  <c:v>392.9258400268684</c:v>
                </c:pt>
                <c:pt idx="35">
                  <c:v>411.46095717439493</c:v>
                </c:pt>
                <c:pt idx="36">
                  <c:v>371.8011449275146</c:v>
                </c:pt>
                <c:pt idx="37">
                  <c:v>389.21657059846297</c:v>
                </c:pt>
                <c:pt idx="38">
                  <c:v>406.61508881568653</c:v>
                </c:pt>
                <c:pt idx="39">
                  <c:v>423.99752457902804</c:v>
                </c:pt>
                <c:pt idx="40">
                  <c:v>441.36462974946522</c:v>
                </c:pt>
                <c:pt idx="41">
                  <c:v>458.14838448640597</c:v>
                </c:pt>
                <c:pt idx="42">
                  <c:v>474.91901348506599</c:v>
                </c:pt>
                <c:pt idx="43">
                  <c:v>491.67704529866268</c:v>
                </c:pt>
                <c:pt idx="44">
                  <c:v>508.42296952882288</c:v>
                </c:pt>
                <c:pt idx="45">
                  <c:v>525.15724091093227</c:v>
                </c:pt>
                <c:pt idx="46">
                  <c:v>477.47612507891745</c:v>
                </c:pt>
                <c:pt idx="47">
                  <c:v>493.66447372874353</c:v>
                </c:pt>
                <c:pt idx="48">
                  <c:v>509.8415739022771</c:v>
                </c:pt>
                <c:pt idx="49">
                  <c:v>526.00783260338721</c:v>
                </c:pt>
                <c:pt idx="50">
                  <c:v>542.16362979037581</c:v>
                </c:pt>
                <c:pt idx="51">
                  <c:v>556.89342796507697</c:v>
                </c:pt>
                <c:pt idx="52">
                  <c:v>571.6150692872651</c:v>
                </c:pt>
                <c:pt idx="53">
                  <c:v>586.32879332816992</c:v>
                </c:pt>
                <c:pt idx="54">
                  <c:v>601.03482666056959</c:v>
                </c:pt>
                <c:pt idx="55">
                  <c:v>615.73338387142678</c:v>
                </c:pt>
                <c:pt idx="56">
                  <c:v>566.23693830963157</c:v>
                </c:pt>
                <c:pt idx="57">
                  <c:v>580.38765073467152</c:v>
                </c:pt>
                <c:pt idx="58">
                  <c:v>594.53116952634855</c:v>
                </c:pt>
                <c:pt idx="59">
                  <c:v>608.66768984795328</c:v>
                </c:pt>
                <c:pt idx="60">
                  <c:v>622.79739706253974</c:v>
                </c:pt>
                <c:pt idx="61">
                  <c:v>636.07326727743282</c:v>
                </c:pt>
                <c:pt idx="62">
                  <c:v>649.34341284125583</c:v>
                </c:pt>
                <c:pt idx="63">
                  <c:v>662.60796717156165</c:v>
                </c:pt>
                <c:pt idx="64">
                  <c:v>675.86705791145528</c:v>
                </c:pt>
                <c:pt idx="65">
                  <c:v>689.12080729025513</c:v>
                </c:pt>
                <c:pt idx="66">
                  <c:v>636.63806997546692</c:v>
                </c:pt>
                <c:pt idx="67">
                  <c:v>649.0611279967776</c:v>
                </c:pt>
                <c:pt idx="68">
                  <c:v>661.47928339719647</c:v>
                </c:pt>
                <c:pt idx="69">
                  <c:v>673.89264114423111</c:v>
                </c:pt>
                <c:pt idx="70">
                  <c:v>686.30130202483963</c:v>
                </c:pt>
                <c:pt idx="71">
                  <c:v>697.85977566570898</c:v>
                </c:pt>
                <c:pt idx="72">
                  <c:v>709.41433066042237</c:v>
                </c:pt>
                <c:pt idx="73">
                  <c:v>720.96503979890667</c:v>
                </c:pt>
                <c:pt idx="74">
                  <c:v>732.51197334972142</c:v>
                </c:pt>
                <c:pt idx="75">
                  <c:v>744.05519918659684</c:v>
                </c:pt>
                <c:pt idx="76">
                  <c:v>693.06771762279084</c:v>
                </c:pt>
                <c:pt idx="77">
                  <c:v>704.06026329742792</c:v>
                </c:pt>
                <c:pt idx="78">
                  <c:v>715.04929895811983</c:v>
                </c:pt>
                <c:pt idx="79">
                  <c:v>726.03488612685931</c:v>
                </c:pt>
                <c:pt idx="80">
                  <c:v>737.01708431293127</c:v>
                </c:pt>
                <c:pt idx="81">
                  <c:v>747.43301244957559</c:v>
                </c:pt>
                <c:pt idx="82">
                  <c:v>757.84598978527254</c:v>
                </c:pt>
                <c:pt idx="83">
                  <c:v>768.25606256019353</c:v>
                </c:pt>
                <c:pt idx="84">
                  <c:v>778.66327565983192</c:v>
                </c:pt>
                <c:pt idx="85">
                  <c:v>789.06767267264468</c:v>
                </c:pt>
                <c:pt idx="86">
                  <c:v>739.83249369369844</c:v>
                </c:pt>
                <c:pt idx="87">
                  <c:v>749.68471543031399</c:v>
                </c:pt>
                <c:pt idx="88">
                  <c:v>759.53430581236807</c:v>
                </c:pt>
                <c:pt idx="89">
                  <c:v>769.38130375816002</c:v>
                </c:pt>
                <c:pt idx="90">
                  <c:v>779.2257471090237</c:v>
                </c:pt>
                <c:pt idx="91">
                  <c:v>788.22417680699812</c:v>
                </c:pt>
                <c:pt idx="92">
                  <c:v>797.22052925532444</c:v>
                </c:pt>
                <c:pt idx="93">
                  <c:v>806.21483118898334</c:v>
                </c:pt>
                <c:pt idx="94">
                  <c:v>815.20710869807328</c:v>
                </c:pt>
                <c:pt idx="95">
                  <c:v>824.19738725046011</c:v>
                </c:pt>
                <c:pt idx="96">
                  <c:v>833.18569171338368</c:v>
                </c:pt>
                <c:pt idx="97">
                  <c:v>842.17204637408815</c:v>
                </c:pt>
                <c:pt idx="98">
                  <c:v>851.15647495952328</c:v>
                </c:pt>
                <c:pt idx="99">
                  <c:v>860.13900065517373</c:v>
                </c:pt>
                <c:pt idx="100">
                  <c:v>869.11964612305974</c:v>
                </c:pt>
                <c:pt idx="101">
                  <c:v>795.81498502259171</c:v>
                </c:pt>
                <c:pt idx="102">
                  <c:v>803.96644650371218</c:v>
                </c:pt>
                <c:pt idx="103">
                  <c:v>812.11624004649605</c:v>
                </c:pt>
                <c:pt idx="104">
                  <c:v>820.26438474191639</c:v>
                </c:pt>
                <c:pt idx="105">
                  <c:v>828.4108992709015</c:v>
                </c:pt>
                <c:pt idx="106">
                  <c:v>836.55580191717183</c:v>
                </c:pt>
                <c:pt idx="107">
                  <c:v>844.69911057955653</c:v>
                </c:pt>
                <c:pt idx="108">
                  <c:v>852.84084278380305</c:v>
                </c:pt>
                <c:pt idx="109">
                  <c:v>860.98101569391929</c:v>
                </c:pt>
                <c:pt idx="110">
                  <c:v>869.11964612306008</c:v>
                </c:pt>
                <c:pt idx="111">
                  <c:v>826.02329556609129</c:v>
                </c:pt>
                <c:pt idx="112">
                  <c:v>833.46654468526651</c:v>
                </c:pt>
                <c:pt idx="113">
                  <c:v>840.90845717188529</c:v>
                </c:pt>
                <c:pt idx="114">
                  <c:v>848.34904651767295</c:v>
                </c:pt>
                <c:pt idx="115">
                  <c:v>855.7883259584986</c:v>
                </c:pt>
                <c:pt idx="116">
                  <c:v>863.22630848145525</c:v>
                </c:pt>
                <c:pt idx="117">
                  <c:v>870.66300683168447</c:v>
                </c:pt>
                <c:pt idx="118">
                  <c:v>878.09843351895722</c:v>
                </c:pt>
                <c:pt idx="119">
                  <c:v>885.53260082401732</c:v>
                </c:pt>
                <c:pt idx="120">
                  <c:v>892.9655208047044</c:v>
                </c:pt>
                <c:pt idx="121">
                  <c:v>853.40228388530784</c:v>
                </c:pt>
                <c:pt idx="122">
                  <c:v>860.13900065517453</c:v>
                </c:pt>
                <c:pt idx="123">
                  <c:v>866.87465980730383</c:v>
                </c:pt>
                <c:pt idx="124">
                  <c:v>873.60927071459139</c:v>
                </c:pt>
                <c:pt idx="125">
                  <c:v>880.34284259370179</c:v>
                </c:pt>
                <c:pt idx="126">
                  <c:v>887.07538450887375</c:v>
                </c:pt>
                <c:pt idx="127">
                  <c:v>893.80690537560201</c:v>
                </c:pt>
                <c:pt idx="128">
                  <c:v>900.53741396420526</c:v>
                </c:pt>
                <c:pt idx="129">
                  <c:v>907.26691890328038</c:v>
                </c:pt>
                <c:pt idx="130">
                  <c:v>913.99542868304798</c:v>
                </c:pt>
                <c:pt idx="131">
                  <c:v>1.244157220835691E-11</c:v>
                </c:pt>
                <c:pt idx="132">
                  <c:v>1.244157220835691E-11</c:v>
                </c:pt>
                <c:pt idx="133">
                  <c:v>1.244157220835691E-11</c:v>
                </c:pt>
                <c:pt idx="134">
                  <c:v>1.244157220835691E-11</c:v>
                </c:pt>
                <c:pt idx="135">
                  <c:v>1.244157220835691E-11</c:v>
                </c:pt>
                <c:pt idx="136">
                  <c:v>1.244157220835691E-11</c:v>
                </c:pt>
                <c:pt idx="137">
                  <c:v>1.244157220835691E-11</c:v>
                </c:pt>
                <c:pt idx="138">
                  <c:v>1.244157220835691E-11</c:v>
                </c:pt>
                <c:pt idx="139">
                  <c:v>1.244157220835691E-11</c:v>
                </c:pt>
                <c:pt idx="140">
                  <c:v>1.244157220835691E-11</c:v>
                </c:pt>
                <c:pt idx="141">
                  <c:v>1.244157220835691E-11</c:v>
                </c:pt>
                <c:pt idx="142">
                  <c:v>1.244157220835691E-11</c:v>
                </c:pt>
                <c:pt idx="143">
                  <c:v>1.244157220835691E-11</c:v>
                </c:pt>
                <c:pt idx="144">
                  <c:v>1.244157220835691E-11</c:v>
                </c:pt>
                <c:pt idx="145">
                  <c:v>1.244157220835691E-11</c:v>
                </c:pt>
                <c:pt idx="146">
                  <c:v>1.244157220835691E-11</c:v>
                </c:pt>
                <c:pt idx="147">
                  <c:v>1.244157220835691E-11</c:v>
                </c:pt>
                <c:pt idx="148">
                  <c:v>1.244157220835691E-11</c:v>
                </c:pt>
                <c:pt idx="149">
                  <c:v>1.244157220835691E-11</c:v>
                </c:pt>
                <c:pt idx="150">
                  <c:v>1.244157220835691E-11</c:v>
                </c:pt>
                <c:pt idx="151">
                  <c:v>1.244157220835691E-11</c:v>
                </c:pt>
                <c:pt idx="152">
                  <c:v>1.244157220835691E-11</c:v>
                </c:pt>
                <c:pt idx="153">
                  <c:v>1.244157220835691E-11</c:v>
                </c:pt>
                <c:pt idx="154">
                  <c:v>1.244157220835691E-11</c:v>
                </c:pt>
                <c:pt idx="155">
                  <c:v>1.244157220835691E-11</c:v>
                </c:pt>
                <c:pt idx="156">
                  <c:v>1.244157220835691E-11</c:v>
                </c:pt>
                <c:pt idx="157">
                  <c:v>1.244157220835691E-11</c:v>
                </c:pt>
                <c:pt idx="158">
                  <c:v>1.244157220835691E-11</c:v>
                </c:pt>
                <c:pt idx="159">
                  <c:v>1.244157220835691E-11</c:v>
                </c:pt>
                <c:pt idx="160">
                  <c:v>1.244157220835691E-11</c:v>
                </c:pt>
                <c:pt idx="161">
                  <c:v>1.244157220835691E-11</c:v>
                </c:pt>
                <c:pt idx="162">
                  <c:v>1.244157220835691E-11</c:v>
                </c:pt>
                <c:pt idx="163">
                  <c:v>1.244157220835691E-11</c:v>
                </c:pt>
                <c:pt idx="164">
                  <c:v>1.244157220835691E-11</c:v>
                </c:pt>
                <c:pt idx="165">
                  <c:v>1.244157220835691E-11</c:v>
                </c:pt>
                <c:pt idx="166">
                  <c:v>1.244157220835691E-11</c:v>
                </c:pt>
                <c:pt idx="167">
                  <c:v>1.244157220835691E-11</c:v>
                </c:pt>
                <c:pt idx="168">
                  <c:v>1.244157220835691E-11</c:v>
                </c:pt>
                <c:pt idx="169">
                  <c:v>1.244157220835691E-11</c:v>
                </c:pt>
                <c:pt idx="170">
                  <c:v>1.244157220835691E-11</c:v>
                </c:pt>
                <c:pt idx="171">
                  <c:v>1.244157220835691E-11</c:v>
                </c:pt>
                <c:pt idx="172">
                  <c:v>1.244157220835691E-11</c:v>
                </c:pt>
                <c:pt idx="173">
                  <c:v>1.244157220835691E-11</c:v>
                </c:pt>
                <c:pt idx="174">
                  <c:v>1.244157220835691E-11</c:v>
                </c:pt>
                <c:pt idx="175">
                  <c:v>1.244157220835691E-11</c:v>
                </c:pt>
                <c:pt idx="176">
                  <c:v>1.244157220835691E-11</c:v>
                </c:pt>
                <c:pt idx="177">
                  <c:v>1.244157220835691E-11</c:v>
                </c:pt>
                <c:pt idx="178">
                  <c:v>1.244157220835691E-11</c:v>
                </c:pt>
                <c:pt idx="179">
                  <c:v>1.244157220835691E-11</c:v>
                </c:pt>
                <c:pt idx="180">
                  <c:v>1.244157220835691E-11</c:v>
                </c:pt>
                <c:pt idx="181">
                  <c:v>1.244157220835691E-11</c:v>
                </c:pt>
                <c:pt idx="182">
                  <c:v>1.244157220835691E-11</c:v>
                </c:pt>
                <c:pt idx="183">
                  <c:v>1.244157220835691E-11</c:v>
                </c:pt>
                <c:pt idx="184">
                  <c:v>1.244157220835691E-11</c:v>
                </c:pt>
                <c:pt idx="185">
                  <c:v>1.244157220835691E-11</c:v>
                </c:pt>
                <c:pt idx="186">
                  <c:v>1.244157220835691E-11</c:v>
                </c:pt>
                <c:pt idx="187">
                  <c:v>1.244157220835691E-11</c:v>
                </c:pt>
                <c:pt idx="188">
                  <c:v>1.244157220835691E-11</c:v>
                </c:pt>
                <c:pt idx="189">
                  <c:v>1.244157220835691E-11</c:v>
                </c:pt>
                <c:pt idx="190">
                  <c:v>1.244157220835691E-11</c:v>
                </c:pt>
                <c:pt idx="191">
                  <c:v>1.244157220835691E-11</c:v>
                </c:pt>
                <c:pt idx="192">
                  <c:v>1.244157220835691E-11</c:v>
                </c:pt>
                <c:pt idx="193">
                  <c:v>1.244157220835691E-11</c:v>
                </c:pt>
                <c:pt idx="194">
                  <c:v>1.244157220835691E-11</c:v>
                </c:pt>
                <c:pt idx="195">
                  <c:v>1.244157220835691E-11</c:v>
                </c:pt>
                <c:pt idx="196">
                  <c:v>1.244157220835691E-11</c:v>
                </c:pt>
                <c:pt idx="197">
                  <c:v>1.244157220835691E-11</c:v>
                </c:pt>
                <c:pt idx="198">
                  <c:v>1.244157220835691E-11</c:v>
                </c:pt>
                <c:pt idx="199">
                  <c:v>1.244157220835691E-11</c:v>
                </c:pt>
                <c:pt idx="200">
                  <c:v>1.244157220835691E-11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35576400"/>
        <c:axId val="-1135575856"/>
      </c:scatterChart>
      <c:valAx>
        <c:axId val="-1135576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5575856"/>
        <c:crosses val="autoZero"/>
        <c:crossBetween val="midCat"/>
      </c:valAx>
      <c:valAx>
        <c:axId val="-113557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5576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1.5384665374408568</c:v>
                </c:pt>
                <c:pt idx="2">
                  <c:v>2.0410290526904595</c:v>
                </c:pt>
                <c:pt idx="3">
                  <c:v>2.7084514253702654</c:v>
                </c:pt>
                <c:pt idx="4">
                  <c:v>3.5950279806223207</c:v>
                </c:pt>
                <c:pt idx="5">
                  <c:v>4.7730001438551382</c:v>
                </c:pt>
                <c:pt idx="6">
                  <c:v>6.3385091788142338</c:v>
                </c:pt>
                <c:pt idx="7">
                  <c:v>8.4195295563536181</c:v>
                </c:pt>
                <c:pt idx="8">
                  <c:v>11.186443856860672</c:v>
                </c:pt>
                <c:pt idx="9">
                  <c:v>14.866141218069309</c:v>
                </c:pt>
                <c:pt idx="10">
                  <c:v>19.760816596873635</c:v>
                </c:pt>
                <c:pt idx="11">
                  <c:v>26.273042436960285</c:v>
                </c:pt>
                <c:pt idx="12">
                  <c:v>34.939211031849304</c:v>
                </c:pt>
                <c:pt idx="13">
                  <c:v>46.474149473244744</c:v>
                </c:pt>
                <c:pt idx="14">
                  <c:v>61.830649110737674</c:v>
                </c:pt>
                <c:pt idx="15">
                  <c:v>82.278907524210339</c:v>
                </c:pt>
                <c:pt idx="16">
                  <c:v>109.12268312554501</c:v>
                </c:pt>
                <c:pt idx="17">
                  <c:v>135.8029524994362</c:v>
                </c:pt>
                <c:pt idx="18">
                  <c:v>162.35657209109104</c:v>
                </c:pt>
                <c:pt idx="19">
                  <c:v>188.80723633070045</c:v>
                </c:pt>
                <c:pt idx="20">
                  <c:v>215.17141886562376</c:v>
                </c:pt>
                <c:pt idx="21">
                  <c:v>163.50860260621906</c:v>
                </c:pt>
                <c:pt idx="22">
                  <c:v>198.9421032796289</c:v>
                </c:pt>
                <c:pt idx="23">
                  <c:v>234.22884381043556</c:v>
                </c:pt>
                <c:pt idx="24">
                  <c:v>269.39407630911188</c:v>
                </c:pt>
                <c:pt idx="25">
                  <c:v>304.45589591900699</c:v>
                </c:pt>
                <c:pt idx="26">
                  <c:v>342.82617852900449</c:v>
                </c:pt>
                <c:pt idx="27">
                  <c:v>381.10203972495589</c:v>
                </c:pt>
                <c:pt idx="28">
                  <c:v>419.29428438252631</c:v>
                </c:pt>
                <c:pt idx="29">
                  <c:v>457.41158846722027</c:v>
                </c:pt>
                <c:pt idx="30">
                  <c:v>495.46106473238001</c:v>
                </c:pt>
                <c:pt idx="31">
                  <c:v>361.69235260930515</c:v>
                </c:pt>
                <c:pt idx="32">
                  <c:v>398.98509633385493</c:v>
                </c:pt>
                <c:pt idx="33">
                  <c:v>436.20237569620281</c:v>
                </c:pt>
                <c:pt idx="34">
                  <c:v>473.35152471904604</c:v>
                </c:pt>
                <c:pt idx="35">
                  <c:v>510.43863317585971</c:v>
                </c:pt>
                <c:pt idx="36">
                  <c:v>544.66540621154786</c:v>
                </c:pt>
                <c:pt idx="37">
                  <c:v>578.84705413549989</c:v>
                </c:pt>
                <c:pt idx="38">
                  <c:v>612.98661168990691</c:v>
                </c:pt>
                <c:pt idx="39">
                  <c:v>647.08674851073545</c:v>
                </c:pt>
                <c:pt idx="40">
                  <c:v>681.1498303567746</c:v>
                </c:pt>
                <c:pt idx="41">
                  <c:v>542.04859976654893</c:v>
                </c:pt>
                <c:pt idx="42">
                  <c:v>572.68634410740231</c:v>
                </c:pt>
                <c:pt idx="43">
                  <c:v>603.28987317463441</c:v>
                </c:pt>
                <c:pt idx="44">
                  <c:v>633.86116398753336</c:v>
                </c:pt>
                <c:pt idx="45">
                  <c:v>664.40198758336282</c:v>
                </c:pt>
                <c:pt idx="46">
                  <c:v>691.56643132007378</c:v>
                </c:pt>
                <c:pt idx="47">
                  <c:v>718.70901888085393</c:v>
                </c:pt>
                <c:pt idx="48">
                  <c:v>745.83069057271587</c:v>
                </c:pt>
                <c:pt idx="49">
                  <c:v>772.93231284169144</c:v>
                </c:pt>
                <c:pt idx="50">
                  <c:v>800.01468651186451</c:v>
                </c:pt>
                <c:pt idx="51">
                  <c:v>696.77352288630311</c:v>
                </c:pt>
                <c:pt idx="52">
                  <c:v>720.75314982383179</c:v>
                </c:pt>
                <c:pt idx="53">
                  <c:v>744.71650206348056</c:v>
                </c:pt>
                <c:pt idx="54">
                  <c:v>768.66417628711076</c:v>
                </c:pt>
                <c:pt idx="55">
                  <c:v>792.59672901726719</c:v>
                </c:pt>
                <c:pt idx="56">
                  <c:v>813.36352001271553</c:v>
                </c:pt>
                <c:pt idx="57">
                  <c:v>834.11962528307231</c:v>
                </c:pt>
                <c:pt idx="58">
                  <c:v>854.86534783112836</c:v>
                </c:pt>
                <c:pt idx="59">
                  <c:v>875.60097477362194</c:v>
                </c:pt>
                <c:pt idx="60">
                  <c:v>896.32677853812675</c:v>
                </c:pt>
                <c:pt idx="61">
                  <c:v>818.36818972776337</c:v>
                </c:pt>
                <c:pt idx="62">
                  <c:v>835.78707199587973</c:v>
                </c:pt>
                <c:pt idx="63">
                  <c:v>853.19865759630011</c:v>
                </c:pt>
                <c:pt idx="64">
                  <c:v>870.60311624440658</c:v>
                </c:pt>
                <c:pt idx="65">
                  <c:v>888.00061032448593</c:v>
                </c:pt>
                <c:pt idx="66">
                  <c:v>902.61663641165171</c:v>
                </c:pt>
                <c:pt idx="67">
                  <c:v>917.22794203920114</c:v>
                </c:pt>
                <c:pt idx="68">
                  <c:v>931.83461292042421</c:v>
                </c:pt>
                <c:pt idx="69">
                  <c:v>946.43673186525405</c:v>
                </c:pt>
                <c:pt idx="70">
                  <c:v>961.03437892280215</c:v>
                </c:pt>
                <c:pt idx="71">
                  <c:v>898.17682790718925</c:v>
                </c:pt>
                <c:pt idx="72">
                  <c:v>910.20030279893115</c:v>
                </c:pt>
                <c:pt idx="73">
                  <c:v>922.2206124786162</c:v>
                </c:pt>
                <c:pt idx="74">
                  <c:v>934.2378039795376</c:v>
                </c:pt>
                <c:pt idx="75">
                  <c:v>946.25192302744745</c:v>
                </c:pt>
                <c:pt idx="76">
                  <c:v>924.80919254003209</c:v>
                </c:pt>
                <c:pt idx="77">
                  <c:v>933.86809028619166</c:v>
                </c:pt>
                <c:pt idx="78">
                  <c:v>942.92524124330578</c:v>
                </c:pt>
                <c:pt idx="79">
                  <c:v>951.98066454281752</c:v>
                </c:pt>
                <c:pt idx="80">
                  <c:v>961.03437892280181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8956096"/>
        <c:axId val="-1208955552"/>
      </c:scatterChart>
      <c:valAx>
        <c:axId val="-120895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55552"/>
        <c:crosses val="autoZero"/>
        <c:crossBetween val="midCat"/>
      </c:valAx>
      <c:valAx>
        <c:axId val="-120895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5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236.15567000087898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283.45438999358515</c:v>
                </c:pt>
                <c:pt idx="66">
                  <c:v>293.8022675095666</c:v>
                </c:pt>
                <c:pt idx="67">
                  <c:v>304.14201262042309</c:v>
                </c:pt>
                <c:pt idx="68">
                  <c:v>314.47394093474492</c:v>
                </c:pt>
                <c:pt idx="69">
                  <c:v>324.7983456175059</c:v>
                </c:pt>
                <c:pt idx="70">
                  <c:v>335.1154996641738</c:v>
                </c:pt>
                <c:pt idx="71">
                  <c:v>345.42565787999416</c:v>
                </c:pt>
                <c:pt idx="72">
                  <c:v>355.72905861051328</c:v>
                </c:pt>
                <c:pt idx="73">
                  <c:v>366.02592526105167</c:v>
                </c:pt>
                <c:pt idx="74">
                  <c:v>281.90576500782737</c:v>
                </c:pt>
                <c:pt idx="75">
                  <c:v>291.46151941530621</c:v>
                </c:pt>
                <c:pt idx="76">
                  <c:v>301.01027742846838</c:v>
                </c:pt>
                <c:pt idx="77">
                  <c:v>310.55229243957808</c:v>
                </c:pt>
                <c:pt idx="78">
                  <c:v>320.08780098731569</c:v>
                </c:pt>
                <c:pt idx="79">
                  <c:v>329.61702435733633</c:v>
                </c:pt>
                <c:pt idx="80">
                  <c:v>339.14016998796063</c:v>
                </c:pt>
                <c:pt idx="81">
                  <c:v>348.65743270964475</c:v>
                </c:pt>
                <c:pt idx="82">
                  <c:v>358.16899584197949</c:v>
                </c:pt>
                <c:pt idx="83">
                  <c:v>367.67503216802265</c:v>
                </c:pt>
                <c:pt idx="84">
                  <c:v>377.17570480256512</c:v>
                </c:pt>
                <c:pt idx="85">
                  <c:v>386.67116796831169</c:v>
                </c:pt>
                <c:pt idx="86">
                  <c:v>310.25502677283106</c:v>
                </c:pt>
                <c:pt idx="87">
                  <c:v>318.98740593712245</c:v>
                </c:pt>
                <c:pt idx="88">
                  <c:v>327.714493945801</c:v>
                </c:pt>
                <c:pt idx="89">
                  <c:v>336.43645167959869</c:v>
                </c:pt>
                <c:pt idx="90">
                  <c:v>345.1534309907932</c:v>
                </c:pt>
                <c:pt idx="91">
                  <c:v>353.86557543008013</c:v>
                </c:pt>
                <c:pt idx="92">
                  <c:v>362.57302089808542</c:v>
                </c:pt>
                <c:pt idx="93">
                  <c:v>371.27589623099425</c:v>
                </c:pt>
                <c:pt idx="94">
                  <c:v>379.97432372837596</c:v>
                </c:pt>
                <c:pt idx="95">
                  <c:v>388.66841963013377</c:v>
                </c:pt>
                <c:pt idx="96">
                  <c:v>397.3582945485353</c:v>
                </c:pt>
                <c:pt idx="97">
                  <c:v>406.04405386046125</c:v>
                </c:pt>
                <c:pt idx="98">
                  <c:v>334.41940603910399</c:v>
                </c:pt>
                <c:pt idx="99">
                  <c:v>342.29956794326108</c:v>
                </c:pt>
                <c:pt idx="100">
                  <c:v>350.17574235486956</c:v>
                </c:pt>
                <c:pt idx="101">
                  <c:v>358.04803168315993</c:v>
                </c:pt>
                <c:pt idx="102">
                  <c:v>365.91653346305429</c:v>
                </c:pt>
                <c:pt idx="103">
                  <c:v>373.781340689297</c:v>
                </c:pt>
                <c:pt idx="104">
                  <c:v>381.64254212098012</c:v>
                </c:pt>
                <c:pt idx="105">
                  <c:v>389.50022255965609</c:v>
                </c:pt>
                <c:pt idx="106">
                  <c:v>397.35446310382622</c:v>
                </c:pt>
                <c:pt idx="107">
                  <c:v>405.20534138224843</c:v>
                </c:pt>
                <c:pt idx="108">
                  <c:v>413.05293176821192</c:v>
                </c:pt>
                <c:pt idx="109">
                  <c:v>420.89730557667355</c:v>
                </c:pt>
                <c:pt idx="110">
                  <c:v>347.55719193287524</c:v>
                </c:pt>
                <c:pt idx="111">
                  <c:v>354.63762505887559</c:v>
                </c:pt>
                <c:pt idx="112">
                  <c:v>361.71496177810758</c:v>
                </c:pt>
                <c:pt idx="113">
                  <c:v>368.78927127528988</c:v>
                </c:pt>
                <c:pt idx="114">
                  <c:v>375.86061986197689</c:v>
                </c:pt>
                <c:pt idx="115">
                  <c:v>382.92907114888561</c:v>
                </c:pt>
                <c:pt idx="116">
                  <c:v>389.99468620482668</c:v>
                </c:pt>
                <c:pt idx="117">
                  <c:v>397.05752370351041</c:v>
                </c:pt>
                <c:pt idx="118">
                  <c:v>404.11764005935646</c:v>
                </c:pt>
                <c:pt idx="119">
                  <c:v>411.17508955331374</c:v>
                </c:pt>
                <c:pt idx="120">
                  <c:v>418.22992444958618</c:v>
                </c:pt>
                <c:pt idx="121">
                  <c:v>425.28219510406808</c:v>
                </c:pt>
                <c:pt idx="122">
                  <c:v>218.53842409777147</c:v>
                </c:pt>
                <c:pt idx="123">
                  <c:v>219.1255035361672</c:v>
                </c:pt>
                <c:pt idx="124">
                  <c:v>219.71254682592908</c:v>
                </c:pt>
                <c:pt idx="125">
                  <c:v>220.29955407759803</c:v>
                </c:pt>
                <c:pt idx="126">
                  <c:v>220.88652540107549</c:v>
                </c:pt>
                <c:pt idx="127">
                  <c:v>221.47346090562971</c:v>
                </c:pt>
                <c:pt idx="128">
                  <c:v>222.06036069990031</c:v>
                </c:pt>
                <c:pt idx="129">
                  <c:v>222.64722489190419</c:v>
                </c:pt>
                <c:pt idx="130">
                  <c:v>223.23405358904037</c:v>
                </c:pt>
                <c:pt idx="131">
                  <c:v>223.8208468980954</c:v>
                </c:pt>
                <c:pt idx="132">
                  <c:v>4.8565452596705266E-12</c:v>
                </c:pt>
                <c:pt idx="133">
                  <c:v>4.8565452596705266E-12</c:v>
                </c:pt>
                <c:pt idx="134">
                  <c:v>4.8565452596705266E-12</c:v>
                </c:pt>
                <c:pt idx="135">
                  <c:v>4.8565452596705266E-12</c:v>
                </c:pt>
                <c:pt idx="136">
                  <c:v>4.8565452596705266E-12</c:v>
                </c:pt>
                <c:pt idx="137">
                  <c:v>4.8565452596705266E-12</c:v>
                </c:pt>
                <c:pt idx="138">
                  <c:v>4.8565452596705266E-12</c:v>
                </c:pt>
                <c:pt idx="139">
                  <c:v>4.8565452596705266E-12</c:v>
                </c:pt>
                <c:pt idx="140">
                  <c:v>4.8565452596705266E-12</c:v>
                </c:pt>
                <c:pt idx="141">
                  <c:v>4.8565452596705266E-12</c:v>
                </c:pt>
                <c:pt idx="142">
                  <c:v>4.8565452596705266E-12</c:v>
                </c:pt>
                <c:pt idx="143">
                  <c:v>4.8565452596705266E-12</c:v>
                </c:pt>
                <c:pt idx="144">
                  <c:v>4.8565452596705266E-12</c:v>
                </c:pt>
                <c:pt idx="145">
                  <c:v>4.8565452596705266E-12</c:v>
                </c:pt>
                <c:pt idx="146">
                  <c:v>4.8565452596705266E-12</c:v>
                </c:pt>
                <c:pt idx="147">
                  <c:v>4.8565452596705266E-12</c:v>
                </c:pt>
                <c:pt idx="148">
                  <c:v>4.8565452596705266E-12</c:v>
                </c:pt>
                <c:pt idx="149">
                  <c:v>4.8565452596705266E-12</c:v>
                </c:pt>
                <c:pt idx="150">
                  <c:v>4.8565452596705266E-12</c:v>
                </c:pt>
                <c:pt idx="151">
                  <c:v>4.8565452596705266E-12</c:v>
                </c:pt>
                <c:pt idx="152">
                  <c:v>4.8565452596705266E-12</c:v>
                </c:pt>
                <c:pt idx="153">
                  <c:v>4.8565452596705266E-12</c:v>
                </c:pt>
                <c:pt idx="154">
                  <c:v>4.8565452596705266E-12</c:v>
                </c:pt>
                <c:pt idx="155">
                  <c:v>4.8565452596705266E-12</c:v>
                </c:pt>
                <c:pt idx="156">
                  <c:v>4.8565452596705266E-12</c:v>
                </c:pt>
                <c:pt idx="157">
                  <c:v>4.8565452596705266E-12</c:v>
                </c:pt>
                <c:pt idx="158">
                  <c:v>4.8565452596705266E-12</c:v>
                </c:pt>
                <c:pt idx="159">
                  <c:v>4.8565452596705266E-12</c:v>
                </c:pt>
                <c:pt idx="160">
                  <c:v>4.8565452596705266E-12</c:v>
                </c:pt>
                <c:pt idx="161">
                  <c:v>4.8565452596705266E-12</c:v>
                </c:pt>
                <c:pt idx="162">
                  <c:v>4.8565452596705266E-12</c:v>
                </c:pt>
                <c:pt idx="163">
                  <c:v>4.8565452596705266E-12</c:v>
                </c:pt>
                <c:pt idx="164">
                  <c:v>4.8565452596705266E-12</c:v>
                </c:pt>
                <c:pt idx="165">
                  <c:v>4.8565452596705266E-12</c:v>
                </c:pt>
                <c:pt idx="166">
                  <c:v>4.8565452596705266E-12</c:v>
                </c:pt>
                <c:pt idx="167">
                  <c:v>4.8565452596705266E-12</c:v>
                </c:pt>
                <c:pt idx="168">
                  <c:v>4.8565452596705266E-12</c:v>
                </c:pt>
                <c:pt idx="169">
                  <c:v>4.8565452596705266E-12</c:v>
                </c:pt>
                <c:pt idx="170">
                  <c:v>4.8565452596705266E-12</c:v>
                </c:pt>
                <c:pt idx="171">
                  <c:v>4.8565452596705266E-12</c:v>
                </c:pt>
                <c:pt idx="172">
                  <c:v>4.8565452596705266E-12</c:v>
                </c:pt>
                <c:pt idx="173">
                  <c:v>4.8565452596705266E-12</c:v>
                </c:pt>
                <c:pt idx="174">
                  <c:v>4.8565452596705266E-12</c:v>
                </c:pt>
                <c:pt idx="175">
                  <c:v>4.8565452596705266E-12</c:v>
                </c:pt>
                <c:pt idx="176">
                  <c:v>4.8565452596705266E-12</c:v>
                </c:pt>
                <c:pt idx="177">
                  <c:v>4.8565452596705266E-12</c:v>
                </c:pt>
                <c:pt idx="178">
                  <c:v>4.8565452596705266E-12</c:v>
                </c:pt>
                <c:pt idx="179">
                  <c:v>4.8565452596705266E-12</c:v>
                </c:pt>
                <c:pt idx="180">
                  <c:v>4.8565452596705266E-12</c:v>
                </c:pt>
                <c:pt idx="181">
                  <c:v>4.8565452596705266E-12</c:v>
                </c:pt>
                <c:pt idx="182">
                  <c:v>4.8565452596705266E-12</c:v>
                </c:pt>
                <c:pt idx="183">
                  <c:v>4.8565452596705266E-12</c:v>
                </c:pt>
                <c:pt idx="184">
                  <c:v>4.8565452596705266E-12</c:v>
                </c:pt>
                <c:pt idx="185">
                  <c:v>4.8565452596705266E-12</c:v>
                </c:pt>
                <c:pt idx="186">
                  <c:v>4.8565452596705266E-12</c:v>
                </c:pt>
                <c:pt idx="187">
                  <c:v>4.8565452596705266E-12</c:v>
                </c:pt>
                <c:pt idx="188">
                  <c:v>4.8565452596705266E-12</c:v>
                </c:pt>
                <c:pt idx="189">
                  <c:v>4.8565452596705266E-12</c:v>
                </c:pt>
                <c:pt idx="190">
                  <c:v>4.8565452596705266E-12</c:v>
                </c:pt>
                <c:pt idx="191">
                  <c:v>4.8565452596705266E-12</c:v>
                </c:pt>
                <c:pt idx="192">
                  <c:v>4.8565452596705266E-12</c:v>
                </c:pt>
                <c:pt idx="193">
                  <c:v>4.8565452596705266E-12</c:v>
                </c:pt>
                <c:pt idx="194">
                  <c:v>4.8565452596705266E-12</c:v>
                </c:pt>
                <c:pt idx="195">
                  <c:v>4.8565452596705266E-12</c:v>
                </c:pt>
                <c:pt idx="196">
                  <c:v>4.8565452596705266E-12</c:v>
                </c:pt>
                <c:pt idx="197">
                  <c:v>4.8565452596705266E-12</c:v>
                </c:pt>
                <c:pt idx="198">
                  <c:v>4.8565452596705266E-12</c:v>
                </c:pt>
                <c:pt idx="199">
                  <c:v>4.8565452596705266E-12</c:v>
                </c:pt>
                <c:pt idx="200">
                  <c:v>4.8565452596705266E-12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8953376"/>
        <c:axId val="-1208965344"/>
      </c:scatterChart>
      <c:valAx>
        <c:axId val="-1208953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65344"/>
        <c:crosses val="autoZero"/>
        <c:crossBetween val="midCat"/>
      </c:valAx>
      <c:valAx>
        <c:axId val="-120896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53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191.59133974610231</c:v>
                </c:pt>
                <c:pt idx="22">
                  <c:v>208.34408122016092</c:v>
                </c:pt>
                <c:pt idx="23">
                  <c:v>225.06572551561021</c:v>
                </c:pt>
                <c:pt idx="24">
                  <c:v>241.75890854864349</c:v>
                </c:pt>
                <c:pt idx="25">
                  <c:v>258.42587225263441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311.05204406793194</c:v>
                </c:pt>
                <c:pt idx="32">
                  <c:v>335.90885371669884</c:v>
                </c:pt>
                <c:pt idx="33">
                  <c:v>360.72516312195717</c:v>
                </c:pt>
                <c:pt idx="34">
                  <c:v>385.50414799512083</c:v>
                </c:pt>
                <c:pt idx="35">
                  <c:v>410.2485426639725</c:v>
                </c:pt>
                <c:pt idx="36">
                  <c:v>307.36589042386976</c:v>
                </c:pt>
                <c:pt idx="37">
                  <c:v>333.1490489500444</c:v>
                </c:pt>
                <c:pt idx="38">
                  <c:v>358.88823411477216</c:v>
                </c:pt>
                <c:pt idx="39">
                  <c:v>384.58704033593949</c:v>
                </c:pt>
                <c:pt idx="40">
                  <c:v>410.24854266397239</c:v>
                </c:pt>
                <c:pt idx="41">
                  <c:v>436.33272253339618</c:v>
                </c:pt>
                <c:pt idx="42">
                  <c:v>462.38345350022161</c:v>
                </c:pt>
                <c:pt idx="43">
                  <c:v>488.40288299445155</c:v>
                </c:pt>
                <c:pt idx="44">
                  <c:v>514.39291118678466</c:v>
                </c:pt>
                <c:pt idx="45">
                  <c:v>540.35523076412767</c:v>
                </c:pt>
                <c:pt idx="46">
                  <c:v>437.70462758915534</c:v>
                </c:pt>
                <c:pt idx="47">
                  <c:v>462.8401985900677</c:v>
                </c:pt>
                <c:pt idx="48">
                  <c:v>487.94666038986725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561.28811451546608</c:v>
                </c:pt>
                <c:pt idx="52">
                  <c:v>584.47725131696131</c:v>
                </c:pt>
                <c:pt idx="53">
                  <c:v>607.64722125113985</c:v>
                </c:pt>
                <c:pt idx="54">
                  <c:v>630.79885717882416</c:v>
                </c:pt>
                <c:pt idx="55">
                  <c:v>653.93292590911062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653.47948098691757</c:v>
                </c:pt>
                <c:pt idx="62">
                  <c:v>673.42499429307338</c:v>
                </c:pt>
                <c:pt idx="63">
                  <c:v>693.35837375801611</c:v>
                </c:pt>
                <c:pt idx="64">
                  <c:v>713.28001696958779</c:v>
                </c:pt>
                <c:pt idx="65">
                  <c:v>733.19029751967912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716.44831231729302</c:v>
                </c:pt>
                <c:pt idx="72">
                  <c:v>733.64267463552369</c:v>
                </c:pt>
                <c:pt idx="73">
                  <c:v>750.82883030840048</c:v>
                </c:pt>
                <c:pt idx="74">
                  <c:v>768.0069934631473</c:v>
                </c:pt>
                <c:pt idx="75">
                  <c:v>785.17736787656111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748.56795517894261</c:v>
                </c:pt>
                <c:pt idx="82">
                  <c:v>757.15854610702615</c:v>
                </c:pt>
                <c:pt idx="83">
                  <c:v>765.74715812293209</c:v>
                </c:pt>
                <c:pt idx="84">
                  <c:v>774.33381654334232</c:v>
                </c:pt>
                <c:pt idx="85">
                  <c:v>782.91854607788719</c:v>
                </c:pt>
                <c:pt idx="86">
                  <c:v>791.50137085033987</c:v>
                </c:pt>
                <c:pt idx="87">
                  <c:v>800.08231441884436</c:v>
                </c:pt>
                <c:pt idx="88">
                  <c:v>808.66139979523052</c:v>
                </c:pt>
                <c:pt idx="89">
                  <c:v>817.23864946346646</c:v>
                </c:pt>
                <c:pt idx="90">
                  <c:v>825.81408539729819</c:v>
                </c:pt>
                <c:pt idx="91">
                  <c:v>712.60105917771659</c:v>
                </c:pt>
                <c:pt idx="92">
                  <c:v>725.95148754575166</c:v>
                </c:pt>
                <c:pt idx="93">
                  <c:v>739.29691040004275</c:v>
                </c:pt>
                <c:pt idx="94">
                  <c:v>752.63743076999742</c:v>
                </c:pt>
                <c:pt idx="95">
                  <c:v>765.97314773736286</c:v>
                </c:pt>
                <c:pt idx="96">
                  <c:v>779.30415665500323</c:v>
                </c:pt>
                <c:pt idx="97">
                  <c:v>792.6305493499417</c:v>
                </c:pt>
                <c:pt idx="98">
                  <c:v>805.9524143120492</c:v>
                </c:pt>
                <c:pt idx="99">
                  <c:v>819.26983686961751</c:v>
                </c:pt>
                <c:pt idx="100">
                  <c:v>832.58289935293715</c:v>
                </c:pt>
                <c:pt idx="101">
                  <c:v>720.52141472893618</c:v>
                </c:pt>
                <c:pt idx="102">
                  <c:v>732.73791471720108</c:v>
                </c:pt>
                <c:pt idx="103">
                  <c:v>744.95026599101573</c:v>
                </c:pt>
                <c:pt idx="104">
                  <c:v>757.1585461070257</c:v>
                </c:pt>
                <c:pt idx="105">
                  <c:v>769.36282991848623</c:v>
                </c:pt>
                <c:pt idx="106">
                  <c:v>781.56318971177598</c:v>
                </c:pt>
                <c:pt idx="107">
                  <c:v>793.75969533394903</c:v>
                </c:pt>
                <c:pt idx="108">
                  <c:v>805.95241431204852</c:v>
                </c:pt>
                <c:pt idx="109">
                  <c:v>818.14141196482899</c:v>
                </c:pt>
                <c:pt idx="110">
                  <c:v>830.3267515074798</c:v>
                </c:pt>
                <c:pt idx="111">
                  <c:v>720.74768439099</c:v>
                </c:pt>
                <c:pt idx="112">
                  <c:v>730.92832656071676</c:v>
                </c:pt>
                <c:pt idx="113">
                  <c:v>741.10607958467165</c:v>
                </c:pt>
                <c:pt idx="114">
                  <c:v>751.2809887158827</c:v>
                </c:pt>
                <c:pt idx="115">
                  <c:v>761.45309788222482</c:v>
                </c:pt>
                <c:pt idx="116">
                  <c:v>771.62244974278201</c:v>
                </c:pt>
                <c:pt idx="117">
                  <c:v>781.7890857410847</c:v>
                </c:pt>
                <c:pt idx="118">
                  <c:v>791.95304615543637</c:v>
                </c:pt>
                <c:pt idx="119">
                  <c:v>802.11437014652449</c:v>
                </c:pt>
                <c:pt idx="120">
                  <c:v>812.27309580249312</c:v>
                </c:pt>
                <c:pt idx="121">
                  <c:v>715.54311433133398</c:v>
                </c:pt>
                <c:pt idx="122">
                  <c:v>725.04653311549419</c:v>
                </c:pt>
                <c:pt idx="123">
                  <c:v>734.54741182331838</c:v>
                </c:pt>
                <c:pt idx="124">
                  <c:v>744.04578792851282</c:v>
                </c:pt>
                <c:pt idx="125">
                  <c:v>753.54169787036972</c:v>
                </c:pt>
                <c:pt idx="126">
                  <c:v>763.03517709527159</c:v>
                </c:pt>
                <c:pt idx="127">
                  <c:v>772.52626009602557</c:v>
                </c:pt>
                <c:pt idx="128">
                  <c:v>782.01498044916309</c:v>
                </c:pt>
                <c:pt idx="129">
                  <c:v>791.5013708503385</c:v>
                </c:pt>
                <c:pt idx="130">
                  <c:v>800.98546314794169</c:v>
                </c:pt>
                <c:pt idx="131">
                  <c:v>710.56410643759409</c:v>
                </c:pt>
                <c:pt idx="132">
                  <c:v>719.61632157321628</c:v>
                </c:pt>
                <c:pt idx="133">
                  <c:v>728.66621293330525</c:v>
                </c:pt>
                <c:pt idx="134">
                  <c:v>737.71381343832797</c:v>
                </c:pt>
                <c:pt idx="135">
                  <c:v>746.75915513568009</c:v>
                </c:pt>
                <c:pt idx="136">
                  <c:v>755.8022692333592</c:v>
                </c:pt>
                <c:pt idx="137">
                  <c:v>764.84318613194307</c:v>
                </c:pt>
                <c:pt idx="138">
                  <c:v>773.88193545498007</c:v>
                </c:pt>
                <c:pt idx="139">
                  <c:v>782.91854607788582</c:v>
                </c:pt>
                <c:pt idx="140">
                  <c:v>791.95304615543603</c:v>
                </c:pt>
                <c:pt idx="141">
                  <c:v>702.64148540072938</c:v>
                </c:pt>
                <c:pt idx="142">
                  <c:v>710.56410643759409</c:v>
                </c:pt>
                <c:pt idx="143">
                  <c:v>718.48492244761428</c:v>
                </c:pt>
                <c:pt idx="144">
                  <c:v>726.40395613171404</c:v>
                </c:pt>
                <c:pt idx="145">
                  <c:v>734.32122965560711</c:v>
                </c:pt>
                <c:pt idx="146">
                  <c:v>742.23676466817244</c:v>
                </c:pt>
                <c:pt idx="147">
                  <c:v>750.15058231900696</c:v>
                </c:pt>
                <c:pt idx="148">
                  <c:v>758.06270327519826</c:v>
                </c:pt>
                <c:pt idx="149">
                  <c:v>765.97314773736196</c:v>
                </c:pt>
                <c:pt idx="150">
                  <c:v>773.88193545498007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8960992"/>
        <c:axId val="-1208953920"/>
      </c:scatterChart>
      <c:valAx>
        <c:axId val="-1208960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53920"/>
        <c:crosses val="autoZero"/>
        <c:crossBetween val="midCat"/>
      </c:valAx>
      <c:valAx>
        <c:axId val="-120895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60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2.1180139732612671</c:v>
                </c:pt>
                <c:pt idx="2">
                  <c:v>2.8930352277757714</c:v>
                </c:pt>
                <c:pt idx="3">
                  <c:v>3.9528563294914054</c:v>
                </c:pt>
                <c:pt idx="4">
                  <c:v>5.4025506025518295</c:v>
                </c:pt>
                <c:pt idx="5">
                  <c:v>7.3861004857514656</c:v>
                </c:pt>
                <c:pt idx="6">
                  <c:v>10.100855037538478</c:v>
                </c:pt>
                <c:pt idx="7">
                  <c:v>13.817376284253774</c:v>
                </c:pt>
                <c:pt idx="8">
                  <c:v>18.906688773103248</c:v>
                </c:pt>
                <c:pt idx="9">
                  <c:v>25.877701614343255</c:v>
                </c:pt>
                <c:pt idx="10">
                  <c:v>35.428610803418827</c:v>
                </c:pt>
                <c:pt idx="11">
                  <c:v>48.517518453192395</c:v>
                </c:pt>
                <c:pt idx="12">
                  <c:v>66.459471748081853</c:v>
                </c:pt>
                <c:pt idx="13">
                  <c:v>89.518491602178926</c:v>
                </c:pt>
                <c:pt idx="14">
                  <c:v>115.34507792286411</c:v>
                </c:pt>
                <c:pt idx="15">
                  <c:v>107.7353130524844</c:v>
                </c:pt>
                <c:pt idx="16">
                  <c:v>121.79757291627975</c:v>
                </c:pt>
                <c:pt idx="17">
                  <c:v>137.94887635398439</c:v>
                </c:pt>
                <c:pt idx="18">
                  <c:v>155.82325453701938</c:v>
                </c:pt>
                <c:pt idx="19">
                  <c:v>178.71809195658315</c:v>
                </c:pt>
                <c:pt idx="20">
                  <c:v>156.01113549659763</c:v>
                </c:pt>
                <c:pt idx="21">
                  <c:v>179.4671614268108</c:v>
                </c:pt>
                <c:pt idx="22">
                  <c:v>203.97157947599115</c:v>
                </c:pt>
                <c:pt idx="23">
                  <c:v>229.34983593044981</c:v>
                </c:pt>
                <c:pt idx="24">
                  <c:v>256.16070947885601</c:v>
                </c:pt>
                <c:pt idx="25">
                  <c:v>283.4422200558077</c:v>
                </c:pt>
                <c:pt idx="26">
                  <c:v>236.02336833800732</c:v>
                </c:pt>
                <c:pt idx="27">
                  <c:v>258.0506253647863</c:v>
                </c:pt>
                <c:pt idx="28">
                  <c:v>280.85855832148769</c:v>
                </c:pt>
                <c:pt idx="29">
                  <c:v>303.62497586995391</c:v>
                </c:pt>
                <c:pt idx="30">
                  <c:v>326.35342702648569</c:v>
                </c:pt>
                <c:pt idx="31">
                  <c:v>263.00334795810267</c:v>
                </c:pt>
                <c:pt idx="32">
                  <c:v>281.21834051012081</c:v>
                </c:pt>
                <c:pt idx="33">
                  <c:v>299.83148357939439</c:v>
                </c:pt>
                <c:pt idx="34">
                  <c:v>318.41889760735023</c:v>
                </c:pt>
                <c:pt idx="35">
                  <c:v>337.19946569508181</c:v>
                </c:pt>
                <c:pt idx="36">
                  <c:v>355.95701278967658</c:v>
                </c:pt>
                <c:pt idx="37">
                  <c:v>374.69292221147504</c:v>
                </c:pt>
                <c:pt idx="38">
                  <c:v>393.40842768859216</c:v>
                </c:pt>
                <c:pt idx="39">
                  <c:v>412.21544897374309</c:v>
                </c:pt>
                <c:pt idx="40">
                  <c:v>431.00395928007765</c:v>
                </c:pt>
                <c:pt idx="41">
                  <c:v>449.77487867019858</c:v>
                </c:pt>
                <c:pt idx="42">
                  <c:v>468.52904418534735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8959360"/>
        <c:axId val="-1208961536"/>
      </c:scatterChart>
      <c:valAx>
        <c:axId val="-1208959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61536"/>
        <c:crosses val="autoZero"/>
        <c:crossBetween val="midCat"/>
      </c:valAx>
      <c:valAx>
        <c:axId val="-120896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5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3.7940715050318166</c:v>
                </c:pt>
                <c:pt idx="2">
                  <c:v>4.9377274035395011</c:v>
                </c:pt>
                <c:pt idx="3">
                  <c:v>6.4274775055040303</c:v>
                </c:pt>
                <c:pt idx="4">
                  <c:v>8.3684435076636809</c:v>
                </c:pt>
                <c:pt idx="5">
                  <c:v>10.897785858680232</c:v>
                </c:pt>
                <c:pt idx="6">
                  <c:v>14.194499309147433</c:v>
                </c:pt>
                <c:pt idx="7">
                  <c:v>18.492212032390984</c:v>
                </c:pt>
                <c:pt idx="8">
                  <c:v>24.095911719327074</c:v>
                </c:pt>
                <c:pt idx="9">
                  <c:v>31.403806616304621</c:v>
                </c:pt>
                <c:pt idx="10">
                  <c:v>40.935901924486565</c:v>
                </c:pt>
                <c:pt idx="11">
                  <c:v>45.995824937849385</c:v>
                </c:pt>
                <c:pt idx="12">
                  <c:v>51.040864550780604</c:v>
                </c:pt>
                <c:pt idx="13">
                  <c:v>56.072704833394162</c:v>
                </c:pt>
                <c:pt idx="14">
                  <c:v>61.092701422671723</c:v>
                </c:pt>
                <c:pt idx="15">
                  <c:v>66.101967977769291</c:v>
                </c:pt>
                <c:pt idx="16">
                  <c:v>71.101434889641112</c:v>
                </c:pt>
                <c:pt idx="17">
                  <c:v>76.091890520314053</c:v>
                </c:pt>
                <c:pt idx="18">
                  <c:v>81.074011002076816</c:v>
                </c:pt>
                <c:pt idx="19">
                  <c:v>86.048382294364117</c:v>
                </c:pt>
                <c:pt idx="20">
                  <c:v>91.01551685143825</c:v>
                </c:pt>
                <c:pt idx="21">
                  <c:v>96.059293424495877</c:v>
                </c:pt>
                <c:pt idx="22">
                  <c:v>101.09647592120905</c:v>
                </c:pt>
                <c:pt idx="23">
                  <c:v>106.1274401371661</c:v>
                </c:pt>
                <c:pt idx="24">
                  <c:v>111.15252322541839</c:v>
                </c:pt>
                <c:pt idx="25">
                  <c:v>116.17202927831566</c:v>
                </c:pt>
                <c:pt idx="26">
                  <c:v>121.18623389119783</c:v>
                </c:pt>
                <c:pt idx="27">
                  <c:v>126.19538792903876</c:v>
                </c:pt>
                <c:pt idx="28">
                  <c:v>131.19972066206506</c:v>
                </c:pt>
                <c:pt idx="29">
                  <c:v>136.19944239663721</c:v>
                </c:pt>
                <c:pt idx="30">
                  <c:v>141.19474669860062</c:v>
                </c:pt>
                <c:pt idx="31">
                  <c:v>117.41844889935521</c:v>
                </c:pt>
                <c:pt idx="32">
                  <c:v>122.27181352878561</c:v>
                </c:pt>
                <c:pt idx="33">
                  <c:v>127.12049242384775</c:v>
                </c:pt>
                <c:pt idx="34">
                  <c:v>131.96468999042506</c:v>
                </c:pt>
                <c:pt idx="35">
                  <c:v>136.80459436256049</c:v>
                </c:pt>
                <c:pt idx="36">
                  <c:v>141.64037924106523</c:v>
                </c:pt>
                <c:pt idx="37">
                  <c:v>146.47220546726382</c:v>
                </c:pt>
                <c:pt idx="38">
                  <c:v>151.3002223777049</c:v>
                </c:pt>
                <c:pt idx="39">
                  <c:v>156.12456897649591</c:v>
                </c:pt>
                <c:pt idx="40">
                  <c:v>160.94537495481583</c:v>
                </c:pt>
                <c:pt idx="41">
                  <c:v>148.09833122562196</c:v>
                </c:pt>
                <c:pt idx="42">
                  <c:v>152.79144700218751</c:v>
                </c:pt>
                <c:pt idx="43">
                  <c:v>157.48113180902939</c:v>
                </c:pt>
                <c:pt idx="44">
                  <c:v>162.16750248508325</c:v>
                </c:pt>
                <c:pt idx="45">
                  <c:v>166.8506685486885</c:v>
                </c:pt>
                <c:pt idx="46">
                  <c:v>171.53073285365295</c:v>
                </c:pt>
                <c:pt idx="47">
                  <c:v>176.20779216981666</c:v>
                </c:pt>
                <c:pt idx="48">
                  <c:v>180.88193769862167</c:v>
                </c:pt>
                <c:pt idx="49">
                  <c:v>185.55325553249369</c:v>
                </c:pt>
                <c:pt idx="50">
                  <c:v>190.22182706545016</c:v>
                </c:pt>
                <c:pt idx="51">
                  <c:v>175.30550445846984</c:v>
                </c:pt>
                <c:pt idx="52">
                  <c:v>179.7316123866359</c:v>
                </c:pt>
                <c:pt idx="53">
                  <c:v>184.15516689410637</c:v>
                </c:pt>
                <c:pt idx="54">
                  <c:v>188.57623811572486</c:v>
                </c:pt>
                <c:pt idx="55">
                  <c:v>192.99489262176746</c:v>
                </c:pt>
                <c:pt idx="56">
                  <c:v>197.41119367847855</c:v>
                </c:pt>
                <c:pt idx="57">
                  <c:v>201.82520148402705</c:v>
                </c:pt>
                <c:pt idx="58">
                  <c:v>206.23697338270208</c:v>
                </c:pt>
                <c:pt idx="59">
                  <c:v>210.64656405978792</c:v>
                </c:pt>
                <c:pt idx="60">
                  <c:v>215.05402571923696</c:v>
                </c:pt>
                <c:pt idx="61">
                  <c:v>198.6939177176433</c:v>
                </c:pt>
                <c:pt idx="62">
                  <c:v>202.86456278492415</c:v>
                </c:pt>
                <c:pt idx="63">
                  <c:v>207.03322289239085</c:v>
                </c:pt>
                <c:pt idx="64">
                  <c:v>211.1999437388989</c:v>
                </c:pt>
                <c:pt idx="65">
                  <c:v>215.36476906896596</c:v>
                </c:pt>
                <c:pt idx="66">
                  <c:v>219.52774079341077</c:v>
                </c:pt>
                <c:pt idx="67">
                  <c:v>223.68889910034579</c:v>
                </c:pt>
                <c:pt idx="68">
                  <c:v>227.8482825574653</c:v>
                </c:pt>
                <c:pt idx="69">
                  <c:v>232.00592820645954</c:v>
                </c:pt>
                <c:pt idx="70">
                  <c:v>236.16187165029689</c:v>
                </c:pt>
                <c:pt idx="71">
                  <c:v>218.97692512402543</c:v>
                </c:pt>
                <c:pt idx="72">
                  <c:v>222.89820975716569</c:v>
                </c:pt>
                <c:pt idx="73">
                  <c:v>226.81791209882192</c:v>
                </c:pt>
                <c:pt idx="74">
                  <c:v>230.736063412498</c:v>
                </c:pt>
                <c:pt idx="75">
                  <c:v>234.65269381098105</c:v>
                </c:pt>
                <c:pt idx="76">
                  <c:v>238.56783231764553</c:v>
                </c:pt>
                <c:pt idx="77">
                  <c:v>242.48150692351541</c:v>
                </c:pt>
                <c:pt idx="78">
                  <c:v>246.39374464044309</c:v>
                </c:pt>
                <c:pt idx="79">
                  <c:v>250.30457155072909</c:v>
                </c:pt>
                <c:pt idx="80">
                  <c:v>254.21401285347324</c:v>
                </c:pt>
                <c:pt idx="81">
                  <c:v>235.31737948255306</c:v>
                </c:pt>
                <c:pt idx="82">
                  <c:v>239.14443638206026</c:v>
                </c:pt>
                <c:pt idx="83">
                  <c:v>242.97009820492926</c:v>
                </c:pt>
                <c:pt idx="84">
                  <c:v>246.79439006404766</c:v>
                </c:pt>
                <c:pt idx="85">
                  <c:v>250.61733622888337</c:v>
                </c:pt>
                <c:pt idx="86">
                  <c:v>254.43896016654585</c:v>
                </c:pt>
                <c:pt idx="87">
                  <c:v>258.25928458024669</c:v>
                </c:pt>
                <c:pt idx="88">
                  <c:v>262.07833144536136</c:v>
                </c:pt>
                <c:pt idx="89">
                  <c:v>265.89612204327688</c:v>
                </c:pt>
                <c:pt idx="90">
                  <c:v>269.7126769931898</c:v>
                </c:pt>
                <c:pt idx="91">
                  <c:v>250.6328193987205</c:v>
                </c:pt>
                <c:pt idx="92">
                  <c:v>254.24496917314158</c:v>
                </c:pt>
                <c:pt idx="93">
                  <c:v>257.85595699105755</c:v>
                </c:pt>
                <c:pt idx="94">
                  <c:v>261.46580145486388</c:v>
                </c:pt>
                <c:pt idx="95">
                  <c:v>265.07452061034036</c:v>
                </c:pt>
                <c:pt idx="96">
                  <c:v>268.68213197083338</c:v>
                </c:pt>
                <c:pt idx="97">
                  <c:v>272.2886525400715</c:v>
                </c:pt>
                <c:pt idx="98">
                  <c:v>275.89409883370479</c:v>
                </c:pt>
                <c:pt idx="99">
                  <c:v>279.49848689966035</c:v>
                </c:pt>
                <c:pt idx="100">
                  <c:v>283.10183233738871</c:v>
                </c:pt>
                <c:pt idx="101">
                  <c:v>263.96109196677475</c:v>
                </c:pt>
                <c:pt idx="102">
                  <c:v>267.38351841754837</c:v>
                </c:pt>
                <c:pt idx="103">
                  <c:v>270.80495793510266</c:v>
                </c:pt>
                <c:pt idx="104">
                  <c:v>274.2254247741065</c:v>
                </c:pt>
                <c:pt idx="105">
                  <c:v>277.64493280389814</c:v>
                </c:pt>
                <c:pt idx="106">
                  <c:v>281.06349552363093</c:v>
                </c:pt>
                <c:pt idx="107">
                  <c:v>284.48112607664098</c:v>
                </c:pt>
                <c:pt idx="108">
                  <c:v>287.89783726408837</c:v>
                </c:pt>
                <c:pt idx="109">
                  <c:v>291.31364155791516</c:v>
                </c:pt>
                <c:pt idx="110">
                  <c:v>294.72855111316346</c:v>
                </c:pt>
                <c:pt idx="111">
                  <c:v>275.64278221892977</c:v>
                </c:pt>
                <c:pt idx="112">
                  <c:v>278.89302299078042</c:v>
                </c:pt>
                <c:pt idx="113">
                  <c:v>282.14241391291085</c:v>
                </c:pt>
                <c:pt idx="114">
                  <c:v>285.39096617407273</c:v>
                </c:pt>
                <c:pt idx="115">
                  <c:v>288.63869068701268</c:v>
                </c:pt>
                <c:pt idx="116">
                  <c:v>291.88559809838341</c:v>
                </c:pt>
                <c:pt idx="117">
                  <c:v>295.13169879818764</c:v>
                </c:pt>
                <c:pt idx="118">
                  <c:v>298.37700292878753</c:v>
                </c:pt>
                <c:pt idx="119">
                  <c:v>301.6215203934978</c:v>
                </c:pt>
                <c:pt idx="120">
                  <c:v>304.86526086479199</c:v>
                </c:pt>
                <c:pt idx="121">
                  <c:v>286.03934198193417</c:v>
                </c:pt>
                <c:pt idx="122">
                  <c:v>289.1202225994499</c:v>
                </c:pt>
                <c:pt idx="123">
                  <c:v>292.20036925031758</c:v>
                </c:pt>
                <c:pt idx="124">
                  <c:v>295.2797907788534</c:v>
                </c:pt>
                <c:pt idx="125">
                  <c:v>298.35849582949118</c:v>
                </c:pt>
                <c:pt idx="126">
                  <c:v>301.43649285336335</c:v>
                </c:pt>
                <c:pt idx="127">
                  <c:v>304.51379011459977</c:v>
                </c:pt>
                <c:pt idx="128">
                  <c:v>307.59039569635775</c:v>
                </c:pt>
                <c:pt idx="129">
                  <c:v>310.66631750659769</c:v>
                </c:pt>
                <c:pt idx="130">
                  <c:v>313.74156328361835</c:v>
                </c:pt>
                <c:pt idx="131">
                  <c:v>295.19237557407541</c:v>
                </c:pt>
                <c:pt idx="132">
                  <c:v>298.12407035611278</c:v>
                </c:pt>
                <c:pt idx="133">
                  <c:v>301.0551225538257</c:v>
                </c:pt>
                <c:pt idx="134">
                  <c:v>303.98553931871487</c:v>
                </c:pt>
                <c:pt idx="135">
                  <c:v>306.91532765288451</c:v>
                </c:pt>
                <c:pt idx="136">
                  <c:v>309.84449441359243</c:v>
                </c:pt>
                <c:pt idx="137">
                  <c:v>312.77304631762058</c:v>
                </c:pt>
                <c:pt idx="138">
                  <c:v>315.70098994547101</c:v>
                </c:pt>
                <c:pt idx="139">
                  <c:v>318.62833174539895</c:v>
                </c:pt>
                <c:pt idx="140">
                  <c:v>321.55507803729012</c:v>
                </c:pt>
                <c:pt idx="141">
                  <c:v>303.29487711261339</c:v>
                </c:pt>
                <c:pt idx="142">
                  <c:v>306.09225482910631</c:v>
                </c:pt>
                <c:pt idx="143">
                  <c:v>308.88906420647976</c:v>
                </c:pt>
                <c:pt idx="144">
                  <c:v>311.68531112708018</c:v>
                </c:pt>
                <c:pt idx="145">
                  <c:v>314.4810013588949</c:v>
                </c:pt>
                <c:pt idx="146">
                  <c:v>317.2761405587965</c:v>
                </c:pt>
                <c:pt idx="147">
                  <c:v>320.07073427566644</c:v>
                </c:pt>
                <c:pt idx="148">
                  <c:v>322.86478795340321</c:v>
                </c:pt>
                <c:pt idx="149">
                  <c:v>325.65830693382185</c:v>
                </c:pt>
                <c:pt idx="150">
                  <c:v>328.45129645944729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8952288"/>
        <c:axId val="-1208952832"/>
      </c:scatterChart>
      <c:valAx>
        <c:axId val="-1208952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52832"/>
        <c:crosses val="autoZero"/>
        <c:crossBetween val="midCat"/>
      </c:valAx>
      <c:valAx>
        <c:axId val="-120895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5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2.1180139732612671</c:v>
                </c:pt>
                <c:pt idx="2">
                  <c:v>2.8930352277757714</c:v>
                </c:pt>
                <c:pt idx="3">
                  <c:v>3.9528563294914054</c:v>
                </c:pt>
                <c:pt idx="4">
                  <c:v>5.4025506025518295</c:v>
                </c:pt>
                <c:pt idx="5">
                  <c:v>7.3861004857514656</c:v>
                </c:pt>
                <c:pt idx="6">
                  <c:v>10.100855037538478</c:v>
                </c:pt>
                <c:pt idx="7">
                  <c:v>13.817376284253774</c:v>
                </c:pt>
                <c:pt idx="8">
                  <c:v>18.906688773103248</c:v>
                </c:pt>
                <c:pt idx="9">
                  <c:v>25.877701614343255</c:v>
                </c:pt>
                <c:pt idx="10">
                  <c:v>35.428610803418827</c:v>
                </c:pt>
                <c:pt idx="11">
                  <c:v>48.517518453192395</c:v>
                </c:pt>
                <c:pt idx="12">
                  <c:v>66.459471748081853</c:v>
                </c:pt>
                <c:pt idx="13">
                  <c:v>89.518491602178926</c:v>
                </c:pt>
                <c:pt idx="14">
                  <c:v>115.34507792286411</c:v>
                </c:pt>
                <c:pt idx="15">
                  <c:v>107.7353130524844</c:v>
                </c:pt>
                <c:pt idx="16">
                  <c:v>121.79757291627975</c:v>
                </c:pt>
                <c:pt idx="17">
                  <c:v>137.94887635398439</c:v>
                </c:pt>
                <c:pt idx="18">
                  <c:v>155.82325453701938</c:v>
                </c:pt>
                <c:pt idx="19">
                  <c:v>178.71809195658315</c:v>
                </c:pt>
                <c:pt idx="20">
                  <c:v>156.01113549659763</c:v>
                </c:pt>
                <c:pt idx="21">
                  <c:v>179.4671614268108</c:v>
                </c:pt>
                <c:pt idx="22">
                  <c:v>203.97157947599115</c:v>
                </c:pt>
                <c:pt idx="23">
                  <c:v>229.34983593044981</c:v>
                </c:pt>
                <c:pt idx="24">
                  <c:v>256.16070947885601</c:v>
                </c:pt>
                <c:pt idx="25">
                  <c:v>283.4422200558077</c:v>
                </c:pt>
                <c:pt idx="26">
                  <c:v>236.02336833800732</c:v>
                </c:pt>
                <c:pt idx="27">
                  <c:v>258.0506253647863</c:v>
                </c:pt>
                <c:pt idx="28">
                  <c:v>280.85855832148769</c:v>
                </c:pt>
                <c:pt idx="29">
                  <c:v>303.62497586995391</c:v>
                </c:pt>
                <c:pt idx="30">
                  <c:v>326.35342702648569</c:v>
                </c:pt>
                <c:pt idx="31">
                  <c:v>263.00334795810267</c:v>
                </c:pt>
                <c:pt idx="32">
                  <c:v>281.21834051012081</c:v>
                </c:pt>
                <c:pt idx="33">
                  <c:v>299.83148357939439</c:v>
                </c:pt>
                <c:pt idx="34">
                  <c:v>318.41889760735023</c:v>
                </c:pt>
                <c:pt idx="35">
                  <c:v>337.19946569508181</c:v>
                </c:pt>
                <c:pt idx="36">
                  <c:v>355.95701278967658</c:v>
                </c:pt>
                <c:pt idx="37">
                  <c:v>374.69292221147504</c:v>
                </c:pt>
                <c:pt idx="38">
                  <c:v>393.40842768859216</c:v>
                </c:pt>
                <c:pt idx="39">
                  <c:v>412.21544897374309</c:v>
                </c:pt>
                <c:pt idx="40">
                  <c:v>431.00395928007765</c:v>
                </c:pt>
                <c:pt idx="41">
                  <c:v>449.77487867019858</c:v>
                </c:pt>
                <c:pt idx="42">
                  <c:v>468.52904418534735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8958816"/>
        <c:axId val="-1208966432"/>
      </c:scatterChart>
      <c:valAx>
        <c:axId val="-1208958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66432"/>
        <c:crosses val="autoZero"/>
        <c:crossBetween val="midCat"/>
      </c:valAx>
      <c:valAx>
        <c:axId val="-120896643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08958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31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41" zoomScale="70" zoomScaleNormal="70" workbookViewId="0">
      <selection activeCell="D276" sqref="D27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18.21</v>
      </c>
      <c r="D5" s="304" t="s">
        <v>229</v>
      </c>
      <c r="E5" s="305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7"/>
      <c r="B6" s="97"/>
      <c r="C6" s="98"/>
      <c r="D6" s="91"/>
      <c r="E6" s="91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6.25" x14ac:dyDescent="0.25">
      <c r="A7" s="301" t="s">
        <v>226</v>
      </c>
      <c r="B7" s="301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0.17199999999999999</v>
      </c>
      <c r="D9" s="36">
        <f t="shared" ref="D9:D18" si="0">C9*$C$5</f>
        <v>3.13212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0.17199999999999999</v>
      </c>
      <c r="D10" s="36">
        <f t="shared" si="0"/>
        <v>3.13212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9</v>
      </c>
      <c r="C11" s="35">
        <v>0.182</v>
      </c>
      <c r="D11" s="36">
        <f t="shared" si="0"/>
        <v>3.3142200000000002</v>
      </c>
      <c r="E11" s="37">
        <v>130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156</v>
      </c>
      <c r="C12" s="35">
        <v>0.159</v>
      </c>
      <c r="D12" s="36">
        <f t="shared" si="0"/>
        <v>2.8953900000000004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164</v>
      </c>
      <c r="C13" s="35">
        <v>5.1999999999999998E-2</v>
      </c>
      <c r="D13" s="36">
        <f t="shared" si="0"/>
        <v>0.94691999999999998</v>
      </c>
      <c r="E13" s="37">
        <v>131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52</v>
      </c>
      <c r="C14" s="35">
        <v>2.8000000000000001E-2</v>
      </c>
      <c r="D14" s="36">
        <f t="shared" si="0"/>
        <v>0.50988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138</v>
      </c>
      <c r="C15" s="35">
        <v>0.02</v>
      </c>
      <c r="D15" s="36">
        <f t="shared" si="0"/>
        <v>0.36420000000000002</v>
      </c>
      <c r="E15" s="37">
        <v>42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39</v>
      </c>
      <c r="C16" s="35">
        <v>1.7999999999999999E-2</v>
      </c>
      <c r="D16" s="36">
        <f t="shared" si="0"/>
        <v>0.32778000000000002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36</v>
      </c>
      <c r="C17" s="35">
        <v>1.7999999999999999E-2</v>
      </c>
      <c r="D17" s="36">
        <f t="shared" si="0"/>
        <v>0.32778000000000002</v>
      </c>
      <c r="E17" s="37">
        <v>42</v>
      </c>
      <c r="F17" s="38" t="str">
        <f t="array" ref="F17">IF(E17="","",IF(INDEX(A:A,MAX(IF(ISNUMBER($A$244:$A$263),ROW($A$244:$A$263),"")))&lt;&gt;E17,"Corrigez : révolution incorrecte","OK"))</f>
        <v>OK</v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10</v>
      </c>
      <c r="C18" s="35">
        <v>5.5E-2</v>
      </c>
      <c r="D18" s="36">
        <f t="shared" si="0"/>
        <v>1.0015500000000002</v>
      </c>
      <c r="E18" s="37">
        <v>160</v>
      </c>
      <c r="F18" s="38" t="str">
        <f t="array" ref="F18">IF(E18="","",IF(INDEX(A:A,MAX(IF(ISNUMBER($A$270:$A$289),ROW($A$270:$A$289),"")))&lt;&gt;E18,"Corrigez : révolution incorrecte","OK"))</f>
        <v>OK</v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9"/>
      <c r="B19" s="39" t="s">
        <v>175</v>
      </c>
      <c r="C19" s="40">
        <f>SUM(C9:C18)</f>
        <v>0.87600000000000022</v>
      </c>
      <c r="D19" s="41">
        <f>SUM(D9:D18)</f>
        <v>15.951960000000003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25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25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f>67+6</f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75+6+28</f>
        <v>109</v>
      </c>
      <c r="C37" s="63">
        <v>1</v>
      </c>
      <c r="D37" s="63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93+28</f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147+28</f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203+28</f>
        <v>231</v>
      </c>
      <c r="C42" s="5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3">
        <f>226+28+28</f>
        <v>282</v>
      </c>
      <c r="C43" s="53">
        <v>4</v>
      </c>
      <c r="D43" s="63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63">
        <f>245+28</f>
        <v>273</v>
      </c>
      <c r="C44" s="5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63">
        <f>261+28+28</f>
        <v>317</v>
      </c>
      <c r="C45" s="53">
        <v>5</v>
      </c>
      <c r="D45" s="63">
        <f>D43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63">
        <f>274+28</f>
        <v>302</v>
      </c>
      <c r="C46" s="5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63">
        <f>284+28+28</f>
        <v>340</v>
      </c>
      <c r="C47" s="53">
        <v>6</v>
      </c>
      <c r="D47" s="63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63">
        <f>292+28</f>
        <v>320</v>
      </c>
      <c r="C48" s="53"/>
      <c r="D48" s="63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63">
        <f>302+28+28</f>
        <v>358</v>
      </c>
      <c r="C49" s="53">
        <v>7</v>
      </c>
      <c r="D49" s="63">
        <f>28+28</f>
        <v>56</v>
      </c>
      <c r="E49" s="54"/>
      <c r="F49" s="54"/>
      <c r="G49" s="54"/>
      <c r="H49" s="54"/>
      <c r="I49" s="52">
        <f t="shared" si="1"/>
        <v>3.8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361</v>
      </c>
      <c r="C50" s="53">
        <v>8</v>
      </c>
      <c r="D50" s="53">
        <v>55</v>
      </c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360</v>
      </c>
      <c r="C51" s="53">
        <v>9</v>
      </c>
      <c r="D51" s="53">
        <v>53</v>
      </c>
      <c r="E51" s="54"/>
      <c r="F51" s="54"/>
      <c r="G51" s="54"/>
      <c r="H51" s="54"/>
      <c r="I51" s="52">
        <f t="shared" si="1"/>
        <v>5.4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352</v>
      </c>
      <c r="C52" s="53">
        <v>10</v>
      </c>
      <c r="D52" s="53">
        <v>47</v>
      </c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347</v>
      </c>
      <c r="C53" s="53">
        <v>11</v>
      </c>
      <c r="D53" s="53">
        <v>44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343</v>
      </c>
      <c r="C54" s="53">
        <v>12</v>
      </c>
      <c r="D54" s="53">
        <v>43</v>
      </c>
      <c r="E54" s="54"/>
      <c r="F54" s="54"/>
      <c r="G54" s="54"/>
      <c r="H54" s="54"/>
      <c r="I54" s="52">
        <f t="shared" si="1"/>
        <v>4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335</v>
      </c>
      <c r="C55" s="53">
        <v>13</v>
      </c>
      <c r="D55" s="53">
        <v>335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f>67+6</f>
        <v>73</v>
      </c>
      <c r="C62" s="63"/>
      <c r="D62" s="63"/>
      <c r="E62" s="54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f>75+6+28</f>
        <v>109</v>
      </c>
      <c r="C63" s="63">
        <v>1</v>
      </c>
      <c r="D63" s="63">
        <f>6+28</f>
        <v>34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f>93+28</f>
        <v>121</v>
      </c>
      <c r="C64" s="63"/>
      <c r="D64" s="63"/>
      <c r="E64" s="54"/>
      <c r="F64" s="54"/>
      <c r="G64" s="54"/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f>119+28+28</f>
        <v>175</v>
      </c>
      <c r="C65" s="63">
        <v>2</v>
      </c>
      <c r="D65" s="63">
        <f>28+28</f>
        <v>56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f>147+28</f>
        <v>175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f>176+28+28</f>
        <v>232</v>
      </c>
      <c r="C67" s="63">
        <v>3</v>
      </c>
      <c r="D67" s="63">
        <f>28+28</f>
        <v>56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f>203+28</f>
        <v>231</v>
      </c>
      <c r="C68" s="53"/>
      <c r="D68" s="63"/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3">
        <f>226+28+28</f>
        <v>282</v>
      </c>
      <c r="C69" s="53">
        <v>4</v>
      </c>
      <c r="D69" s="63">
        <f>28+28</f>
        <v>56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63">
        <f>245+28</f>
        <v>273</v>
      </c>
      <c r="C70" s="53"/>
      <c r="D70" s="63"/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63">
        <f>261+28+28</f>
        <v>317</v>
      </c>
      <c r="C71" s="53">
        <v>5</v>
      </c>
      <c r="D71" s="63">
        <f>D69</f>
        <v>56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63">
        <f>274+28</f>
        <v>302</v>
      </c>
      <c r="C72" s="53"/>
      <c r="D72" s="63"/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63">
        <f>284+28+28</f>
        <v>340</v>
      </c>
      <c r="C73" s="53">
        <v>6</v>
      </c>
      <c r="D73" s="63">
        <f>28+28</f>
        <v>56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63">
        <f>292+28</f>
        <v>320</v>
      </c>
      <c r="C74" s="53"/>
      <c r="D74" s="63"/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63">
        <f>302+28+28</f>
        <v>358</v>
      </c>
      <c r="C75" s="53">
        <v>7</v>
      </c>
      <c r="D75" s="63">
        <f>28+28</f>
        <v>56</v>
      </c>
      <c r="E75" s="54"/>
      <c r="F75" s="54"/>
      <c r="G75" s="54"/>
      <c r="H75" s="54"/>
      <c r="I75" s="52">
        <f t="shared" si="2"/>
        <v>3.8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v>361</v>
      </c>
      <c r="C76" s="53">
        <v>8</v>
      </c>
      <c r="D76" s="53">
        <v>55</v>
      </c>
      <c r="E76" s="54"/>
      <c r="F76" s="54"/>
      <c r="G76" s="54"/>
      <c r="H76" s="54"/>
      <c r="I76" s="52">
        <f t="shared" si="2"/>
        <v>5.9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v>360</v>
      </c>
      <c r="C77" s="53">
        <v>9</v>
      </c>
      <c r="D77" s="53">
        <v>53</v>
      </c>
      <c r="E77" s="54"/>
      <c r="F77" s="54"/>
      <c r="G77" s="54"/>
      <c r="H77" s="54"/>
      <c r="I77" s="52">
        <f t="shared" si="2"/>
        <v>5.4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v>352</v>
      </c>
      <c r="C78" s="53">
        <v>10</v>
      </c>
      <c r="D78" s="53">
        <v>47</v>
      </c>
      <c r="E78" s="54"/>
      <c r="F78" s="54"/>
      <c r="G78" s="54"/>
      <c r="H78" s="54"/>
      <c r="I78" s="52">
        <f t="shared" si="2"/>
        <v>4.5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130</v>
      </c>
      <c r="B79" s="53">
        <v>347</v>
      </c>
      <c r="C79" s="53">
        <v>11</v>
      </c>
      <c r="D79" s="53">
        <v>44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140</v>
      </c>
      <c r="B80" s="53">
        <v>343</v>
      </c>
      <c r="C80" s="53">
        <v>12</v>
      </c>
      <c r="D80" s="53">
        <v>43</v>
      </c>
      <c r="E80" s="54"/>
      <c r="F80" s="54"/>
      <c r="G80" s="54"/>
      <c r="H80" s="54"/>
      <c r="I80" s="52">
        <f t="shared" si="2"/>
        <v>4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335</v>
      </c>
      <c r="C81" s="53">
        <v>13</v>
      </c>
      <c r="D81" s="53">
        <v>335</v>
      </c>
      <c r="E81" s="54"/>
      <c r="F81" s="54"/>
      <c r="G81" s="54"/>
      <c r="H81" s="54"/>
      <c r="I81" s="52">
        <f t="shared" si="2"/>
        <v>3.5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chevelu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f>(66)/1.56</f>
        <v>42.307692307692307</v>
      </c>
      <c r="C88" s="63"/>
      <c r="D88" s="63"/>
      <c r="E88" s="54"/>
      <c r="F88" s="54"/>
      <c r="G88" s="54"/>
      <c r="H88" s="54"/>
      <c r="I88" s="56">
        <f>IFERROR(B88/A88,"")</f>
        <v>2.8205128205128203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f>(116+8)/1.56</f>
        <v>79.487179487179489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7.4358974358974361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f>(168+12+8)/1.56</f>
        <v>120.51282051282051</v>
      </c>
      <c r="C90" s="53">
        <v>1</v>
      </c>
      <c r="D90" s="63">
        <f>(8+12+16)/1.56</f>
        <v>23.076923076923077</v>
      </c>
      <c r="E90" s="54"/>
      <c r="F90" s="54"/>
      <c r="G90" s="54"/>
      <c r="H90" s="54">
        <v>1</v>
      </c>
      <c r="I90" s="56">
        <f t="shared" si="3"/>
        <v>8.2051282051282044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f>(217/1.56)</f>
        <v>139.10256410256409</v>
      </c>
      <c r="C91" s="53"/>
      <c r="D91" s="63"/>
      <c r="E91" s="54"/>
      <c r="F91" s="54"/>
      <c r="G91" s="54"/>
      <c r="H91" s="54"/>
      <c r="I91" s="56">
        <f t="shared" si="3"/>
        <v>8.3333333333333321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f>(263+19)/1.56</f>
        <v>180.76923076923077</v>
      </c>
      <c r="C92" s="53">
        <v>2</v>
      </c>
      <c r="D92" s="63">
        <f>(21+19)/1.56</f>
        <v>25.641025641025639</v>
      </c>
      <c r="E92" s="54"/>
      <c r="F92" s="54"/>
      <c r="G92" s="54"/>
      <c r="H92" s="54"/>
      <c r="I92" s="56">
        <f t="shared" si="3"/>
        <v>8.3333333333333375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f>(303/1.56)</f>
        <v>194.23076923076923</v>
      </c>
      <c r="C93" s="53"/>
      <c r="D93" s="63"/>
      <c r="E93" s="54"/>
      <c r="F93" s="54"/>
      <c r="G93" s="54"/>
      <c r="H93" s="54"/>
      <c r="I93" s="56">
        <f t="shared" si="3"/>
        <v>7.8205128205128176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f>(340+22)/1.56</f>
        <v>232.05128205128204</v>
      </c>
      <c r="C94" s="63">
        <v>3</v>
      </c>
      <c r="D94" s="63">
        <f>(22+23)/1.56</f>
        <v>28.846153846153847</v>
      </c>
      <c r="E94" s="54"/>
      <c r="F94" s="54"/>
      <c r="G94" s="54"/>
      <c r="H94" s="54"/>
      <c r="I94" s="56">
        <f t="shared" si="3"/>
        <v>7.5641025641025639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53">
        <f>374/1.56</f>
        <v>239.74358974358972</v>
      </c>
      <c r="C95" s="63"/>
      <c r="D95" s="53"/>
      <c r="E95" s="54"/>
      <c r="F95" s="54"/>
      <c r="G95" s="54"/>
      <c r="H95" s="54"/>
      <c r="I95" s="56">
        <f t="shared" si="3"/>
        <v>7.3076923076923039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55</v>
      </c>
      <c r="B96" s="63">
        <f>(404+22)/1.56</f>
        <v>273.07692307692309</v>
      </c>
      <c r="C96" s="63">
        <v>4</v>
      </c>
      <c r="D96" s="63">
        <f>(22+23)/1.56</f>
        <v>28.846153846153847</v>
      </c>
      <c r="E96" s="54"/>
      <c r="F96" s="54"/>
      <c r="G96" s="54"/>
      <c r="H96" s="54"/>
      <c r="I96" s="56">
        <f t="shared" si="3"/>
        <v>6.6666666666666741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60</v>
      </c>
      <c r="B97" s="63">
        <f>431/1.56</f>
        <v>276.28205128205127</v>
      </c>
      <c r="C97" s="63"/>
      <c r="D97" s="63"/>
      <c r="E97" s="54"/>
      <c r="F97" s="54"/>
      <c r="G97" s="54"/>
      <c r="H97" s="54"/>
      <c r="I97" s="56">
        <f t="shared" si="3"/>
        <v>6.4102564102564035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65</v>
      </c>
      <c r="B98" s="63">
        <f>(455+23)/1.56</f>
        <v>306.41025641025641</v>
      </c>
      <c r="C98" s="63">
        <v>5</v>
      </c>
      <c r="D98" s="63">
        <f>(23+23)/1.56</f>
        <v>29.487179487179485</v>
      </c>
      <c r="E98" s="54"/>
      <c r="F98" s="54"/>
      <c r="G98" s="54"/>
      <c r="H98" s="54"/>
      <c r="I98" s="56">
        <f t="shared" si="3"/>
        <v>6.0256410256410273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70</v>
      </c>
      <c r="B99" s="63">
        <f>476/1.56</f>
        <v>305.12820512820514</v>
      </c>
      <c r="C99" s="63"/>
      <c r="D99" s="63"/>
      <c r="E99" s="54"/>
      <c r="F99" s="54"/>
      <c r="G99" s="54"/>
      <c r="H99" s="54"/>
      <c r="I99" s="56">
        <f t="shared" si="3"/>
        <v>5.6410256410256467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75</v>
      </c>
      <c r="B100" s="63">
        <f>(495+22)/1.56</f>
        <v>331.41025641025641</v>
      </c>
      <c r="C100" s="63">
        <v>6</v>
      </c>
      <c r="D100" s="63">
        <f>(22+22)/1.56</f>
        <v>28.205128205128204</v>
      </c>
      <c r="E100" s="54"/>
      <c r="F100" s="54"/>
      <c r="G100" s="54"/>
      <c r="H100" s="54"/>
      <c r="I100" s="56">
        <f t="shared" si="3"/>
        <v>5.2564102564102537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80</v>
      </c>
      <c r="B101" s="63">
        <f>512/1.56</f>
        <v>328.20512820512818</v>
      </c>
      <c r="C101" s="63"/>
      <c r="D101" s="63"/>
      <c r="E101" s="54"/>
      <c r="F101" s="54"/>
      <c r="G101" s="54"/>
      <c r="H101" s="54"/>
      <c r="I101" s="56">
        <f t="shared" si="3"/>
        <v>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85</v>
      </c>
      <c r="B102" s="63">
        <f>(528+21)/1.56</f>
        <v>351.92307692307691</v>
      </c>
      <c r="C102" s="53">
        <v>7</v>
      </c>
      <c r="D102" s="63">
        <f>(21+21)/1.56</f>
        <v>26.923076923076923</v>
      </c>
      <c r="E102" s="54"/>
      <c r="F102" s="54"/>
      <c r="G102" s="54"/>
      <c r="H102" s="54"/>
      <c r="I102" s="56">
        <f t="shared" si="3"/>
        <v>4.7435897435897463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90</v>
      </c>
      <c r="B103" s="53">
        <f>542/1.56</f>
        <v>347.4358974358974</v>
      </c>
      <c r="C103" s="53"/>
      <c r="D103" s="53"/>
      <c r="E103" s="54"/>
      <c r="F103" s="54"/>
      <c r="G103" s="54"/>
      <c r="H103" s="54"/>
      <c r="I103" s="56">
        <f t="shared" si="3"/>
        <v>4.4871794871794801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100</v>
      </c>
      <c r="B104" s="53">
        <f>(567+20+19)/1.56</f>
        <v>388.46153846153845</v>
      </c>
      <c r="C104" s="53">
        <v>8</v>
      </c>
      <c r="D104" s="53">
        <f>(19+19+20)/1.56</f>
        <v>37.179487179487175</v>
      </c>
      <c r="E104" s="54"/>
      <c r="F104" s="54"/>
      <c r="G104" s="54"/>
      <c r="H104" s="54"/>
      <c r="I104" s="56">
        <f t="shared" si="3"/>
        <v>4.1025641025641049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f>(588+18)/1.56</f>
        <v>388.46153846153845</v>
      </c>
      <c r="C105" s="53">
        <v>9</v>
      </c>
      <c r="D105" s="53">
        <f>(18+18)/1.56</f>
        <v>23.076923076923077</v>
      </c>
      <c r="E105" s="54"/>
      <c r="F105" s="54"/>
      <c r="G105" s="54"/>
      <c r="H105" s="54"/>
      <c r="I105" s="56">
        <f t="shared" si="3"/>
        <v>3.7179487179487181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120</v>
      </c>
      <c r="B106" s="53">
        <f>(606+17)/1.56</f>
        <v>399.35897435897436</v>
      </c>
      <c r="C106" s="53">
        <v>10</v>
      </c>
      <c r="D106" s="53">
        <f>(16+17)/1.56</f>
        <v>21.153846153846153</v>
      </c>
      <c r="E106" s="54"/>
      <c r="F106" s="54"/>
      <c r="G106" s="54"/>
      <c r="H106" s="54"/>
      <c r="I106" s="56">
        <f t="shared" si="3"/>
        <v>3.3974358974359005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130</v>
      </c>
      <c r="B107" s="53">
        <f>(622+16)/1.56</f>
        <v>408.97435897435895</v>
      </c>
      <c r="C107" s="53">
        <v>11</v>
      </c>
      <c r="D107" s="53">
        <f>B107</f>
        <v>408.97435897435895</v>
      </c>
      <c r="E107" s="54"/>
      <c r="F107" s="54"/>
      <c r="G107" s="54"/>
      <c r="H107" s="54"/>
      <c r="I107" s="56">
        <f t="shared" si="3"/>
        <v>3.0769230769230718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Séquoia toujours vert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82</v>
      </c>
      <c r="C114" s="53"/>
      <c r="D114" s="63"/>
      <c r="E114" s="54"/>
      <c r="F114" s="54"/>
      <c r="G114" s="54"/>
      <c r="H114" s="54"/>
      <c r="I114" s="56">
        <f>IFERROR(B114/A114,"")</f>
        <v>5.4666666666666668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220</v>
      </c>
      <c r="C115" s="53">
        <v>1</v>
      </c>
      <c r="D115" s="63">
        <v>91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27.6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314</v>
      </c>
      <c r="C116" s="53"/>
      <c r="D116" s="63"/>
      <c r="E116" s="54"/>
      <c r="F116" s="54"/>
      <c r="G116" s="54"/>
      <c r="H116" s="54"/>
      <c r="I116" s="56">
        <f t="shared" si="4"/>
        <v>37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f>426+91</f>
        <v>517</v>
      </c>
      <c r="C117" s="53">
        <v>2</v>
      </c>
      <c r="D117" s="63">
        <f>91+91</f>
        <v>182</v>
      </c>
      <c r="E117" s="54"/>
      <c r="F117" s="54"/>
      <c r="G117" s="54"/>
      <c r="H117" s="54">
        <v>1</v>
      </c>
      <c r="I117" s="56">
        <f t="shared" si="4"/>
        <v>40.6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533</v>
      </c>
      <c r="C118" s="53"/>
      <c r="D118" s="63"/>
      <c r="E118" s="54"/>
      <c r="F118" s="54"/>
      <c r="G118" s="54"/>
      <c r="H118" s="54"/>
      <c r="I118" s="56">
        <f t="shared" si="4"/>
        <v>39.6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f>625+91</f>
        <v>716</v>
      </c>
      <c r="C119" s="53">
        <v>3</v>
      </c>
      <c r="D119" s="63">
        <f>91+91</f>
        <v>182</v>
      </c>
      <c r="E119" s="54"/>
      <c r="F119" s="54"/>
      <c r="G119" s="54"/>
      <c r="H119" s="54"/>
      <c r="I119" s="56">
        <f t="shared" si="4"/>
        <v>36.6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45</v>
      </c>
      <c r="B120" s="63">
        <f>698</f>
        <v>698</v>
      </c>
      <c r="C120" s="53"/>
      <c r="D120" s="63"/>
      <c r="E120" s="54"/>
      <c r="F120" s="54"/>
      <c r="G120" s="54"/>
      <c r="H120" s="54"/>
      <c r="I120" s="56">
        <f t="shared" si="4"/>
        <v>32.799999999999997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50</v>
      </c>
      <c r="B121" s="63">
        <f>770+74</f>
        <v>844</v>
      </c>
      <c r="C121" s="53">
        <v>4</v>
      </c>
      <c r="D121" s="63">
        <f>74+63</f>
        <v>137</v>
      </c>
      <c r="E121" s="54"/>
      <c r="F121" s="54"/>
      <c r="G121" s="54"/>
      <c r="H121" s="54"/>
      <c r="I121" s="56">
        <f t="shared" si="4"/>
        <v>29.2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55</v>
      </c>
      <c r="B122" s="63">
        <f>836</f>
        <v>836</v>
      </c>
      <c r="C122" s="53"/>
      <c r="D122" s="63"/>
      <c r="E122" s="54"/>
      <c r="F122" s="54"/>
      <c r="G122" s="54"/>
      <c r="H122" s="54"/>
      <c r="I122" s="56">
        <f t="shared" si="4"/>
        <v>25.8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60</v>
      </c>
      <c r="B123" s="63">
        <f>893+55</f>
        <v>948</v>
      </c>
      <c r="C123" s="53">
        <v>5</v>
      </c>
      <c r="D123" s="63">
        <f>48+55</f>
        <v>103</v>
      </c>
      <c r="E123" s="54"/>
      <c r="F123" s="54"/>
      <c r="G123" s="54"/>
      <c r="H123" s="54"/>
      <c r="I123" s="56">
        <f t="shared" si="4"/>
        <v>22.4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65</v>
      </c>
      <c r="B124" s="63">
        <f>939</f>
        <v>939</v>
      </c>
      <c r="C124" s="53"/>
      <c r="D124" s="63"/>
      <c r="E124" s="54"/>
      <c r="F124" s="54"/>
      <c r="G124" s="54"/>
      <c r="H124" s="54"/>
      <c r="I124" s="56">
        <f t="shared" si="4"/>
        <v>18.8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70</v>
      </c>
      <c r="B125" s="63">
        <f>975+43</f>
        <v>1018</v>
      </c>
      <c r="C125" s="53">
        <v>6</v>
      </c>
      <c r="D125" s="63">
        <f>38+43</f>
        <v>81</v>
      </c>
      <c r="E125" s="54"/>
      <c r="F125" s="54"/>
      <c r="G125" s="54"/>
      <c r="H125" s="54"/>
      <c r="I125" s="56">
        <f t="shared" si="4"/>
        <v>15.8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75</v>
      </c>
      <c r="B126" s="63">
        <v>1002</v>
      </c>
      <c r="C126" s="53">
        <v>7</v>
      </c>
      <c r="D126" s="63">
        <v>33</v>
      </c>
      <c r="E126" s="57"/>
      <c r="F126" s="57"/>
      <c r="G126" s="57"/>
      <c r="H126" s="57"/>
      <c r="I126" s="56">
        <f t="shared" si="4"/>
        <v>13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80</v>
      </c>
      <c r="B127" s="63">
        <v>1018</v>
      </c>
      <c r="C127" s="53">
        <v>8</v>
      </c>
      <c r="D127" s="63">
        <v>1018</v>
      </c>
      <c r="E127" s="57"/>
      <c r="F127" s="57"/>
      <c r="G127" s="57"/>
      <c r="H127" s="57"/>
      <c r="I127" s="56">
        <f t="shared" si="4"/>
        <v>9.8000000000000007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Cèdre de l'Atlas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30</v>
      </c>
      <c r="B140" s="63">
        <f>191.43/1.3</f>
        <v>147.25384615384615</v>
      </c>
      <c r="C140" s="53"/>
      <c r="D140" s="63"/>
      <c r="E140" s="54"/>
      <c r="F140" s="54"/>
      <c r="G140" s="54"/>
      <c r="H140" s="54"/>
      <c r="I140" s="60">
        <f>IFERROR(B140/A140,"")</f>
        <v>4.9084615384615384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51</v>
      </c>
      <c r="B141" s="63">
        <f>503.84/1.3</f>
        <v>387.56923076923073</v>
      </c>
      <c r="C141" s="53">
        <v>1</v>
      </c>
      <c r="D141" s="63">
        <f>(503.84-282.63)/1.3</f>
        <v>170.16153846153844</v>
      </c>
      <c r="E141" s="54"/>
      <c r="F141" s="54"/>
      <c r="G141" s="54"/>
      <c r="H141" s="54"/>
      <c r="I141" s="60">
        <f t="shared" ref="I141:I159" si="5">IF(A141&lt;&gt;0,(B141-(B140-D140))/(A141-A140),"")</f>
        <v>11.443589743589742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61</v>
      </c>
      <c r="B142" s="63">
        <f>427.85/1.3</f>
        <v>329.11538461538464</v>
      </c>
      <c r="C142" s="53">
        <v>2</v>
      </c>
      <c r="D142" s="63">
        <f>(427.85-304.66)/1.3</f>
        <v>94.76153846153845</v>
      </c>
      <c r="E142" s="54"/>
      <c r="F142" s="54"/>
      <c r="G142" s="54"/>
      <c r="H142" s="54"/>
      <c r="I142" s="60">
        <f t="shared" si="5"/>
        <v>11.170769230769235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73</v>
      </c>
      <c r="B143" s="63">
        <f>465.57/1.3</f>
        <v>358.1307692307692</v>
      </c>
      <c r="C143" s="53">
        <v>3</v>
      </c>
      <c r="D143" s="63">
        <f>(465.57-343.91)/1.3</f>
        <v>93.584615384615361</v>
      </c>
      <c r="E143" s="54"/>
      <c r="F143" s="54"/>
      <c r="G143" s="54"/>
      <c r="H143" s="54"/>
      <c r="I143" s="60">
        <f t="shared" si="5"/>
        <v>10.314743589743586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85</v>
      </c>
      <c r="B144" s="63">
        <f>492.48/1.3</f>
        <v>378.83076923076925</v>
      </c>
      <c r="C144" s="53">
        <v>4</v>
      </c>
      <c r="D144" s="63">
        <f>(492.48-381.71)/1.3</f>
        <v>85.207692307692341</v>
      </c>
      <c r="E144" s="54"/>
      <c r="F144" s="54"/>
      <c r="G144" s="54"/>
      <c r="H144" s="54"/>
      <c r="I144" s="60">
        <f t="shared" si="5"/>
        <v>9.52371794871795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97</v>
      </c>
      <c r="B145" s="63">
        <f>517.76/1.3</f>
        <v>398.27692307692308</v>
      </c>
      <c r="C145" s="53">
        <v>5</v>
      </c>
      <c r="D145" s="63">
        <f>(517.76-414.19)/1.3</f>
        <v>79.669230769230765</v>
      </c>
      <c r="E145" s="54"/>
      <c r="F145" s="54"/>
      <c r="G145" s="54"/>
      <c r="H145" s="54"/>
      <c r="I145" s="60">
        <f t="shared" si="5"/>
        <v>8.7211538461538485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3">
        <v>109</v>
      </c>
      <c r="B146" s="63">
        <f>537.16/1.3</f>
        <v>413.2</v>
      </c>
      <c r="C146" s="63">
        <v>6</v>
      </c>
      <c r="D146" s="63">
        <f>(537.16-432.31)/1.3</f>
        <v>80.653846153846118</v>
      </c>
      <c r="E146" s="54"/>
      <c r="F146" s="54"/>
      <c r="G146" s="54"/>
      <c r="H146" s="54"/>
      <c r="I146" s="60">
        <f t="shared" si="5"/>
        <v>7.882692307692305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121</v>
      </c>
      <c r="B147" s="63">
        <f>542.89/1.3</f>
        <v>417.60769230769228</v>
      </c>
      <c r="C147" s="53">
        <v>7</v>
      </c>
      <c r="D147" s="63">
        <f>(542.89-273.69)/1.3</f>
        <v>207.07692307692307</v>
      </c>
      <c r="E147" s="54"/>
      <c r="F147" s="54"/>
      <c r="G147" s="54"/>
      <c r="H147" s="54"/>
      <c r="I147" s="60">
        <f>IF(A147&lt;&gt;0,(B147-(B146-D146))/(A147-A146),"")</f>
        <v>7.0884615384615346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131</v>
      </c>
      <c r="B148" s="63">
        <f>337.5/1.56</f>
        <v>216.34615384615384</v>
      </c>
      <c r="C148" s="53">
        <v>8</v>
      </c>
      <c r="D148" s="63">
        <f>B148</f>
        <v>216.34615384615384</v>
      </c>
      <c r="E148" s="54"/>
      <c r="F148" s="54"/>
      <c r="G148" s="54"/>
      <c r="H148" s="54"/>
      <c r="I148" s="60">
        <f t="shared" si="5"/>
        <v>0.581538461538463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Cormier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f>67+6</f>
        <v>73</v>
      </c>
      <c r="C166" s="63"/>
      <c r="D166" s="63"/>
      <c r="E166" s="54"/>
      <c r="F166" s="54"/>
      <c r="G166" s="54"/>
      <c r="H166" s="54"/>
      <c r="I166" s="52">
        <f>IFERROR(B166/A166,"")</f>
        <v>3.65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3">
        <f>75+6+28</f>
        <v>109</v>
      </c>
      <c r="C167" s="63">
        <v>1</v>
      </c>
      <c r="D167" s="63">
        <f>6+28</f>
        <v>34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3">
        <f>93+28</f>
        <v>121</v>
      </c>
      <c r="C168" s="63"/>
      <c r="D168" s="63"/>
      <c r="E168" s="54"/>
      <c r="F168" s="54"/>
      <c r="G168" s="54"/>
      <c r="H168" s="54"/>
      <c r="I168" s="52">
        <f t="shared" si="6"/>
        <v>9.1999999999999993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3">
        <f>119+28+28</f>
        <v>175</v>
      </c>
      <c r="C169" s="63">
        <v>2</v>
      </c>
      <c r="D169" s="63">
        <f>28+28</f>
        <v>56</v>
      </c>
      <c r="E169" s="54"/>
      <c r="F169" s="54"/>
      <c r="G169" s="54"/>
      <c r="H169" s="54"/>
      <c r="I169" s="52">
        <f t="shared" si="6"/>
        <v>10.8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3">
        <f>147+28</f>
        <v>175</v>
      </c>
      <c r="C170" s="63"/>
      <c r="D170" s="63"/>
      <c r="E170" s="54"/>
      <c r="F170" s="54"/>
      <c r="G170" s="54"/>
      <c r="H170" s="54"/>
      <c r="I170" s="52">
        <f t="shared" si="6"/>
        <v>11.2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3">
        <f>176+28+28</f>
        <v>232</v>
      </c>
      <c r="C171" s="63">
        <v>3</v>
      </c>
      <c r="D171" s="63">
        <f>28+28</f>
        <v>56</v>
      </c>
      <c r="E171" s="54"/>
      <c r="F171" s="54"/>
      <c r="G171" s="54"/>
      <c r="H171" s="54"/>
      <c r="I171" s="52">
        <f t="shared" si="6"/>
        <v>11.4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f>203+28</f>
        <v>231</v>
      </c>
      <c r="C172" s="53"/>
      <c r="D172" s="63"/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63">
        <f>226+28+28</f>
        <v>282</v>
      </c>
      <c r="C173" s="53">
        <v>4</v>
      </c>
      <c r="D173" s="63">
        <f>28+28</f>
        <v>56</v>
      </c>
      <c r="E173" s="54"/>
      <c r="F173" s="54"/>
      <c r="G173" s="54"/>
      <c r="H173" s="54"/>
      <c r="I173" s="52">
        <f t="shared" si="6"/>
        <v>10.199999999999999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63">
        <f>245+28</f>
        <v>273</v>
      </c>
      <c r="C174" s="53"/>
      <c r="D174" s="63"/>
      <c r="E174" s="54"/>
      <c r="F174" s="54"/>
      <c r="G174" s="54"/>
      <c r="H174" s="54"/>
      <c r="I174" s="52">
        <f t="shared" si="6"/>
        <v>9.4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63">
        <f>261+28+28</f>
        <v>317</v>
      </c>
      <c r="C175" s="53">
        <v>5</v>
      </c>
      <c r="D175" s="63">
        <f>D173</f>
        <v>56</v>
      </c>
      <c r="E175" s="54"/>
      <c r="F175" s="54"/>
      <c r="G175" s="54"/>
      <c r="H175" s="54"/>
      <c r="I175" s="52">
        <f t="shared" si="6"/>
        <v>8.8000000000000007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63">
        <f>274+28</f>
        <v>302</v>
      </c>
      <c r="C176" s="53"/>
      <c r="D176" s="63"/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63">
        <f>284+28+28</f>
        <v>340</v>
      </c>
      <c r="C177" s="53">
        <v>6</v>
      </c>
      <c r="D177" s="63">
        <f>28+28</f>
        <v>56</v>
      </c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63">
        <f>292+28</f>
        <v>320</v>
      </c>
      <c r="C178" s="53"/>
      <c r="D178" s="63"/>
      <c r="E178" s="54"/>
      <c r="F178" s="54"/>
      <c r="G178" s="54"/>
      <c r="H178" s="54"/>
      <c r="I178" s="52">
        <f t="shared" si="6"/>
        <v>7.2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63">
        <f>302+28+28</f>
        <v>358</v>
      </c>
      <c r="C179" s="53">
        <v>7</v>
      </c>
      <c r="D179" s="63">
        <f>28+28</f>
        <v>56</v>
      </c>
      <c r="E179" s="54"/>
      <c r="F179" s="54"/>
      <c r="G179" s="54"/>
      <c r="H179" s="54"/>
      <c r="I179" s="52">
        <f t="shared" si="6"/>
        <v>3.8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100</v>
      </c>
      <c r="B180" s="53">
        <v>361</v>
      </c>
      <c r="C180" s="53">
        <v>8</v>
      </c>
      <c r="D180" s="53">
        <v>55</v>
      </c>
      <c r="E180" s="54"/>
      <c r="F180" s="54"/>
      <c r="G180" s="54"/>
      <c r="H180" s="54"/>
      <c r="I180" s="52">
        <f t="shared" si="6"/>
        <v>5.9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110</v>
      </c>
      <c r="B181" s="53">
        <v>360</v>
      </c>
      <c r="C181" s="53">
        <v>9</v>
      </c>
      <c r="D181" s="53">
        <v>53</v>
      </c>
      <c r="E181" s="54"/>
      <c r="F181" s="54"/>
      <c r="G181" s="54"/>
      <c r="H181" s="54"/>
      <c r="I181" s="52">
        <f t="shared" si="6"/>
        <v>5.4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120</v>
      </c>
      <c r="B182" s="53">
        <v>352</v>
      </c>
      <c r="C182" s="53">
        <v>10</v>
      </c>
      <c r="D182" s="53">
        <v>47</v>
      </c>
      <c r="E182" s="54"/>
      <c r="F182" s="54"/>
      <c r="G182" s="54"/>
      <c r="H182" s="54"/>
      <c r="I182" s="52">
        <f t="shared" si="6"/>
        <v>4.5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130</v>
      </c>
      <c r="B183" s="53">
        <v>347</v>
      </c>
      <c r="C183" s="53">
        <v>11</v>
      </c>
      <c r="D183" s="53">
        <v>44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140</v>
      </c>
      <c r="B184" s="53">
        <v>343</v>
      </c>
      <c r="C184" s="53">
        <v>12</v>
      </c>
      <c r="D184" s="53">
        <v>43</v>
      </c>
      <c r="E184" s="54"/>
      <c r="F184" s="54"/>
      <c r="G184" s="54"/>
      <c r="H184" s="54"/>
      <c r="I184" s="52">
        <f t="shared" si="6"/>
        <v>4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150</v>
      </c>
      <c r="B185" s="53">
        <v>335</v>
      </c>
      <c r="C185" s="53">
        <v>13</v>
      </c>
      <c r="D185" s="53">
        <v>335</v>
      </c>
      <c r="E185" s="54"/>
      <c r="F185" s="54"/>
      <c r="G185" s="54"/>
      <c r="H185" s="54"/>
      <c r="I185" s="52">
        <f t="shared" si="6"/>
        <v>3.5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Pin taeda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12</v>
      </c>
      <c r="B192" s="63">
        <v>48.662500000000001</v>
      </c>
      <c r="C192" s="63"/>
      <c r="D192" s="63"/>
      <c r="E192" s="54"/>
      <c r="F192" s="54"/>
      <c r="G192" s="54"/>
      <c r="H192" s="54"/>
      <c r="I192" s="52">
        <f>IFERROR(B192/A192,"")</f>
        <v>4.0552083333333337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13</v>
      </c>
      <c r="B193" s="63">
        <v>66.096000000000004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17.433500000000002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14</v>
      </c>
      <c r="B194" s="63">
        <v>85.756500000000003</v>
      </c>
      <c r="C194" s="63">
        <v>1</v>
      </c>
      <c r="D194" s="63">
        <v>22.227499999999999</v>
      </c>
      <c r="E194" s="54"/>
      <c r="F194" s="54">
        <v>0.5</v>
      </c>
      <c r="G194" s="54">
        <v>0.5</v>
      </c>
      <c r="H194" s="54"/>
      <c r="I194" s="52">
        <f t="shared" si="7"/>
        <v>19.660499999999999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15</v>
      </c>
      <c r="B195" s="63">
        <v>79.950999999999993</v>
      </c>
      <c r="C195" s="63"/>
      <c r="D195" s="63"/>
      <c r="E195" s="54"/>
      <c r="F195" s="54"/>
      <c r="G195" s="54"/>
      <c r="H195" s="54"/>
      <c r="I195" s="52">
        <f t="shared" si="7"/>
        <v>16.42199999999999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16</v>
      </c>
      <c r="B196" s="63">
        <v>90.686499999999995</v>
      </c>
      <c r="C196" s="63"/>
      <c r="D196" s="63"/>
      <c r="E196" s="54"/>
      <c r="F196" s="54"/>
      <c r="G196" s="54"/>
      <c r="H196" s="54"/>
      <c r="I196" s="52">
        <f t="shared" si="7"/>
        <v>10.735500000000002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17</v>
      </c>
      <c r="B197" s="63">
        <v>103.054</v>
      </c>
      <c r="C197" s="63"/>
      <c r="D197" s="63"/>
      <c r="E197" s="54"/>
      <c r="F197" s="54"/>
      <c r="G197" s="54"/>
      <c r="H197" s="54"/>
      <c r="I197" s="52">
        <f t="shared" si="7"/>
        <v>12.367500000000007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18</v>
      </c>
      <c r="B198" s="63">
        <v>116.78149999999999</v>
      </c>
      <c r="C198" s="63"/>
      <c r="D198" s="63"/>
      <c r="E198" s="54"/>
      <c r="F198" s="54"/>
      <c r="G198" s="54"/>
      <c r="H198" s="54"/>
      <c r="I198" s="52">
        <f t="shared" si="7"/>
        <v>13.727499999999992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282">
        <v>19</v>
      </c>
      <c r="B199" s="63">
        <v>134.41899999999998</v>
      </c>
      <c r="C199" s="63">
        <v>2</v>
      </c>
      <c r="D199" s="63">
        <v>34.884</v>
      </c>
      <c r="E199" s="54">
        <v>0.25</v>
      </c>
      <c r="F199" s="54">
        <v>0.38</v>
      </c>
      <c r="G199" s="54">
        <v>0.38</v>
      </c>
      <c r="H199" s="54"/>
      <c r="I199" s="52">
        <f t="shared" si="7"/>
        <v>17.637499999999989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282">
        <v>20</v>
      </c>
      <c r="B200" s="63">
        <v>116.926</v>
      </c>
      <c r="C200" s="63"/>
      <c r="D200" s="63"/>
      <c r="E200" s="54"/>
      <c r="F200" s="54"/>
      <c r="G200" s="54"/>
      <c r="H200" s="54"/>
      <c r="I200" s="52">
        <f t="shared" si="7"/>
        <v>17.39100000000002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282">
        <v>21</v>
      </c>
      <c r="B201" s="63">
        <v>134.99699999999999</v>
      </c>
      <c r="C201" s="63"/>
      <c r="D201" s="63"/>
      <c r="E201" s="54"/>
      <c r="F201" s="54"/>
      <c r="G201" s="54"/>
      <c r="H201" s="54"/>
      <c r="I201" s="52">
        <f t="shared" si="7"/>
        <v>18.070999999999984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282">
        <v>22</v>
      </c>
      <c r="B202" s="63">
        <v>153.935</v>
      </c>
      <c r="C202" s="63"/>
      <c r="D202" s="63"/>
      <c r="E202" s="54"/>
      <c r="F202" s="54"/>
      <c r="G202" s="54"/>
      <c r="H202" s="54"/>
      <c r="I202" s="52">
        <f t="shared" si="7"/>
        <v>18.938000000000017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282">
        <v>23</v>
      </c>
      <c r="B203" s="63">
        <v>173.60400000000001</v>
      </c>
      <c r="C203" s="63"/>
      <c r="D203" s="63"/>
      <c r="E203" s="54"/>
      <c r="F203" s="54"/>
      <c r="G203" s="54"/>
      <c r="H203" s="54"/>
      <c r="I203" s="52">
        <f t="shared" si="7"/>
        <v>19.669000000000011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282">
        <v>24</v>
      </c>
      <c r="B204" s="63">
        <v>194.4375</v>
      </c>
      <c r="C204" s="63"/>
      <c r="D204" s="63"/>
      <c r="E204" s="54"/>
      <c r="F204" s="54"/>
      <c r="G204" s="54"/>
      <c r="H204" s="54"/>
      <c r="I204" s="52">
        <f t="shared" si="7"/>
        <v>20.833499999999987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282">
        <v>25</v>
      </c>
      <c r="B205" s="63">
        <v>215.6875</v>
      </c>
      <c r="C205" s="63">
        <v>3</v>
      </c>
      <c r="D205" s="63">
        <v>54.026000000000003</v>
      </c>
      <c r="E205" s="54">
        <v>0.6</v>
      </c>
      <c r="F205" s="54">
        <v>0.2</v>
      </c>
      <c r="G205" s="54">
        <v>0.2</v>
      </c>
      <c r="H205" s="54"/>
      <c r="I205" s="52">
        <f t="shared" si="7"/>
        <v>21.25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282">
        <v>27</v>
      </c>
      <c r="B206" s="63">
        <v>195.90799999999999</v>
      </c>
      <c r="C206" s="63"/>
      <c r="D206" s="63"/>
      <c r="E206" s="54"/>
      <c r="F206" s="54"/>
      <c r="G206" s="54"/>
      <c r="H206" s="54"/>
      <c r="I206" s="52">
        <f t="shared" si="7"/>
        <v>17.123249999999999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282">
        <v>30</v>
      </c>
      <c r="B207" s="53">
        <v>249.203</v>
      </c>
      <c r="C207" s="53">
        <v>4</v>
      </c>
      <c r="D207" s="53">
        <v>63.631</v>
      </c>
      <c r="E207" s="54">
        <v>0.6</v>
      </c>
      <c r="F207" s="54">
        <v>0.2</v>
      </c>
      <c r="G207" s="54">
        <v>0.2</v>
      </c>
      <c r="H207" s="54"/>
      <c r="I207" s="52">
        <f t="shared" si="7"/>
        <v>17.765000000000004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282">
        <v>32</v>
      </c>
      <c r="B208" s="53">
        <v>213.95350000000002</v>
      </c>
      <c r="C208" s="53"/>
      <c r="D208" s="53"/>
      <c r="E208" s="54"/>
      <c r="F208" s="54"/>
      <c r="G208" s="54"/>
      <c r="H208" s="54"/>
      <c r="I208" s="52">
        <f t="shared" si="7"/>
        <v>14.190750000000008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282">
        <v>34</v>
      </c>
      <c r="B209" s="53">
        <v>242.99799999999999</v>
      </c>
      <c r="C209" s="53"/>
      <c r="D209" s="53"/>
      <c r="E209" s="54"/>
      <c r="F209" s="54"/>
      <c r="G209" s="54"/>
      <c r="H209" s="54"/>
      <c r="I209" s="52">
        <f t="shared" si="7"/>
        <v>14.522249999999985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282">
        <v>38</v>
      </c>
      <c r="B210" s="53">
        <v>301.767</v>
      </c>
      <c r="C210" s="53"/>
      <c r="D210" s="53"/>
      <c r="E210" s="54"/>
      <c r="F210" s="54"/>
      <c r="G210" s="54"/>
      <c r="H210" s="54"/>
      <c r="I210" s="52">
        <f t="shared" si="7"/>
        <v>14.692250000000001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282">
        <v>42</v>
      </c>
      <c r="B211" s="53">
        <v>360.8845</v>
      </c>
      <c r="C211" s="53">
        <v>5</v>
      </c>
      <c r="D211" s="53">
        <v>360.8845</v>
      </c>
      <c r="E211" s="54"/>
      <c r="F211" s="54"/>
      <c r="G211" s="54"/>
      <c r="H211" s="54"/>
      <c r="I211" s="52">
        <f t="shared" si="7"/>
        <v>14.779375000000002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Pin pignon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10</v>
      </c>
      <c r="B218" s="63">
        <f>36.82/2.4</f>
        <v>15.341666666666667</v>
      </c>
      <c r="C218" s="63"/>
      <c r="D218" s="63"/>
      <c r="E218" s="66"/>
      <c r="F218" s="66"/>
      <c r="G218" s="66"/>
      <c r="H218" s="66"/>
      <c r="I218" s="56">
        <f>IFERROR(B218/A218,"")</f>
        <v>1.5341666666666667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3">
        <f>(79.16+4.6)/2.4</f>
        <v>34.9</v>
      </c>
      <c r="C219" s="63"/>
      <c r="D219" s="63"/>
      <c r="E219" s="66"/>
      <c r="F219" s="66"/>
      <c r="G219" s="66"/>
      <c r="H219" s="66"/>
      <c r="I219" s="56">
        <f t="shared" ref="I219:I237" si="8">IF(A219&lt;&gt;0,(B219-(B218-D218))/(A219-A218),"")</f>
        <v>1.9558333333333331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30</v>
      </c>
      <c r="B220" s="63">
        <f>117.39/2.4+(9.5+4.6)/2.4</f>
        <v>54.787500000000001</v>
      </c>
      <c r="C220" s="63">
        <v>1</v>
      </c>
      <c r="D220" s="63">
        <f>(4.6+9.5+13.2)/2.4</f>
        <v>11.375</v>
      </c>
      <c r="E220" s="66"/>
      <c r="F220" s="66"/>
      <c r="G220" s="66"/>
      <c r="H220" s="92">
        <v>1</v>
      </c>
      <c r="I220" s="56">
        <f t="shared" si="8"/>
        <v>1.9887500000000002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40</v>
      </c>
      <c r="B221" s="63">
        <f>150.4/2.4</f>
        <v>62.666666666666671</v>
      </c>
      <c r="C221" s="63">
        <v>2</v>
      </c>
      <c r="D221" s="63">
        <f>16.8/2.4</f>
        <v>7.0000000000000009</v>
      </c>
      <c r="E221" s="66"/>
      <c r="F221" s="66"/>
      <c r="G221" s="66"/>
      <c r="H221" s="66"/>
      <c r="I221" s="56">
        <f t="shared" si="8"/>
        <v>1.925416666666667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50</v>
      </c>
      <c r="B222" s="63">
        <f>178.53/2.4</f>
        <v>74.387500000000003</v>
      </c>
      <c r="C222" s="63">
        <v>3</v>
      </c>
      <c r="D222" s="63">
        <f>18.6/2.4</f>
        <v>7.7500000000000009</v>
      </c>
      <c r="E222" s="66"/>
      <c r="F222" s="66"/>
      <c r="G222" s="66"/>
      <c r="H222" s="66"/>
      <c r="I222" s="56">
        <f t="shared" si="8"/>
        <v>1.8720833333333331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60</v>
      </c>
      <c r="B223" s="63">
        <f>202.47/2.4</f>
        <v>84.362499999999997</v>
      </c>
      <c r="C223" s="63">
        <v>4</v>
      </c>
      <c r="D223" s="63">
        <f>19.8/2.4</f>
        <v>8.25</v>
      </c>
      <c r="E223" s="66"/>
      <c r="F223" s="66"/>
      <c r="G223" s="66"/>
      <c r="H223" s="66"/>
      <c r="I223" s="56">
        <f t="shared" si="8"/>
        <v>1.7724999999999995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70</v>
      </c>
      <c r="B224" s="63">
        <f>222.87/2.4</f>
        <v>92.862500000000011</v>
      </c>
      <c r="C224" s="63">
        <v>5</v>
      </c>
      <c r="D224" s="63">
        <f>20.4/2.4</f>
        <v>8.5</v>
      </c>
      <c r="E224" s="66"/>
      <c r="F224" s="66"/>
      <c r="G224" s="66"/>
      <c r="H224" s="66"/>
      <c r="I224" s="56">
        <f t="shared" si="8"/>
        <v>1.6750000000000014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80</v>
      </c>
      <c r="B225" s="63">
        <f>240.35/2.4</f>
        <v>100.14583333333333</v>
      </c>
      <c r="C225" s="63">
        <v>6</v>
      </c>
      <c r="D225" s="63">
        <f>22/2.4</f>
        <v>9.1666666666666679</v>
      </c>
      <c r="E225" s="66"/>
      <c r="F225" s="66"/>
      <c r="G225" s="66"/>
      <c r="H225" s="66"/>
      <c r="I225" s="56">
        <f t="shared" si="8"/>
        <v>1.5783333333333318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90</v>
      </c>
      <c r="B226" s="63">
        <f>255.38/2.4</f>
        <v>106.40833333333333</v>
      </c>
      <c r="C226" s="63">
        <v>7</v>
      </c>
      <c r="D226" s="63">
        <f>22/2.4</f>
        <v>9.1666666666666679</v>
      </c>
      <c r="E226" s="66"/>
      <c r="F226" s="66"/>
      <c r="G226" s="66"/>
      <c r="H226" s="66"/>
      <c r="I226" s="56">
        <f t="shared" si="8"/>
        <v>1.5429166666666674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>
        <v>100</v>
      </c>
      <c r="B227" s="63">
        <f>268.38/2.4</f>
        <v>111.825</v>
      </c>
      <c r="C227" s="63">
        <v>8</v>
      </c>
      <c r="D227" s="63">
        <f>21.9/2.4</f>
        <v>9.125</v>
      </c>
      <c r="E227" s="66"/>
      <c r="F227" s="66"/>
      <c r="G227" s="66"/>
      <c r="H227" s="66"/>
      <c r="I227" s="56">
        <f t="shared" si="8"/>
        <v>1.4583333333333344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>
        <v>110</v>
      </c>
      <c r="B228" s="63">
        <f>279.68/2.4</f>
        <v>116.53333333333335</v>
      </c>
      <c r="C228" s="63">
        <v>9</v>
      </c>
      <c r="D228" s="63">
        <f>21.7/2.4</f>
        <v>9.0416666666666661</v>
      </c>
      <c r="E228" s="66"/>
      <c r="F228" s="66"/>
      <c r="G228" s="66"/>
      <c r="H228" s="66"/>
      <c r="I228" s="56">
        <f t="shared" si="8"/>
        <v>1.3833333333333342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3">
        <v>120</v>
      </c>
      <c r="B229" s="63">
        <f>289.54/2.4</f>
        <v>120.64166666666668</v>
      </c>
      <c r="C229" s="63">
        <v>10</v>
      </c>
      <c r="D229" s="63">
        <f>21.3/2.4</f>
        <v>8.875</v>
      </c>
      <c r="E229" s="66"/>
      <c r="F229" s="66"/>
      <c r="G229" s="66"/>
      <c r="H229" s="66"/>
      <c r="I229" s="56">
        <f t="shared" si="8"/>
        <v>1.3150000000000006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3">
        <v>130</v>
      </c>
      <c r="B230" s="63">
        <f>298.18/2.4</f>
        <v>124.24166666666667</v>
      </c>
      <c r="C230" s="63">
        <v>11</v>
      </c>
      <c r="D230" s="63">
        <f>20.9/2.4</f>
        <v>8.7083333333333339</v>
      </c>
      <c r="E230" s="67"/>
      <c r="F230" s="67"/>
      <c r="G230" s="67"/>
      <c r="H230" s="67"/>
      <c r="I230" s="56">
        <f t="shared" si="8"/>
        <v>1.2474999999999994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53">
        <v>140</v>
      </c>
      <c r="B231" s="63">
        <f>305.79/2.4</f>
        <v>127.41250000000001</v>
      </c>
      <c r="C231" s="63">
        <v>12</v>
      </c>
      <c r="D231" s="63">
        <f>20.5/2.4</f>
        <v>8.5416666666666679</v>
      </c>
      <c r="E231" s="57"/>
      <c r="F231" s="57"/>
      <c r="G231" s="57"/>
      <c r="H231" s="57"/>
      <c r="I231" s="56">
        <f t="shared" si="8"/>
        <v>1.1879166666666663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150</v>
      </c>
      <c r="B232" s="53">
        <f>312.51/2.4</f>
        <v>130.21250000000001</v>
      </c>
      <c r="C232" s="63">
        <v>13</v>
      </c>
      <c r="D232" s="53">
        <f>B232</f>
        <v>130.21250000000001</v>
      </c>
      <c r="E232" s="57"/>
      <c r="F232" s="57"/>
      <c r="G232" s="57"/>
      <c r="H232" s="57"/>
      <c r="I232" s="56">
        <f t="shared" si="8"/>
        <v>1.1341666666666668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Pin maritime</v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12</v>
      </c>
      <c r="B244" s="63">
        <v>48.662500000000001</v>
      </c>
      <c r="C244" s="63"/>
      <c r="D244" s="63"/>
      <c r="E244" s="54"/>
      <c r="F244" s="54"/>
      <c r="G244" s="54"/>
      <c r="H244" s="54"/>
      <c r="I244" s="56">
        <f>IFERROR(B244/A244,"")</f>
        <v>4.0552083333333337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13</v>
      </c>
      <c r="B245" s="63">
        <v>66.096000000000004</v>
      </c>
      <c r="C245" s="63"/>
      <c r="D245" s="63"/>
      <c r="E245" s="54"/>
      <c r="F245" s="54"/>
      <c r="G245" s="54"/>
      <c r="H245" s="54"/>
      <c r="I245" s="56">
        <f>IF(A245&lt;&gt;0,(B245-(B244-D244))/(A245-A244),"")</f>
        <v>17.433500000000002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14</v>
      </c>
      <c r="B246" s="63">
        <v>85.756500000000003</v>
      </c>
      <c r="C246" s="63">
        <v>1</v>
      </c>
      <c r="D246" s="63">
        <v>22.227499999999999</v>
      </c>
      <c r="E246" s="54"/>
      <c r="F246" s="54">
        <v>0.5</v>
      </c>
      <c r="G246" s="54">
        <v>0.5</v>
      </c>
      <c r="H246" s="54"/>
      <c r="I246" s="56">
        <f>IF(A246&lt;&gt;0,(B246-(B245-D245))/(A246-A245),"")</f>
        <v>19.660499999999999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15</v>
      </c>
      <c r="B247" s="63">
        <v>79.950999999999993</v>
      </c>
      <c r="C247" s="63"/>
      <c r="D247" s="63"/>
      <c r="E247" s="54"/>
      <c r="F247" s="54"/>
      <c r="G247" s="54"/>
      <c r="H247" s="54"/>
      <c r="I247" s="56">
        <f t="shared" ref="I247:I263" si="9">IF(A247&lt;&gt;0,(B247-(B246-D246))/(A247-A246),"")</f>
        <v>16.42199999999999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16</v>
      </c>
      <c r="B248" s="63">
        <v>90.686499999999995</v>
      </c>
      <c r="C248" s="63"/>
      <c r="D248" s="63"/>
      <c r="E248" s="54"/>
      <c r="F248" s="54"/>
      <c r="G248" s="54"/>
      <c r="H248" s="54"/>
      <c r="I248" s="56">
        <f t="shared" si="9"/>
        <v>10.735500000000002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17</v>
      </c>
      <c r="B249" s="63">
        <v>103.054</v>
      </c>
      <c r="C249" s="63"/>
      <c r="D249" s="63"/>
      <c r="E249" s="54"/>
      <c r="F249" s="54"/>
      <c r="G249" s="54"/>
      <c r="H249" s="54"/>
      <c r="I249" s="56">
        <f t="shared" si="9"/>
        <v>12.367500000000007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18</v>
      </c>
      <c r="B250" s="63">
        <v>116.78149999999999</v>
      </c>
      <c r="C250" s="63"/>
      <c r="D250" s="63"/>
      <c r="E250" s="54"/>
      <c r="F250" s="54"/>
      <c r="G250" s="54"/>
      <c r="H250" s="54"/>
      <c r="I250" s="56">
        <f t="shared" si="9"/>
        <v>13.727499999999992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282">
        <v>19</v>
      </c>
      <c r="B251" s="63">
        <v>134.41899999999998</v>
      </c>
      <c r="C251" s="63">
        <v>2</v>
      </c>
      <c r="D251" s="63">
        <v>34.884</v>
      </c>
      <c r="E251" s="54">
        <v>0.25</v>
      </c>
      <c r="F251" s="54">
        <v>0.38</v>
      </c>
      <c r="G251" s="54">
        <v>0.38</v>
      </c>
      <c r="H251" s="54"/>
      <c r="I251" s="56">
        <f t="shared" si="9"/>
        <v>17.637499999999989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282">
        <v>20</v>
      </c>
      <c r="B252" s="63">
        <v>116.926</v>
      </c>
      <c r="C252" s="63"/>
      <c r="D252" s="63"/>
      <c r="E252" s="54"/>
      <c r="F252" s="54"/>
      <c r="G252" s="54"/>
      <c r="H252" s="54"/>
      <c r="I252" s="56">
        <f t="shared" si="9"/>
        <v>17.39100000000002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282">
        <v>21</v>
      </c>
      <c r="B253" s="63">
        <v>134.99699999999999</v>
      </c>
      <c r="C253" s="63"/>
      <c r="D253" s="63"/>
      <c r="E253" s="54"/>
      <c r="F253" s="54"/>
      <c r="G253" s="54"/>
      <c r="H253" s="54"/>
      <c r="I253" s="56">
        <f t="shared" si="9"/>
        <v>18.070999999999984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282">
        <v>22</v>
      </c>
      <c r="B254" s="63">
        <v>153.935</v>
      </c>
      <c r="C254" s="63"/>
      <c r="D254" s="63"/>
      <c r="E254" s="54"/>
      <c r="F254" s="54"/>
      <c r="G254" s="54"/>
      <c r="H254" s="54"/>
      <c r="I254" s="56">
        <f t="shared" si="9"/>
        <v>18.938000000000017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282">
        <v>23</v>
      </c>
      <c r="B255" s="63">
        <v>173.60400000000001</v>
      </c>
      <c r="C255" s="63"/>
      <c r="D255" s="63"/>
      <c r="E255" s="54"/>
      <c r="F255" s="54"/>
      <c r="G255" s="54"/>
      <c r="H255" s="54"/>
      <c r="I255" s="56">
        <f t="shared" si="9"/>
        <v>19.669000000000011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282">
        <v>24</v>
      </c>
      <c r="B256" s="63">
        <v>194.4375</v>
      </c>
      <c r="C256" s="63"/>
      <c r="D256" s="63"/>
      <c r="E256" s="54"/>
      <c r="F256" s="54"/>
      <c r="G256" s="54"/>
      <c r="H256" s="54"/>
      <c r="I256" s="56">
        <f t="shared" si="9"/>
        <v>20.833499999999987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282">
        <v>25</v>
      </c>
      <c r="B257" s="63">
        <v>215.6875</v>
      </c>
      <c r="C257" s="63">
        <v>3</v>
      </c>
      <c r="D257" s="63">
        <v>54.026000000000003</v>
      </c>
      <c r="E257" s="54">
        <v>0.6</v>
      </c>
      <c r="F257" s="54">
        <v>0.2</v>
      </c>
      <c r="G257" s="54">
        <v>0.2</v>
      </c>
      <c r="H257" s="54"/>
      <c r="I257" s="56">
        <f t="shared" si="9"/>
        <v>21.25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282">
        <v>27</v>
      </c>
      <c r="B258" s="63">
        <v>195.90799999999999</v>
      </c>
      <c r="C258" s="63"/>
      <c r="D258" s="63"/>
      <c r="E258" s="54"/>
      <c r="F258" s="54"/>
      <c r="G258" s="54"/>
      <c r="H258" s="54"/>
      <c r="I258" s="56">
        <f t="shared" si="9"/>
        <v>17.123249999999999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282">
        <v>30</v>
      </c>
      <c r="B259" s="53">
        <v>249.203</v>
      </c>
      <c r="C259" s="53">
        <v>4</v>
      </c>
      <c r="D259" s="53">
        <v>63.631</v>
      </c>
      <c r="E259" s="54">
        <v>0.6</v>
      </c>
      <c r="F259" s="54">
        <v>0.2</v>
      </c>
      <c r="G259" s="54">
        <v>0.2</v>
      </c>
      <c r="H259" s="54"/>
      <c r="I259" s="56">
        <f t="shared" si="9"/>
        <v>17.765000000000004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282">
        <v>32</v>
      </c>
      <c r="B260" s="53">
        <v>213.95350000000002</v>
      </c>
      <c r="C260" s="53"/>
      <c r="D260" s="53"/>
      <c r="E260" s="54"/>
      <c r="F260" s="54"/>
      <c r="G260" s="54"/>
      <c r="H260" s="54"/>
      <c r="I260" s="56">
        <f t="shared" si="9"/>
        <v>14.190750000000008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282">
        <v>34</v>
      </c>
      <c r="B261" s="53">
        <v>242.99799999999999</v>
      </c>
      <c r="C261" s="53"/>
      <c r="D261" s="53"/>
      <c r="E261" s="54"/>
      <c r="F261" s="54"/>
      <c r="G261" s="54"/>
      <c r="H261" s="54"/>
      <c r="I261" s="56">
        <f t="shared" si="9"/>
        <v>14.522249999999985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282">
        <v>38</v>
      </c>
      <c r="B262" s="53">
        <v>301.767</v>
      </c>
      <c r="C262" s="53"/>
      <c r="D262" s="53"/>
      <c r="E262" s="54"/>
      <c r="F262" s="54"/>
      <c r="G262" s="54"/>
      <c r="H262" s="54"/>
      <c r="I262" s="56">
        <f t="shared" si="9"/>
        <v>14.692250000000001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282">
        <v>42</v>
      </c>
      <c r="B263" s="53">
        <v>360.8845</v>
      </c>
      <c r="C263" s="53">
        <v>5</v>
      </c>
      <c r="D263" s="53">
        <f>B263</f>
        <v>360.8845</v>
      </c>
      <c r="E263" s="54"/>
      <c r="F263" s="54"/>
      <c r="G263" s="54"/>
      <c r="H263" s="54"/>
      <c r="I263" s="56">
        <f t="shared" si="9"/>
        <v>14.779375000000002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Chêne-liège</v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25</v>
      </c>
      <c r="B270" s="63">
        <v>68.529583445116785</v>
      </c>
      <c r="C270" s="53">
        <v>1</v>
      </c>
      <c r="D270" s="63">
        <v>7.6143981605685314</v>
      </c>
      <c r="E270" s="54"/>
      <c r="F270" s="54"/>
      <c r="G270" s="54"/>
      <c r="H270" s="54">
        <v>1</v>
      </c>
      <c r="I270" s="56">
        <f>IFERROR(B270/A270,"")</f>
        <v>2.7411833378046713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40</v>
      </c>
      <c r="B271" s="63">
        <v>119.9182671719651</v>
      </c>
      <c r="C271" s="53">
        <v>2</v>
      </c>
      <c r="D271" s="63">
        <v>13.324251907996121</v>
      </c>
      <c r="E271" s="54"/>
      <c r="F271" s="54"/>
      <c r="G271" s="54"/>
      <c r="H271" s="54"/>
      <c r="I271" s="56">
        <f>IF(A271&lt;&gt;0,(B271-(B270-D270))/(A271-A270),"")</f>
        <v>3.9335387924944567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55</v>
      </c>
      <c r="B272" s="63">
        <v>161.47939006156008</v>
      </c>
      <c r="C272" s="53">
        <v>3</v>
      </c>
      <c r="D272" s="63">
        <v>17.942154451284448</v>
      </c>
      <c r="E272" s="54"/>
      <c r="F272" s="54"/>
      <c r="G272" s="54"/>
      <c r="H272" s="54"/>
      <c r="I272" s="56">
        <f t="shared" ref="I272:I289" si="10">IF(A272&lt;&gt;0,(B272-(B271-D271))/(A272-A271),"")</f>
        <v>3.6590249865060742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70</v>
      </c>
      <c r="B273" s="63">
        <v>232.12402949923049</v>
      </c>
      <c r="C273" s="53">
        <v>4</v>
      </c>
      <c r="D273" s="63">
        <v>25.791558833247816</v>
      </c>
      <c r="E273" s="54"/>
      <c r="F273" s="54"/>
      <c r="G273" s="54"/>
      <c r="H273" s="54"/>
      <c r="I273" s="56">
        <f t="shared" si="10"/>
        <v>5.9057862592636559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100</v>
      </c>
      <c r="B274" s="63">
        <v>398.2063347245907</v>
      </c>
      <c r="C274" s="53">
        <v>5</v>
      </c>
      <c r="D274" s="63">
        <v>44.245148302732318</v>
      </c>
      <c r="E274" s="54"/>
      <c r="F274" s="54"/>
      <c r="G274" s="54"/>
      <c r="H274" s="54"/>
      <c r="I274" s="56">
        <f t="shared" si="10"/>
        <v>6.3957954686202676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130</v>
      </c>
      <c r="B275" s="63">
        <v>546.78206778887829</v>
      </c>
      <c r="C275" s="53">
        <v>6</v>
      </c>
      <c r="D275" s="63">
        <v>60.75356308765312</v>
      </c>
      <c r="E275" s="66"/>
      <c r="F275" s="66"/>
      <c r="G275" s="66"/>
      <c r="H275" s="66"/>
      <c r="I275" s="56">
        <f t="shared" si="10"/>
        <v>6.4273627122339976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160</v>
      </c>
      <c r="B276" s="63">
        <v>660.06990893327361</v>
      </c>
      <c r="C276" s="53">
        <v>7</v>
      </c>
      <c r="D276" s="63">
        <f>B276</f>
        <v>660.06990893327361</v>
      </c>
      <c r="E276" s="66"/>
      <c r="F276" s="66"/>
      <c r="G276" s="66"/>
      <c r="H276" s="66"/>
      <c r="I276" s="56">
        <f t="shared" si="10"/>
        <v>5.8013801410682806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3"/>
      <c r="B283" s="63"/>
      <c r="C283" s="93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0" sqref="C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25">
      <c r="A8" s="113">
        <v>1</v>
      </c>
      <c r="B8" s="64">
        <v>1</v>
      </c>
      <c r="C8" s="52" t="s">
        <v>177</v>
      </c>
      <c r="D8" s="25"/>
      <c r="E8" s="113">
        <v>4</v>
      </c>
      <c r="F8" s="64">
        <v>0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3">
        <v>2</v>
      </c>
      <c r="B9" s="64">
        <v>0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0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25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4">
        <f>SUM(B16:B18)</f>
        <v>1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pubescent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chevelu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Séquoia toujours vert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Cèdre de l'Atlas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Cormier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Pin taeda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Pin pignon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Pin maritime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>Chêne-liège</v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9">
        <f>(B3+E3+F3)*44/12+(C3+D3)*0.475*44/12</f>
        <v>183.33333333333334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550.39292625253665</v>
      </c>
      <c r="T3" s="62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606.55142836375308</v>
      </c>
      <c r="AO3" s="62">
        <f>IF('Données projet'!E10&gt;30,$AM$33-$H$33,LOOKUP('Données projet'!$E$10,$A$3:$A$203,AM3:AM203)-LOOKUP('Données projet'!$E$10,$A$3:$A$203,$H$3:$H$203))</f>
        <v>325.72635759450861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635.13577238794812</v>
      </c>
      <c r="BJ3" s="62">
        <f>IF('Données projet'!E11&gt;30,$BH$33-$H$33,LOOKUP('Données projet'!$E$11,$A$3:$A$203,BH3:BH203)-LOOKUP('Données projet'!$E$11,$A$3:$A$203,$H$3:$H$203))</f>
        <v>374.35810525172019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580.02817743695846</v>
      </c>
      <c r="CE3" s="62">
        <f>IF('Données projet'!E12&gt;30,$CC$33-$H$33,LOOKUP('Données projet'!$E$12,$A$3:$A$203,CC3:CC203)-LOOKUP('Données projet'!$E$12,$A$3:$A$203,$H$3:$H$203))</f>
        <v>551.23515633208865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321.05795935196863</v>
      </c>
      <c r="CZ3" s="62">
        <f>IF('Données projet'!E13&gt;30,$CX$33-$H$33,LOOKUP('Données projet'!$E$13,$A$3:$A$203,CX3:CX203)-LOOKUP('Données projet'!$E$13,$A$3:$A$203,$H$3:$H$203))</f>
        <v>209.59551322748908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638.58602907610805</v>
      </c>
      <c r="DU3" s="62">
        <f>IF('Données projet'!E14&gt;30,$DS$33-$H$33,LOOKUP('Données projet'!$E$14,$A$3:$A$203,DS3:DS203)-LOOKUP('Données projet'!$E$14,$A$3:$A$203,$H$3:$H$203))</f>
        <v>341.9250949809848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223.57443551076992</v>
      </c>
      <c r="EP3" s="62">
        <f>IF('Données projet'!E15&gt;30,$EN$33-$H$33,LOOKUP('Données projet'!$E$15,$A$3:$A$203,EN3:EN203)-LOOKUP('Données projet'!$E$15,$A$3:$A$203,$H$3:$H$203))</f>
        <v>382.12751862619427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283.95543623515323</v>
      </c>
      <c r="FK3" s="62">
        <f>IF('Données projet'!E16&gt;30,$FI$33-$H$33,LOOKUP('Données projet'!$E$16,$A$3:$A$203,FI3:FI203)-LOOKUP('Données projet'!$E$16,$A$3:$A$203,$H$3:$H$203))</f>
        <v>196.96883829830929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165</v>
      </c>
      <c r="GE3" s="62">
        <f ca="1">AVERAGE(OFFSET($GD$3,0,0,'Données projet'!$E$17+1,1))-AVERAGE(OFFSET($H$3,0,0,'Données projet'!$E$17+1,1))</f>
        <v>223.57443551076992</v>
      </c>
      <c r="GF3" s="62">
        <f>IF('Données projet'!E17&gt;30,$GD$33-$H$33,LOOKUP('Données projet'!$E$17,$A$3:$A$203,GD3:GD203)-LOOKUP('Données projet'!$E$17,$A$3:$A$203,$H$3:$H$203))</f>
        <v>382.12751862619427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165</v>
      </c>
      <c r="GZ3" s="62">
        <f ca="1">AVERAGE(OFFSET($GY$3,0,0,'Données projet'!$E$18+1,1))-AVERAGE(OFFSET($H$3,0,0,'Données projet'!$E$18+1,1))</f>
        <v>754.33260592777049</v>
      </c>
      <c r="HA3" s="62">
        <f>IF('Données projet'!E18&gt;30,$GY$33-$H$33,LOOKUP('Données projet'!$E$18,$A$3:$A$203,GY3:GY203)-LOOKUP('Données projet'!$E$18,$A$3:$A$203,$H$3:$H$203))</f>
        <v>250.97643915279005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9">
        <f t="shared" ref="H4:H67" si="1">(B4+E4+F4)*44/12+(C4+D4)*0.475*44/12</f>
        <v>183.33333333333334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550.39292625253665</v>
      </c>
      <c r="T4" s="62">
        <f>$T$3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1.2566203774920315</v>
      </c>
      <c r="AK4" s="14">
        <f>EXP(-1.0587+0.8836*LN(AJ4)+0.284)</f>
        <v>0.56390871417545174</v>
      </c>
      <c r="AL4" s="22">
        <f t="shared" ref="AL4:AL67" si="4">(AJ4+AK4)*0.475*44/12</f>
        <v>3.1707548346542</v>
      </c>
      <c r="AM4" s="62">
        <f t="shared" ref="AM4:AM67" si="5">AL4+(AD4+AE4)*44/12</f>
        <v>170.98318878757803</v>
      </c>
      <c r="AN4" s="62">
        <f ca="1">AVERAGE(OFFSET($AM$3,0,0,'Données projet'!$E$10+1,1))-AVERAGE(OFFSET($H$3,0,0,'Données projet'!$E$10+1,1))</f>
        <v>606.55142836375308</v>
      </c>
      <c r="AO4" s="62">
        <f>$AO$3</f>
        <v>325.72635759450861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2.8205128205128203</v>
      </c>
      <c r="BD4" s="13">
        <f>IF('Données projet'!$A$88&gt;35,BD3+BC4-BL3,IF(A4&lt;'Données projet'!$A$88,$BA$205^A4,IF(A4='Données projet'!$A$88,'Données projet'!$B$88,BD3+BC4-BL3)))</f>
        <v>1.2835948199965717</v>
      </c>
      <c r="BE4" s="14">
        <f>BD4*VLOOKUP('Données projet'!$B$11,Paramètres!$A$1:$I$89,3,0)*VLOOKUP('Données projet'!$B$11,Paramètres!$A$1:$I$89,5,0)</f>
        <v>1.3416133058604169</v>
      </c>
      <c r="BF4" s="14">
        <f>EXP(-1.0587+0.8836*LN(BE4)+0.284)</f>
        <v>0.59748030964646115</v>
      </c>
      <c r="BG4" s="22">
        <f t="shared" ref="BG4:BG67" si="7">(BE4+BF4)*0.475*44/12</f>
        <v>3.3772547136744788</v>
      </c>
      <c r="BH4" s="62">
        <f t="shared" ref="BH4:BH67" si="8">BG4+(AY4+AZ4)*44/12</f>
        <v>171.18968866659833</v>
      </c>
      <c r="BI4" s="62">
        <f ca="1">AVERAGE(OFFSET($BH$3,0,0,'Données projet'!$E$11+1,1))-AVERAGE(OFFSET($H$3,0,0,'Données projet'!$E$11+1,1))</f>
        <v>635.13577238794812</v>
      </c>
      <c r="BJ4" s="62">
        <f>$BJ$3</f>
        <v>374.35810525172019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5.4666666666666668</v>
      </c>
      <c r="BY4" s="13">
        <f>IF('Données projet'!$A$114&gt;35,BY3+BX4-CG3,IF(A4&lt;'Données projet'!$A$114,$BV$205^A4,IF(A4='Données projet'!$A$114,'Données projet'!$B$114,BY3+BX4-CG3)))</f>
        <v>1.3414904650106145</v>
      </c>
      <c r="BZ4" s="14">
        <f>BY4*VLOOKUP('Données projet'!$B$12,Paramètres!$A$1:$I$89,3,0)*VLOOKUP('Données projet'!$B$12,Paramètres!$A$1:$I$89,5,0)</f>
        <v>0.5929387855346917</v>
      </c>
      <c r="CA4" s="14">
        <f>EXP(-1.0587+0.8836*LN(BZ4)+0.284)</f>
        <v>0.29039128380934087</v>
      </c>
      <c r="CB4" s="22">
        <f t="shared" ref="CB4:CB67" si="10">(BZ4+CA4)*0.475*44/12</f>
        <v>1.5384665374408568</v>
      </c>
      <c r="CC4" s="62">
        <f t="shared" ref="CC4:CC67" si="11">CB4+(BT4+BU4)*44/12</f>
        <v>169.35090049036469</v>
      </c>
      <c r="CD4" s="62">
        <f ca="1">AVERAGE(OFFSET($CC$3,0,0,'Données projet'!$E$12+1,1))-AVERAGE(OFFSET($H$3,0,0,'Données projet'!$E$12+1,1))</f>
        <v>580.02817743695846</v>
      </c>
      <c r="CE4" s="62">
        <f>$CE$3</f>
        <v>551.23515633208865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4.9084615384615384</v>
      </c>
      <c r="CT4" s="13">
        <f>IF('Données projet'!$A$140&gt;35,CT3+CS4-DB3,IF(A4&lt;'Données projet'!$A$140,$CQ$205^A4,IF(A4='Données projet'!$A$140,'Données projet'!$B$140,CT3+CS4-DB3)))</f>
        <v>1.1810516433311786</v>
      </c>
      <c r="CU4" s="18">
        <f>CT4*VLOOKUP('Données projet'!$B$13,Paramètres!$A$1:$I$89,3,0)*VLOOKUP('Données projet'!$B$13,Paramètres!$A$1:$I$89,5,0)</f>
        <v>0.55273216907899159</v>
      </c>
      <c r="CV4" s="14">
        <f>EXP(-1.0587+0.8836*LN(CU4)+0.284)</f>
        <v>0.27292171413945432</v>
      </c>
      <c r="CW4" s="22">
        <f t="shared" ref="CW4:CW67" si="13">(CU4+CV4)*0.475*44/12</f>
        <v>1.4380138466054599</v>
      </c>
      <c r="CX4" s="62">
        <f t="shared" ref="CX4:CX67" si="14">CW4+(CO4+CP4)*44/12</f>
        <v>169.2504477995293</v>
      </c>
      <c r="CY4" s="62">
        <f ca="1">AVERAGE(OFFSET($CX$3,0,0,'Données projet'!$E$13+1,1))-AVERAGE(OFFSET($H$3,0,0,'Données projet'!$E$13+1,1))</f>
        <v>321.05795935196863</v>
      </c>
      <c r="CZ4" s="62">
        <f>$CZ$3</f>
        <v>209.59551322748908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IF('Données projet'!$A$166&gt;35,DO3+DN4-DW3,IF(A4&lt;'Données projet'!$A$166,$DL$205^A4,IF(A4='Données projet'!$A$166,'Données projet'!$B$166,DO3+DN4-DW3)))</f>
        <v>1.2392705892426346</v>
      </c>
      <c r="DP4" s="18">
        <f>DO4*VLOOKUP('Données projet'!$B$14,Paramètres!$A$1:$I$89,3,0)*VLOOKUP('Données projet'!$B$14,Paramètres!$A$1:$I$89,5,0)</f>
        <v>1.3339508622607719</v>
      </c>
      <c r="DQ4" s="14">
        <f>EXP(-1.0587+0.8836*LN(DP4)+0.284)</f>
        <v>0.59446408362489378</v>
      </c>
      <c r="DR4" s="22">
        <f t="shared" ref="DR4:DR67" si="16">(DP4+DQ4)*0.475*44/12</f>
        <v>3.3586560307508679</v>
      </c>
      <c r="DS4" s="62">
        <f t="shared" ref="DS4:DS67" si="17">DR4+(DJ4+DK4)*44/12</f>
        <v>171.1710899836747</v>
      </c>
      <c r="DT4" s="62">
        <f ca="1">AVERAGE(OFFSET($DS$3,0,0,'Données projet'!$E$14+1,1))-AVERAGE(OFFSET($H$3,0,0,'Données projet'!$E$14+1,1))</f>
        <v>638.58602907610805</v>
      </c>
      <c r="DU4" s="62">
        <f>$DU$3</f>
        <v>341.9250949809848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4.0552083333333337</v>
      </c>
      <c r="EJ4" s="13">
        <f>IF('Données projet'!$A$192&gt;35,EJ3+EI4-ER3,IF(A4&lt;'Données projet'!$A$192,$EG$205^A4,IF(A4='Données projet'!$A$192,'Données projet'!$B$192,EJ3+EI4-ER3)))</f>
        <v>1.3822911730149987</v>
      </c>
      <c r="EK4" s="18">
        <f>EJ4*VLOOKUP('Données projet'!$B$15,Paramètres!$A$1:$I$89,3,0)*VLOOKUP('Données projet'!$B$15,Paramètres!$A$1:$I$89,5,0)</f>
        <v>0.82661012146296919</v>
      </c>
      <c r="EL4" s="14">
        <f>EXP(-1.0587+0.8836*LN(EK4)+0.284)</f>
        <v>0.38947445648608353</v>
      </c>
      <c r="EM4" s="22">
        <f t="shared" ref="EM4:EM67" si="19">(EK4+EL4)*0.475*44/12</f>
        <v>2.1180139732612671</v>
      </c>
      <c r="EN4" s="62">
        <f t="shared" ref="EN4:EN67" si="20">EM4+(EE4+EF4)*44/12</f>
        <v>169.93044792618511</v>
      </c>
      <c r="EO4" s="62">
        <f ca="1">AVERAGE(OFFSET($EN$3,0,0,'Données projet'!$E$15+1,1))-AVERAGE(OFFSET($H$3,0,0,'Données projet'!$E$15+1,1))</f>
        <v>223.57443551076992</v>
      </c>
      <c r="EP4" s="62">
        <f>$EP$3</f>
        <v>382.12751862619427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1.5341666666666667</v>
      </c>
      <c r="FE4" s="13">
        <f>IF('Données projet'!$A$218&gt;35,FE3+FD4-FM3,IF(A4&lt;'Données projet'!$A$218,$FB$205^A4,IF(A4='Données projet'!$A$218,'Données projet'!$B$218,FE3+FD4-FM3)))</f>
        <v>1.3139754596796083</v>
      </c>
      <c r="FF4" s="18">
        <f>FE4*VLOOKUP('Données projet'!$B$16,Paramètres!$A$1:$I$89,3,0)*VLOOKUP('Données projet'!$B$16,Paramètres!$A$1:$I$89,5,0)</f>
        <v>1.5136997295509085</v>
      </c>
      <c r="FG4" s="14">
        <f>EXP(-1.0587+0.8836*LN(FF4)+0.284)</f>
        <v>0.66471453171137918</v>
      </c>
      <c r="FH4" s="22">
        <f t="shared" ref="FH4:FH67" si="22">(FF4+FG4)*0.475*44/12</f>
        <v>3.7940715050318166</v>
      </c>
      <c r="FI4" s="62">
        <f t="shared" ref="FI4:FI67" si="23">FH4+(EZ4+FA4)*44/12</f>
        <v>171.60650545795565</v>
      </c>
      <c r="FJ4" s="62">
        <f ca="1">AVERAGE(OFFSET($FI$3,0,0,'Données projet'!$E$16+1,1))-AVERAGE(OFFSET($H$3,0,0,'Données projet'!$E$16+1,1))</f>
        <v>283.95543623515323</v>
      </c>
      <c r="FK4" s="62">
        <f>$FK$3</f>
        <v>196.96883829830929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4.0552083333333337</v>
      </c>
      <c r="FZ4" s="13">
        <f>IF('Données projet'!$A$244&gt;35,FZ3+FY4-GH3,IF(A4&lt;'Données projet'!$A$244,$FW$205^A4,IF(A4='Données projet'!$A$244,'Données projet'!$B$244,FZ3+FY4-GH3)))</f>
        <v>1.3822911730149987</v>
      </c>
      <c r="GA4" s="18">
        <f>FZ4*VLOOKUP('Données projet'!$B$17,Paramètres!$A$1:$I$89,3,0)*VLOOKUP('Données projet'!$B$17,Paramètres!$A$1:$I$89,5,0)</f>
        <v>0.82661012146296919</v>
      </c>
      <c r="GB4" s="14">
        <f>EXP(-1.0587+0.8836*LN(GA4)+0.284)</f>
        <v>0.38947445648608353</v>
      </c>
      <c r="GC4" s="22">
        <f t="shared" ref="GC4:GC67" si="25">(GA4+GB4)*0.475*44/12</f>
        <v>2.1180139732612671</v>
      </c>
      <c r="GD4" s="62">
        <f t="shared" ref="GD4:GD67" si="26">GC4+(FU4+FV4)*44/12</f>
        <v>169.93044792618511</v>
      </c>
      <c r="GE4" s="62">
        <f ca="1">AVERAGE(OFFSET($GD$3,0,0,'Données projet'!$E$17+1,1))-AVERAGE(OFFSET($H$3,0,0,'Données projet'!$E$17+1,1))</f>
        <v>223.57443551076992</v>
      </c>
      <c r="GF4" s="62">
        <f>$GF$3</f>
        <v>382.12751862619427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2.7411833378046713</v>
      </c>
      <c r="GU4" s="13">
        <f>IF('Données projet'!$A$270&gt;35,GU3+GT4-HC3,IF(A4&lt;'Données projet'!$A$270,$GR$205^A4,IF(A4='Données projet'!$A$270,'Données projet'!$B$270,GU3+GT4-HC3)))</f>
        <v>1.1842274500390775</v>
      </c>
      <c r="GV4" s="18">
        <f>GU4*VLOOKUP('Données projet'!$B$18,Paramètres!$A$1:$I$89,3,0)*VLOOKUP('Données projet'!$B$18,Paramètres!$A$1:$I$89,5,0)</f>
        <v>1.2931763754426726</v>
      </c>
      <c r="GW4" s="14">
        <f>EXP(-1.0587+0.8836*LN(GV4)+0.284)</f>
        <v>0.57837946261345585</v>
      </c>
      <c r="GX4" s="22">
        <f t="shared" ref="GX4:GX67" si="28">(GV4+GW4)*0.475*44/12</f>
        <v>3.2596264179477568</v>
      </c>
      <c r="GY4" s="62">
        <f t="shared" ref="GY4:GY67" si="29">GX4+(GP4+GQ4)*44/12</f>
        <v>171.07206037087158</v>
      </c>
      <c r="GZ4" s="62">
        <f ca="1">AVERAGE(OFFSET($GY$3,0,0,'Données projet'!$E$18+1,1))-AVERAGE(OFFSET($H$3,0,0,'Données projet'!$E$18+1,1))</f>
        <v>754.33260592777049</v>
      </c>
      <c r="HA4" s="62">
        <f>$HA$3</f>
        <v>250.97643915279005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9">
        <f t="shared" si="1"/>
        <v>183.33333333333334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550.39292625253665</v>
      </c>
      <c r="T5" s="62">
        <f t="shared" ref="T5:T68" si="34">$T$3</f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1.5572926756688519</v>
      </c>
      <c r="AK5" s="14">
        <f t="shared" ref="AK5:AK68" si="35">EXP(-1.0587+0.8836*LN(AJ5)+0.284)</f>
        <v>0.68160129960402205</v>
      </c>
      <c r="AL5" s="22">
        <f t="shared" si="4"/>
        <v>3.8994070069335893</v>
      </c>
      <c r="AM5" s="62">
        <f t="shared" si="5"/>
        <v>174.49668829443442</v>
      </c>
      <c r="AN5" s="62">
        <f ca="1">AVERAGE(OFFSET($AM$3,0,0,'Données projet'!$E$10+1,1))-AVERAGE(OFFSET($H$3,0,0,'Données projet'!$E$10+1,1))</f>
        <v>606.55142836375308</v>
      </c>
      <c r="AO5" s="62">
        <f t="shared" ref="AO5:AO68" si="36">$AO$3</f>
        <v>325.72635759450861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2.8205128205128203</v>
      </c>
      <c r="BD5" s="13">
        <f>IF('Données projet'!$A$88&gt;35,BD4+BC5-BL4,IF(A5&lt;'Données projet'!$A$88,$BA$205^A5,IF(A5='Données projet'!$A$88,'Données projet'!$B$88,BD4+BC5-BL4)))</f>
        <v>1.6476156619220312</v>
      </c>
      <c r="BE5" s="14">
        <f>BD5*VLOOKUP('Données projet'!$B$11,Paramètres!$A$1:$I$89,3,0)*VLOOKUP('Données projet'!$B$11,Paramètres!$A$1:$I$89,5,0)</f>
        <v>1.7220878898409073</v>
      </c>
      <c r="BF5" s="14">
        <f t="shared" ref="BF5:BF68" si="37">EXP(-1.0587+0.8836*LN(BE5)+0.284)</f>
        <v>0.74495585723355318</v>
      </c>
      <c r="BG5" s="22">
        <f t="shared" si="7"/>
        <v>4.2967678594880176</v>
      </c>
      <c r="BH5" s="62">
        <f t="shared" si="8"/>
        <v>174.89404914698886</v>
      </c>
      <c r="BI5" s="62">
        <f ca="1">AVERAGE(OFFSET($BH$3,0,0,'Données projet'!$E$11+1,1))-AVERAGE(OFFSET($H$3,0,0,'Données projet'!$E$11+1,1))</f>
        <v>635.13577238794812</v>
      </c>
      <c r="BJ5" s="62">
        <f t="shared" ref="BJ5:BJ68" si="38">$BJ$3</f>
        <v>374.35810525172019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5.4666666666666668</v>
      </c>
      <c r="BY5" s="13">
        <f>IF('Données projet'!$A$114&gt;35,BY4+BX5-CG4,IF(A5&lt;'Données projet'!$A$114,$BV$205^A5,IF(A5='Données projet'!$A$114,'Données projet'!$B$114,BY4+BX5-CG4)))</f>
        <v>1.7995966677143949</v>
      </c>
      <c r="BZ5" s="14">
        <f>BY5*VLOOKUP('Données projet'!$B$12,Paramètres!$A$1:$I$89,3,0)*VLOOKUP('Données projet'!$B$12,Paramètres!$A$1:$I$89,5,0)</f>
        <v>0.79542172712976256</v>
      </c>
      <c r="CA5" s="14">
        <f t="shared" ref="CA5:CA68" si="39">EXP(-1.0587+0.8836*LN(BZ5)+0.284)</f>
        <v>0.37646098254897048</v>
      </c>
      <c r="CB5" s="22">
        <f t="shared" si="10"/>
        <v>2.0410290526904595</v>
      </c>
      <c r="CC5" s="62">
        <f t="shared" si="11"/>
        <v>172.63831034019128</v>
      </c>
      <c r="CD5" s="62">
        <f ca="1">AVERAGE(OFFSET($CC$3,0,0,'Données projet'!$E$12+1,1))-AVERAGE(OFFSET($H$3,0,0,'Données projet'!$E$12+1,1))</f>
        <v>580.02817743695846</v>
      </c>
      <c r="CE5" s="62">
        <f t="shared" ref="CE5:CE68" si="40">$CE$3</f>
        <v>551.23515633208865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4.9084615384615384</v>
      </c>
      <c r="CT5" s="13">
        <f>IF('Données projet'!$A$140&gt;35,CT4+CS5-DB4,IF(A5&lt;'Données projet'!$A$140,$CQ$205^A5,IF(A5='Données projet'!$A$140,'Données projet'!$B$140,CT4+CS5-DB4)))</f>
        <v>1.3948829842152777</v>
      </c>
      <c r="CU5" s="18">
        <f>CT5*VLOOKUP('Données projet'!$B$13,Paramètres!$A$1:$I$89,3,0)*VLOOKUP('Données projet'!$B$13,Paramètres!$A$1:$I$89,5,0)</f>
        <v>0.65280523661274992</v>
      </c>
      <c r="CV5" s="14">
        <f t="shared" ref="CV5:CV68" si="41">EXP(-1.0587+0.8836*LN(CU5)+0.284)</f>
        <v>0.31615123301372139</v>
      </c>
      <c r="CW5" s="22">
        <f t="shared" si="13"/>
        <v>1.6875991845994376</v>
      </c>
      <c r="CX5" s="62">
        <f t="shared" si="14"/>
        <v>172.28488047210027</v>
      </c>
      <c r="CY5" s="62">
        <f ca="1">AVERAGE(OFFSET($CX$3,0,0,'Données projet'!$E$13+1,1))-AVERAGE(OFFSET($H$3,0,0,'Données projet'!$E$13+1,1))</f>
        <v>321.05795935196863</v>
      </c>
      <c r="CZ5" s="62">
        <f t="shared" ref="CZ5:CZ68" si="42">$CZ$3</f>
        <v>209.59551322748908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IF('Données projet'!$A$166&gt;35,DO4+DN5-DW4,IF(A5&lt;'Données projet'!$A$166,$DL$205^A5,IF(A5='Données projet'!$A$166,'Données projet'!$B$166,DO4+DN5-DW4)))</f>
        <v>1.5357915933617867</v>
      </c>
      <c r="DP5" s="18">
        <f>DO5*VLOOKUP('Données projet'!$B$14,Paramètres!$A$1:$I$89,3,0)*VLOOKUP('Données projet'!$B$14,Paramètres!$A$1:$I$89,5,0)</f>
        <v>1.6531260710946272</v>
      </c>
      <c r="DQ5" s="14">
        <f t="shared" ref="DQ5:DQ68" si="43">EXP(-1.0587+0.8836*LN(DP5)+0.284)</f>
        <v>0.7185338367382873</v>
      </c>
      <c r="DR5" s="22">
        <f t="shared" si="16"/>
        <v>4.1306410061423255</v>
      </c>
      <c r="DS5" s="62">
        <f t="shared" si="17"/>
        <v>174.72792229364316</v>
      </c>
      <c r="DT5" s="62">
        <f ca="1">AVERAGE(OFFSET($DS$3,0,0,'Données projet'!$E$14+1,1))-AVERAGE(OFFSET($H$3,0,0,'Données projet'!$E$14+1,1))</f>
        <v>638.58602907610805</v>
      </c>
      <c r="DU5" s="62">
        <f t="shared" ref="DU5:DU68" si="44">$DU$3</f>
        <v>341.9250949809848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4.0552083333333337</v>
      </c>
      <c r="EJ5" s="13">
        <f>IF('Données projet'!$A$192&gt;35,EJ4+EI5-ER4,IF(A5&lt;'Données projet'!$A$192,$EG$205^A5,IF(A5='Données projet'!$A$192,'Données projet'!$B$192,EJ4+EI5-ER4)))</f>
        <v>1.9107288869951811</v>
      </c>
      <c r="EK5" s="18">
        <f>EJ5*VLOOKUP('Données projet'!$B$15,Paramètres!$A$1:$I$89,3,0)*VLOOKUP('Données projet'!$B$15,Paramètres!$A$1:$I$89,5,0)</f>
        <v>1.1426158744231183</v>
      </c>
      <c r="EL5" s="14">
        <f t="shared" ref="EL5:EL68" si="45">EXP(-1.0587+0.8836*LN(EK5)+0.284)</f>
        <v>0.51845698362995651</v>
      </c>
      <c r="EM5" s="22">
        <f t="shared" si="19"/>
        <v>2.8930352277757714</v>
      </c>
      <c r="EN5" s="62">
        <f t="shared" si="20"/>
        <v>173.49031651527662</v>
      </c>
      <c r="EO5" s="62">
        <f ca="1">AVERAGE(OFFSET($EN$3,0,0,'Données projet'!$E$15+1,1))-AVERAGE(OFFSET($H$3,0,0,'Données projet'!$E$15+1,1))</f>
        <v>223.57443551076992</v>
      </c>
      <c r="EP5" s="62">
        <f t="shared" ref="EP5:EP68" si="46">$EP$3</f>
        <v>382.12751862619427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1.5341666666666667</v>
      </c>
      <c r="FE5" s="13">
        <f>IF('Données projet'!$A$218&gt;35,FE4+FD5-FM4,IF(A5&lt;'Données projet'!$A$218,$FB$205^A5,IF(A5='Données projet'!$A$218,'Données projet'!$B$218,FE4+FD5-FM4)))</f>
        <v>1.726531508640238</v>
      </c>
      <c r="FF5" s="18">
        <f>FE5*VLOOKUP('Données projet'!$B$16,Paramètres!$A$1:$I$89,3,0)*VLOOKUP('Données projet'!$B$16,Paramètres!$A$1:$I$89,5,0)</f>
        <v>1.988964297953554</v>
      </c>
      <c r="FG5" s="14">
        <f t="shared" ref="FG5:FG68" si="47">EXP(-1.0587+0.8836*LN(FF5)+0.284)</f>
        <v>0.84609449833706862</v>
      </c>
      <c r="FH5" s="22">
        <f t="shared" si="22"/>
        <v>4.9377274035395011</v>
      </c>
      <c r="FI5" s="62">
        <f t="shared" si="23"/>
        <v>175.53500869104033</v>
      </c>
      <c r="FJ5" s="62">
        <f ca="1">AVERAGE(OFFSET($FI$3,0,0,'Données projet'!$E$16+1,1))-AVERAGE(OFFSET($H$3,0,0,'Données projet'!$E$16+1,1))</f>
        <v>283.95543623515323</v>
      </c>
      <c r="FK5" s="62">
        <f t="shared" ref="FK5:FK68" si="48">$FK$3</f>
        <v>196.96883829830929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4.0552083333333337</v>
      </c>
      <c r="FZ5" s="13">
        <f>IF('Données projet'!$A$244&gt;35,FZ4+FY5-GH4,IF(A5&lt;'Données projet'!$A$244,$FW$205^A5,IF(A5='Données projet'!$A$244,'Données projet'!$B$244,FZ4+FY5-GH4)))</f>
        <v>1.9107288869951811</v>
      </c>
      <c r="GA5" s="18">
        <f>FZ5*VLOOKUP('Données projet'!$B$17,Paramètres!$A$1:$I$89,3,0)*VLOOKUP('Données projet'!$B$17,Paramètres!$A$1:$I$89,5,0)</f>
        <v>1.1426158744231183</v>
      </c>
      <c r="GB5" s="14">
        <f t="shared" ref="GB5:GB68" si="49">EXP(-1.0587+0.8836*LN(GA5)+0.284)</f>
        <v>0.51845698362995651</v>
      </c>
      <c r="GC5" s="22">
        <f t="shared" si="25"/>
        <v>2.8930352277757714</v>
      </c>
      <c r="GD5" s="62">
        <f t="shared" si="26"/>
        <v>173.49031651527662</v>
      </c>
      <c r="GE5" s="62">
        <f ca="1">AVERAGE(OFFSET($GD$3,0,0,'Données projet'!$E$17+1,1))-AVERAGE(OFFSET($H$3,0,0,'Données projet'!$E$17+1,1))</f>
        <v>223.57443551076992</v>
      </c>
      <c r="GF5" s="62">
        <f t="shared" ref="GF5:GF68" si="50">$GF$3</f>
        <v>382.12751862619427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2.7411833378046713</v>
      </c>
      <c r="GU5" s="13">
        <f>IF('Données projet'!$A$270&gt;35,GU4+GT5-HC4,IF(A5&lt;'Données projet'!$A$270,$GR$205^A5,IF(A5='Données projet'!$A$270,'Données projet'!$B$270,GU4+GT5-HC4)))</f>
        <v>1.4023946534260558</v>
      </c>
      <c r="GV5" s="18">
        <f>GU5*VLOOKUP('Données projet'!$B$18,Paramètres!$A$1:$I$89,3,0)*VLOOKUP('Données projet'!$B$18,Paramètres!$A$1:$I$89,5,0)</f>
        <v>1.5314149615412529</v>
      </c>
      <c r="GW5" s="14">
        <f t="shared" ref="GW5:GW68" si="51">EXP(-1.0587+0.8836*LN(GV5)+0.284)</f>
        <v>0.67158368741299568</v>
      </c>
      <c r="GX5" s="22">
        <f t="shared" si="28"/>
        <v>3.8368893135953157</v>
      </c>
      <c r="GY5" s="62">
        <f t="shared" si="29"/>
        <v>174.43417060109616</v>
      </c>
      <c r="GZ5" s="62">
        <f ca="1">AVERAGE(OFFSET($GY$3,0,0,'Données projet'!$E$18+1,1))-AVERAGE(OFFSET($H$3,0,0,'Données projet'!$E$18+1,1))</f>
        <v>754.33260592777049</v>
      </c>
      <c r="HA5" s="62">
        <f t="shared" ref="HA5:HA68" si="52">$HA$3</f>
        <v>250.97643915279005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9">
        <f t="shared" si="1"/>
        <v>183.33333333333334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550.39292625253665</v>
      </c>
      <c r="T6" s="62">
        <f t="shared" si="34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1.9299070117993768</v>
      </c>
      <c r="AK6" s="14">
        <f t="shared" si="35"/>
        <v>0.82385733708903885</v>
      </c>
      <c r="AL6" s="22">
        <f t="shared" si="4"/>
        <v>4.7961395743139903</v>
      </c>
      <c r="AM6" s="62">
        <f t="shared" si="5"/>
        <v>178.15116014419888</v>
      </c>
      <c r="AN6" s="62">
        <f ca="1">AVERAGE(OFFSET($AM$3,0,0,'Données projet'!$E$10+1,1))-AVERAGE(OFFSET($H$3,0,0,'Données projet'!$E$10+1,1))</f>
        <v>606.55142836375308</v>
      </c>
      <c r="AO6" s="62">
        <f t="shared" si="36"/>
        <v>325.72635759450861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2.8205128205128203</v>
      </c>
      <c r="BD6" s="13">
        <f>IF('Données projet'!$A$88&gt;35,BD5+BC6-BL5,IF(A6&lt;'Données projet'!$A$88,$BA$205^A6,IF(A6='Données projet'!$A$88,'Données projet'!$B$88,BD5+BC6-BL5)))</f>
        <v>2.1148709289883421</v>
      </c>
      <c r="BE6" s="14">
        <f>BD6*VLOOKUP('Données projet'!$B$11,Paramètres!$A$1:$I$89,3,0)*VLOOKUP('Données projet'!$B$11,Paramètres!$A$1:$I$89,5,0)</f>
        <v>2.2104630949786155</v>
      </c>
      <c r="BF6" s="14">
        <f t="shared" si="37"/>
        <v>0.92883266656093877</v>
      </c>
      <c r="BG6" s="22">
        <f t="shared" si="7"/>
        <v>5.4676067846813901</v>
      </c>
      <c r="BH6" s="62">
        <f t="shared" si="8"/>
        <v>178.82262735456627</v>
      </c>
      <c r="BI6" s="62">
        <f ca="1">AVERAGE(OFFSET($BH$3,0,0,'Données projet'!$E$11+1,1))-AVERAGE(OFFSET($H$3,0,0,'Données projet'!$E$11+1,1))</f>
        <v>635.13577238794812</v>
      </c>
      <c r="BJ6" s="62">
        <f t="shared" si="38"/>
        <v>374.35810525172019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5.4666666666666668</v>
      </c>
      <c r="BY6" s="13">
        <f>IF('Données projet'!$A$114&gt;35,BY5+BX6-CG5,IF(A6&lt;'Données projet'!$A$114,$BV$205^A6,IF(A6='Données projet'!$A$114,'Données projet'!$B$114,BY5+BX6-CG5)))</f>
        <v>2.4141417706037358</v>
      </c>
      <c r="BZ6" s="14">
        <f>BY6*VLOOKUP('Données projet'!$B$12,Paramètres!$A$1:$I$89,3,0)*VLOOKUP('Données projet'!$B$12,Paramètres!$A$1:$I$89,5,0)</f>
        <v>1.0670506626068514</v>
      </c>
      <c r="CA6" s="14">
        <f t="shared" si="39"/>
        <v>0.48804106487846849</v>
      </c>
      <c r="CB6" s="22">
        <f t="shared" si="10"/>
        <v>2.7084514253702654</v>
      </c>
      <c r="CC6" s="62">
        <f t="shared" si="11"/>
        <v>176.06347199525516</v>
      </c>
      <c r="CD6" s="62">
        <f ca="1">AVERAGE(OFFSET($CC$3,0,0,'Données projet'!$E$12+1,1))-AVERAGE(OFFSET($H$3,0,0,'Données projet'!$E$12+1,1))</f>
        <v>580.02817743695846</v>
      </c>
      <c r="CE6" s="62">
        <f t="shared" si="40"/>
        <v>551.23515633208865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4.9084615384615384</v>
      </c>
      <c r="CT6" s="13">
        <f>IF('Données projet'!$A$140&gt;35,CT5+CS6-DB5,IF(A6&lt;'Données projet'!$A$140,$CQ$205^A6,IF(A6='Données projet'!$A$140,'Données projet'!$B$140,CT5+CS6-DB5)))</f>
        <v>1.6474288407621522</v>
      </c>
      <c r="CU6" s="18">
        <f>CT6*VLOOKUP('Données projet'!$B$13,Paramètres!$A$1:$I$89,3,0)*VLOOKUP('Données projet'!$B$13,Paramètres!$A$1:$I$89,5,0)</f>
        <v>0.7709966974766872</v>
      </c>
      <c r="CV6" s="14">
        <f t="shared" si="41"/>
        <v>0.36622810482944673</v>
      </c>
      <c r="CW6" s="22">
        <f t="shared" si="13"/>
        <v>1.9806665306831832</v>
      </c>
      <c r="CX6" s="62">
        <f t="shared" si="14"/>
        <v>175.33568710056807</v>
      </c>
      <c r="CY6" s="62">
        <f ca="1">AVERAGE(OFFSET($CX$3,0,0,'Données projet'!$E$13+1,1))-AVERAGE(OFFSET($H$3,0,0,'Données projet'!$E$13+1,1))</f>
        <v>321.05795935196863</v>
      </c>
      <c r="CZ6" s="62">
        <f t="shared" si="42"/>
        <v>209.59551322748908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IF('Données projet'!$A$166&gt;35,DO5+DN6-DW5,IF(A6&lt;'Données projet'!$A$166,$DL$205^A6,IF(A6='Données projet'!$A$166,'Données projet'!$B$166,DO5+DN6-DW5)))</f>
        <v>1.9032613528593461</v>
      </c>
      <c r="DP6" s="18">
        <f>DO6*VLOOKUP('Données projet'!$B$14,Paramètres!$A$1:$I$89,3,0)*VLOOKUP('Données projet'!$B$14,Paramètres!$A$1:$I$89,5,0)</f>
        <v>2.0486705202177999</v>
      </c>
      <c r="DQ6" s="14">
        <f t="shared" si="43"/>
        <v>0.86849801150244532</v>
      </c>
      <c r="DR6" s="22">
        <f t="shared" si="16"/>
        <v>5.0807351927460944</v>
      </c>
      <c r="DS6" s="62">
        <f t="shared" si="17"/>
        <v>178.43575576263098</v>
      </c>
      <c r="DT6" s="62">
        <f ca="1">AVERAGE(OFFSET($DS$3,0,0,'Données projet'!$E$14+1,1))-AVERAGE(OFFSET($H$3,0,0,'Données projet'!$E$14+1,1))</f>
        <v>638.58602907610805</v>
      </c>
      <c r="DU6" s="62">
        <f t="shared" si="44"/>
        <v>341.9250949809848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4.0552083333333337</v>
      </c>
      <c r="EJ6" s="13">
        <f>IF('Données projet'!$A$192&gt;35,EJ5+EI6-ER5,IF(A6&lt;'Données projet'!$A$192,$EG$205^A6,IF(A6='Données projet'!$A$192,'Données projet'!$B$192,EJ5+EI6-ER5)))</f>
        <v>2.6411836745182118</v>
      </c>
      <c r="EK6" s="18">
        <f>EJ6*VLOOKUP('Données projet'!$B$15,Paramètres!$A$1:$I$89,3,0)*VLOOKUP('Données projet'!$B$15,Paramètres!$A$1:$I$89,5,0)</f>
        <v>1.5794278373618909</v>
      </c>
      <c r="EL6" s="14">
        <f t="shared" si="45"/>
        <v>0.69015474416427491</v>
      </c>
      <c r="EM6" s="22">
        <f t="shared" si="19"/>
        <v>3.9528563294914054</v>
      </c>
      <c r="EN6" s="62">
        <f t="shared" si="20"/>
        <v>177.30787689937628</v>
      </c>
      <c r="EO6" s="62">
        <f ca="1">AVERAGE(OFFSET($EN$3,0,0,'Données projet'!$E$15+1,1))-AVERAGE(OFFSET($H$3,0,0,'Données projet'!$E$15+1,1))</f>
        <v>223.57443551076992</v>
      </c>
      <c r="EP6" s="62">
        <f t="shared" si="46"/>
        <v>382.12751862619427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1.5341666666666667</v>
      </c>
      <c r="FE6" s="13">
        <f>IF('Données projet'!$A$218&gt;35,FE5+FD6-FM5,IF(A6&lt;'Données projet'!$A$218,$FB$205^A6,IF(A6='Données projet'!$A$218,'Données projet'!$B$218,FE5+FD6-FM5)))</f>
        <v>2.2686200327168842</v>
      </c>
      <c r="FF6" s="18">
        <f>FE6*VLOOKUP('Données projet'!$B$16,Paramètres!$A$1:$I$89,3,0)*VLOOKUP('Données projet'!$B$16,Paramètres!$A$1:$I$89,5,0)</f>
        <v>2.6134502776898505</v>
      </c>
      <c r="FG6" s="14">
        <f t="shared" si="47"/>
        <v>1.0769674288196409</v>
      </c>
      <c r="FH6" s="22">
        <f t="shared" si="22"/>
        <v>6.4274775055040303</v>
      </c>
      <c r="FI6" s="62">
        <f t="shared" si="23"/>
        <v>179.78249807538893</v>
      </c>
      <c r="FJ6" s="62">
        <f ca="1">AVERAGE(OFFSET($FI$3,0,0,'Données projet'!$E$16+1,1))-AVERAGE(OFFSET($H$3,0,0,'Données projet'!$E$16+1,1))</f>
        <v>283.95543623515323</v>
      </c>
      <c r="FK6" s="62">
        <f t="shared" si="48"/>
        <v>196.96883829830929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4.0552083333333337</v>
      </c>
      <c r="FZ6" s="13">
        <f>IF('Données projet'!$A$244&gt;35,FZ5+FY6-GH5,IF(A6&lt;'Données projet'!$A$244,$FW$205^A6,IF(A6='Données projet'!$A$244,'Données projet'!$B$244,FZ5+FY6-GH5)))</f>
        <v>2.6411836745182118</v>
      </c>
      <c r="GA6" s="18">
        <f>FZ6*VLOOKUP('Données projet'!$B$17,Paramètres!$A$1:$I$89,3,0)*VLOOKUP('Données projet'!$B$17,Paramètres!$A$1:$I$89,5,0)</f>
        <v>1.5794278373618909</v>
      </c>
      <c r="GB6" s="14">
        <f t="shared" si="49"/>
        <v>0.69015474416427491</v>
      </c>
      <c r="GC6" s="22">
        <f t="shared" si="25"/>
        <v>3.9528563294914054</v>
      </c>
      <c r="GD6" s="62">
        <f t="shared" si="26"/>
        <v>177.30787689937628</v>
      </c>
      <c r="GE6" s="62">
        <f ca="1">AVERAGE(OFFSET($GD$3,0,0,'Données projet'!$E$17+1,1))-AVERAGE(OFFSET($H$3,0,0,'Données projet'!$E$17+1,1))</f>
        <v>223.57443551076992</v>
      </c>
      <c r="GF6" s="62">
        <f t="shared" si="50"/>
        <v>382.12751862619427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2.7411833378046713</v>
      </c>
      <c r="GU6" s="13">
        <f>IF('Données projet'!$A$270&gt;35,GU5+GT6-HC5,IF(A6&lt;'Données projet'!$A$270,$GR$205^A6,IF(A6='Données projet'!$A$270,'Données projet'!$B$270,GU5+GT6-HC5)))</f>
        <v>1.6607542443751739</v>
      </c>
      <c r="GV6" s="18">
        <f>GU6*VLOOKUP('Données projet'!$B$18,Paramètres!$A$1:$I$89,3,0)*VLOOKUP('Données projet'!$B$18,Paramètres!$A$1:$I$89,5,0)</f>
        <v>1.8135436348576899</v>
      </c>
      <c r="GW6" s="14">
        <f t="shared" si="51"/>
        <v>0.77980751107801072</v>
      </c>
      <c r="GX6" s="22">
        <f t="shared" si="28"/>
        <v>4.5167532458380117</v>
      </c>
      <c r="GY6" s="62">
        <f t="shared" si="29"/>
        <v>177.87177381572289</v>
      </c>
      <c r="GZ6" s="62">
        <f ca="1">AVERAGE(OFFSET($GY$3,0,0,'Données projet'!$E$18+1,1))-AVERAGE(OFFSET($H$3,0,0,'Données projet'!$E$18+1,1))</f>
        <v>754.33260592777049</v>
      </c>
      <c r="HA6" s="62">
        <f t="shared" si="52"/>
        <v>250.97643915279005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9">
        <f t="shared" si="1"/>
        <v>183.33333333333334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550.39292625253665</v>
      </c>
      <c r="T7" s="62">
        <f t="shared" si="34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2.3916769996961063</v>
      </c>
      <c r="AK7" s="14">
        <f t="shared" si="35"/>
        <v>0.9958034297612971</v>
      </c>
      <c r="AL7" s="22">
        <f t="shared" si="4"/>
        <v>5.8998617479716442</v>
      </c>
      <c r="AM7" s="62">
        <f t="shared" si="5"/>
        <v>181.98598381214859</v>
      </c>
      <c r="AN7" s="62">
        <f ca="1">AVERAGE(OFFSET($AM$3,0,0,'Données projet'!$E$10+1,1))-AVERAGE(OFFSET($H$3,0,0,'Données projet'!$E$10+1,1))</f>
        <v>606.55142836375308</v>
      </c>
      <c r="AO7" s="62">
        <f t="shared" si="36"/>
        <v>325.72635759450861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2.8205128205128203</v>
      </c>
      <c r="BD7" s="13">
        <f>IF('Données projet'!$A$88&gt;35,BD6+BC7-BL6,IF(A7&lt;'Données projet'!$A$88,$BA$205^A7,IF(A7='Données projet'!$A$88,'Données projet'!$B$88,BD6+BC7-BL6)))</f>
        <v>2.7146373694107733</v>
      </c>
      <c r="BE7" s="14">
        <f>BD7*VLOOKUP('Données projet'!$B$11,Paramètres!$A$1:$I$89,3,0)*VLOOKUP('Données projet'!$B$11,Paramètres!$A$1:$I$89,5,0)</f>
        <v>2.8373389785081402</v>
      </c>
      <c r="BF7" s="14">
        <f t="shared" si="37"/>
        <v>1.1580956295511442</v>
      </c>
      <c r="BG7" s="22">
        <f t="shared" si="7"/>
        <v>6.9587152757032529</v>
      </c>
      <c r="BH7" s="62">
        <f t="shared" si="8"/>
        <v>183.04483733988019</v>
      </c>
      <c r="BI7" s="62">
        <f ca="1">AVERAGE(OFFSET($BH$3,0,0,'Données projet'!$E$11+1,1))-AVERAGE(OFFSET($H$3,0,0,'Données projet'!$E$11+1,1))</f>
        <v>635.13577238794812</v>
      </c>
      <c r="BJ7" s="62">
        <f t="shared" si="38"/>
        <v>374.35810525172019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5.4666666666666668</v>
      </c>
      <c r="BY7" s="13">
        <f>IF('Données projet'!$A$114&gt;35,BY6+BX7-CG6,IF(A7&lt;'Données projet'!$A$114,$BV$205^A7,IF(A7='Données projet'!$A$114,'Données projet'!$B$114,BY6+BX7-CG6)))</f>
        <v>3.2385481664487541</v>
      </c>
      <c r="BZ7" s="14">
        <f>BY7*VLOOKUP('Données projet'!$B$12,Paramètres!$A$1:$I$89,3,0)*VLOOKUP('Données projet'!$B$12,Paramètres!$A$1:$I$89,5,0)</f>
        <v>1.4314382895703492</v>
      </c>
      <c r="CA7" s="14">
        <f t="shared" si="39"/>
        <v>0.63269260839461927</v>
      </c>
      <c r="CB7" s="22">
        <f t="shared" si="10"/>
        <v>3.5950279806223207</v>
      </c>
      <c r="CC7" s="62">
        <f t="shared" si="11"/>
        <v>179.68115004479927</v>
      </c>
      <c r="CD7" s="62">
        <f ca="1">AVERAGE(OFFSET($CC$3,0,0,'Données projet'!$E$12+1,1))-AVERAGE(OFFSET($H$3,0,0,'Données projet'!$E$12+1,1))</f>
        <v>580.02817743695846</v>
      </c>
      <c r="CE7" s="62">
        <f t="shared" si="40"/>
        <v>551.23515633208865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4.9084615384615384</v>
      </c>
      <c r="CT7" s="13">
        <f>IF('Données projet'!$A$140&gt;35,CT6+CS7-DB6,IF(A7&lt;'Données projet'!$A$140,$CQ$205^A7,IF(A7='Données projet'!$A$140,'Données projet'!$B$140,CT6+CS7-DB6)))</f>
        <v>1.9456985396533186</v>
      </c>
      <c r="CU7" s="18">
        <f>CT7*VLOOKUP('Données projet'!$B$13,Paramètres!$A$1:$I$89,3,0)*VLOOKUP('Données projet'!$B$13,Paramètres!$A$1:$I$89,5,0)</f>
        <v>0.91058691655775315</v>
      </c>
      <c r="CV7" s="14">
        <f t="shared" si="41"/>
        <v>0.42423691816235021</v>
      </c>
      <c r="CW7" s="22">
        <f t="shared" si="13"/>
        <v>2.32481817880418</v>
      </c>
      <c r="CX7" s="62">
        <f t="shared" si="14"/>
        <v>178.41094024298113</v>
      </c>
      <c r="CY7" s="62">
        <f ca="1">AVERAGE(OFFSET($CX$3,0,0,'Données projet'!$E$13+1,1))-AVERAGE(OFFSET($H$3,0,0,'Données projet'!$E$13+1,1))</f>
        <v>321.05795935196863</v>
      </c>
      <c r="CZ7" s="62">
        <f t="shared" si="42"/>
        <v>209.59551322748908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IF('Données projet'!$A$166&gt;35,DO6+DN7-DW6,IF(A7&lt;'Données projet'!$A$166,$DL$205^A7,IF(A7='Données projet'!$A$166,'Données projet'!$B$166,DO6+DN7-DW6)))</f>
        <v>2.3586558182407358</v>
      </c>
      <c r="DP7" s="18">
        <f>DO7*VLOOKUP('Données projet'!$B$14,Paramètres!$A$1:$I$89,3,0)*VLOOKUP('Données projet'!$B$14,Paramètres!$A$1:$I$89,5,0)</f>
        <v>2.5388571227543277</v>
      </c>
      <c r="DQ7" s="14">
        <f t="shared" si="43"/>
        <v>1.0497609958185417</v>
      </c>
      <c r="DR7" s="22">
        <f t="shared" si="16"/>
        <v>6.2501765565144138</v>
      </c>
      <c r="DS7" s="62">
        <f t="shared" si="17"/>
        <v>182.33629862069137</v>
      </c>
      <c r="DT7" s="62">
        <f ca="1">AVERAGE(OFFSET($DS$3,0,0,'Données projet'!$E$14+1,1))-AVERAGE(OFFSET($H$3,0,0,'Données projet'!$E$14+1,1))</f>
        <v>638.58602907610805</v>
      </c>
      <c r="DU7" s="62">
        <f t="shared" si="44"/>
        <v>341.9250949809848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4.0552083333333337</v>
      </c>
      <c r="EJ7" s="13">
        <f>IF('Données projet'!$A$192&gt;35,EJ6+EI7-ER6,IF(A7&lt;'Données projet'!$A$192,$EG$205^A7,IF(A7='Données projet'!$A$192,'Données projet'!$B$192,EJ6+EI7-ER6)))</f>
        <v>3.6508848795978435</v>
      </c>
      <c r="EK7" s="18">
        <f>EJ7*VLOOKUP('Données projet'!$B$15,Paramètres!$A$1:$I$89,3,0)*VLOOKUP('Données projet'!$B$15,Paramètres!$A$1:$I$89,5,0)</f>
        <v>2.1832291579995107</v>
      </c>
      <c r="EL7" s="14">
        <f t="shared" si="45"/>
        <v>0.91871377169531943</v>
      </c>
      <c r="EM7" s="22">
        <f t="shared" si="19"/>
        <v>5.4025506025518295</v>
      </c>
      <c r="EN7" s="62">
        <f t="shared" si="20"/>
        <v>181.48867266672877</v>
      </c>
      <c r="EO7" s="62">
        <f ca="1">AVERAGE(OFFSET($EN$3,0,0,'Données projet'!$E$15+1,1))-AVERAGE(OFFSET($H$3,0,0,'Données projet'!$E$15+1,1))</f>
        <v>223.57443551076992</v>
      </c>
      <c r="EP7" s="62">
        <f t="shared" si="46"/>
        <v>382.12751862619427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1.5341666666666667</v>
      </c>
      <c r="FE7" s="13">
        <f>IF('Données projet'!$A$218&gt;35,FE6+FD7-FM6,IF(A7&lt;'Données projet'!$A$218,$FB$205^A7,IF(A7='Données projet'!$A$218,'Données projet'!$B$218,FE6+FD7-FM6)))</f>
        <v>2.9809110503275362</v>
      </c>
      <c r="FF7" s="18">
        <f>FE7*VLOOKUP('Données projet'!$B$16,Paramètres!$A$1:$I$89,3,0)*VLOOKUP('Données projet'!$B$16,Paramètres!$A$1:$I$89,5,0)</f>
        <v>3.4340095299773217</v>
      </c>
      <c r="FG7" s="14">
        <f t="shared" si="47"/>
        <v>1.3708384170066097</v>
      </c>
      <c r="FH7" s="22">
        <f t="shared" si="22"/>
        <v>8.3684435076636809</v>
      </c>
      <c r="FI7" s="62">
        <f t="shared" si="23"/>
        <v>184.45456557184062</v>
      </c>
      <c r="FJ7" s="62">
        <f ca="1">AVERAGE(OFFSET($FI$3,0,0,'Données projet'!$E$16+1,1))-AVERAGE(OFFSET($H$3,0,0,'Données projet'!$E$16+1,1))</f>
        <v>283.95543623515323</v>
      </c>
      <c r="FK7" s="62">
        <f t="shared" si="48"/>
        <v>196.96883829830929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4.0552083333333337</v>
      </c>
      <c r="FZ7" s="13">
        <f>IF('Données projet'!$A$244&gt;35,FZ6+FY7-GH6,IF(A7&lt;'Données projet'!$A$244,$FW$205^A7,IF(A7='Données projet'!$A$244,'Données projet'!$B$244,FZ6+FY7-GH6)))</f>
        <v>3.6508848795978435</v>
      </c>
      <c r="GA7" s="18">
        <f>FZ7*VLOOKUP('Données projet'!$B$17,Paramètres!$A$1:$I$89,3,0)*VLOOKUP('Données projet'!$B$17,Paramètres!$A$1:$I$89,5,0)</f>
        <v>2.1832291579995107</v>
      </c>
      <c r="GB7" s="14">
        <f t="shared" si="49"/>
        <v>0.91871377169531943</v>
      </c>
      <c r="GC7" s="22">
        <f t="shared" si="25"/>
        <v>5.4025506025518295</v>
      </c>
      <c r="GD7" s="62">
        <f t="shared" si="26"/>
        <v>181.48867266672877</v>
      </c>
      <c r="GE7" s="62">
        <f ca="1">AVERAGE(OFFSET($GD$3,0,0,'Données projet'!$E$17+1,1))-AVERAGE(OFFSET($H$3,0,0,'Données projet'!$E$17+1,1))</f>
        <v>223.57443551076992</v>
      </c>
      <c r="GF7" s="62">
        <f t="shared" si="50"/>
        <v>382.12751862619427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2.7411833378046713</v>
      </c>
      <c r="GU7" s="13">
        <f>IF('Données projet'!$A$270&gt;35,GU6+GT7-HC6,IF(A7&lt;'Données projet'!$A$270,$GR$205^A7,IF(A7='Données projet'!$A$270,'Données projet'!$B$270,GU6+GT7-HC6)))</f>
        <v>1.9667107639579873</v>
      </c>
      <c r="GV7" s="18">
        <f>GU7*VLOOKUP('Données projet'!$B$18,Paramètres!$A$1:$I$89,3,0)*VLOOKUP('Données projet'!$B$18,Paramètres!$A$1:$I$89,5,0)</f>
        <v>2.147648154242122</v>
      </c>
      <c r="GW7" s="14">
        <f t="shared" si="51"/>
        <v>0.90547129975139795</v>
      </c>
      <c r="GX7" s="22">
        <f t="shared" si="28"/>
        <v>5.3175163823720473</v>
      </c>
      <c r="GY7" s="62">
        <f t="shared" si="29"/>
        <v>181.403638446549</v>
      </c>
      <c r="GZ7" s="62">
        <f ca="1">AVERAGE(OFFSET($GY$3,0,0,'Données projet'!$E$18+1,1))-AVERAGE(OFFSET($H$3,0,0,'Données projet'!$E$18+1,1))</f>
        <v>754.33260592777049</v>
      </c>
      <c r="HA7" s="62">
        <f t="shared" si="52"/>
        <v>250.97643915279005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9">
        <f t="shared" si="1"/>
        <v>183.33333333333334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550.39292625253665</v>
      </c>
      <c r="T8" s="62">
        <f t="shared" si="34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2.9639349646914495</v>
      </c>
      <c r="AK8" s="14">
        <f t="shared" si="35"/>
        <v>1.2036361467970902</v>
      </c>
      <c r="AL8" s="22">
        <f t="shared" si="4"/>
        <v>7.2585196858425398</v>
      </c>
      <c r="AM8" s="62">
        <f t="shared" si="5"/>
        <v>186.04956756228989</v>
      </c>
      <c r="AN8" s="62">
        <f ca="1">AVERAGE(OFFSET($AM$3,0,0,'Données projet'!$E$10+1,1))-AVERAGE(OFFSET($H$3,0,0,'Données projet'!$E$10+1,1))</f>
        <v>606.55142836375308</v>
      </c>
      <c r="AO8" s="62">
        <f t="shared" si="36"/>
        <v>325.72635759450861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2.8205128205128203</v>
      </c>
      <c r="BD8" s="13">
        <f>IF('Données projet'!$A$88&gt;35,BD7+BC8-BL7,IF(A8&lt;'Données projet'!$A$88,$BA$205^A8,IF(A8='Données projet'!$A$88,'Données projet'!$B$88,BD7+BC8-BL7)))</f>
        <v>3.4844944655447883</v>
      </c>
      <c r="BE8" s="14">
        <f>BD8*VLOOKUP('Données projet'!$B$11,Paramètres!$A$1:$I$89,3,0)*VLOOKUP('Données projet'!$B$11,Paramètres!$A$1:$I$89,5,0)</f>
        <v>3.6419936153874133</v>
      </c>
      <c r="BF8" s="14">
        <f t="shared" si="37"/>
        <v>1.4439473712216484</v>
      </c>
      <c r="BG8" s="22">
        <f t="shared" si="7"/>
        <v>8.8580138850107826</v>
      </c>
      <c r="BH8" s="62">
        <f t="shared" si="8"/>
        <v>187.64906176145814</v>
      </c>
      <c r="BI8" s="62">
        <f ca="1">AVERAGE(OFFSET($BH$3,0,0,'Données projet'!$E$11+1,1))-AVERAGE(OFFSET($H$3,0,0,'Données projet'!$E$11+1,1))</f>
        <v>635.13577238794812</v>
      </c>
      <c r="BJ8" s="62">
        <f t="shared" si="38"/>
        <v>374.35810525172019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5.4666666666666668</v>
      </c>
      <c r="BY8" s="13">
        <f>IF('Données projet'!$A$114&gt;35,BY7+BX8-CG7,IF(A8&lt;'Données projet'!$A$114,$BV$205^A8,IF(A8='Données projet'!$A$114,'Données projet'!$B$114,BY7+BX8-CG7)))</f>
        <v>4.344481485768612</v>
      </c>
      <c r="BZ8" s="14">
        <f>BY8*VLOOKUP('Données projet'!$B$12,Paramètres!$A$1:$I$89,3,0)*VLOOKUP('Données projet'!$B$12,Paramètres!$A$1:$I$89,5,0)</f>
        <v>1.9202608167097266</v>
      </c>
      <c r="CA8" s="14">
        <f t="shared" si="39"/>
        <v>0.8202177347860462</v>
      </c>
      <c r="CB8" s="22">
        <f t="shared" si="10"/>
        <v>4.7730001438551382</v>
      </c>
      <c r="CC8" s="62">
        <f t="shared" si="11"/>
        <v>183.56404802030249</v>
      </c>
      <c r="CD8" s="62">
        <f ca="1">AVERAGE(OFFSET($CC$3,0,0,'Données projet'!$E$12+1,1))-AVERAGE(OFFSET($H$3,0,0,'Données projet'!$E$12+1,1))</f>
        <v>580.02817743695846</v>
      </c>
      <c r="CE8" s="62">
        <f t="shared" si="40"/>
        <v>551.23515633208865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4.9084615384615384</v>
      </c>
      <c r="CT8" s="13">
        <f>IF('Données projet'!$A$140&gt;35,CT7+CS8-DB7,IF(A8&lt;'Données projet'!$A$140,$CQ$205^A8,IF(A8='Données projet'!$A$140,'Données projet'!$B$140,CT7+CS8-DB7)))</f>
        <v>2.2979704576846265</v>
      </c>
      <c r="CU8" s="18">
        <f>CT8*VLOOKUP('Données projet'!$B$13,Paramètres!$A$1:$I$89,3,0)*VLOOKUP('Données projet'!$B$13,Paramètres!$A$1:$I$89,5,0)</f>
        <v>1.0754501741964051</v>
      </c>
      <c r="CV8" s="14">
        <f t="shared" si="41"/>
        <v>0.49143405532927165</v>
      </c>
      <c r="CW8" s="22">
        <f t="shared" si="13"/>
        <v>2.7289900330905534</v>
      </c>
      <c r="CX8" s="62">
        <f t="shared" si="14"/>
        <v>181.5200379095379</v>
      </c>
      <c r="CY8" s="62">
        <f ca="1">AVERAGE(OFFSET($CX$3,0,0,'Données projet'!$E$13+1,1))-AVERAGE(OFFSET($H$3,0,0,'Données projet'!$E$13+1,1))</f>
        <v>321.05795935196863</v>
      </c>
      <c r="CZ8" s="62">
        <f t="shared" si="42"/>
        <v>209.59551322748908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IF('Données projet'!$A$166&gt;35,DO7+DN8-DW7,IF(A8&lt;'Données projet'!$A$166,$DL$205^A8,IF(A8='Données projet'!$A$166,'Données projet'!$B$166,DO7+DN8-DW7)))</f>
        <v>2.9230127856917649</v>
      </c>
      <c r="DP8" s="18">
        <f>DO8*VLOOKUP('Données projet'!$B$14,Paramètres!$A$1:$I$89,3,0)*VLOOKUP('Données projet'!$B$14,Paramètres!$A$1:$I$89,5,0)</f>
        <v>3.1463309625186153</v>
      </c>
      <c r="DQ8" s="14">
        <f t="shared" si="43"/>
        <v>1.2688551196974542</v>
      </c>
      <c r="DR8" s="22">
        <f t="shared" si="16"/>
        <v>7.6897824265263219</v>
      </c>
      <c r="DS8" s="62">
        <f t="shared" si="17"/>
        <v>186.48083030297369</v>
      </c>
      <c r="DT8" s="62">
        <f ca="1">AVERAGE(OFFSET($DS$3,0,0,'Données projet'!$E$14+1,1))-AVERAGE(OFFSET($H$3,0,0,'Données projet'!$E$14+1,1))</f>
        <v>638.58602907610805</v>
      </c>
      <c r="DU8" s="62">
        <f t="shared" si="44"/>
        <v>341.9250949809848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4.0552083333333337</v>
      </c>
      <c r="EJ8" s="13">
        <f>IF('Données projet'!$A$192&gt;35,EJ7+EI8-ER7,IF(A8&lt;'Données projet'!$A$192,$EG$205^A8,IF(A8='Données projet'!$A$192,'Données projet'!$B$192,EJ7+EI8-ER7)))</f>
        <v>5.0465859427620252</v>
      </c>
      <c r="EK8" s="18">
        <f>EJ8*VLOOKUP('Données projet'!$B$15,Paramètres!$A$1:$I$89,3,0)*VLOOKUP('Données projet'!$B$15,Paramètres!$A$1:$I$89,5,0)</f>
        <v>3.0178583937716912</v>
      </c>
      <c r="EL8" s="14">
        <f t="shared" si="45"/>
        <v>1.222964851635848</v>
      </c>
      <c r="EM8" s="22">
        <f t="shared" si="19"/>
        <v>7.3861004857514656</v>
      </c>
      <c r="EN8" s="62">
        <f t="shared" si="20"/>
        <v>186.17714836219881</v>
      </c>
      <c r="EO8" s="62">
        <f ca="1">AVERAGE(OFFSET($EN$3,0,0,'Données projet'!$E$15+1,1))-AVERAGE(OFFSET($H$3,0,0,'Données projet'!$E$15+1,1))</f>
        <v>223.57443551076992</v>
      </c>
      <c r="EP8" s="62">
        <f t="shared" si="46"/>
        <v>382.12751862619427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1.5341666666666667</v>
      </c>
      <c r="FE8" s="13">
        <f>IF('Données projet'!$A$218&gt;35,FE7+FD8-FM7,IF(A8&lt;'Données projet'!$A$218,$FB$205^A8,IF(A8='Données projet'!$A$218,'Données projet'!$B$218,FE7+FD8-FM7)))</f>
        <v>3.9168439676181483</v>
      </c>
      <c r="FF8" s="18">
        <f>FE8*VLOOKUP('Données projet'!$B$16,Paramètres!$A$1:$I$89,3,0)*VLOOKUP('Données projet'!$B$16,Paramètres!$A$1:$I$89,5,0)</f>
        <v>4.5122042506961062</v>
      </c>
      <c r="FG8" s="14">
        <f t="shared" si="47"/>
        <v>1.7448976777327356</v>
      </c>
      <c r="FH8" s="22">
        <f t="shared" si="22"/>
        <v>10.897785858680232</v>
      </c>
      <c r="FI8" s="62">
        <f t="shared" si="23"/>
        <v>189.68883373512759</v>
      </c>
      <c r="FJ8" s="62">
        <f ca="1">AVERAGE(OFFSET($FI$3,0,0,'Données projet'!$E$16+1,1))-AVERAGE(OFFSET($H$3,0,0,'Données projet'!$E$16+1,1))</f>
        <v>283.95543623515323</v>
      </c>
      <c r="FK8" s="62">
        <f t="shared" si="48"/>
        <v>196.96883829830929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4.0552083333333337</v>
      </c>
      <c r="FZ8" s="13">
        <f>IF('Données projet'!$A$244&gt;35,FZ7+FY8-GH7,IF(A8&lt;'Données projet'!$A$244,$FW$205^A8,IF(A8='Données projet'!$A$244,'Données projet'!$B$244,FZ7+FY8-GH7)))</f>
        <v>5.0465859427620252</v>
      </c>
      <c r="GA8" s="18">
        <f>FZ8*VLOOKUP('Données projet'!$B$17,Paramètres!$A$1:$I$89,3,0)*VLOOKUP('Données projet'!$B$17,Paramètres!$A$1:$I$89,5,0)</f>
        <v>3.0178583937716912</v>
      </c>
      <c r="GB8" s="14">
        <f t="shared" si="49"/>
        <v>1.222964851635848</v>
      </c>
      <c r="GC8" s="22">
        <f t="shared" si="25"/>
        <v>7.3861004857514656</v>
      </c>
      <c r="GD8" s="62">
        <f t="shared" si="26"/>
        <v>186.17714836219881</v>
      </c>
      <c r="GE8" s="62">
        <f ca="1">AVERAGE(OFFSET($GD$3,0,0,'Données projet'!$E$17+1,1))-AVERAGE(OFFSET($H$3,0,0,'Données projet'!$E$17+1,1))</f>
        <v>223.57443551076992</v>
      </c>
      <c r="GF8" s="62">
        <f t="shared" si="50"/>
        <v>382.12751862619427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2.7411833378046713</v>
      </c>
      <c r="GU8" s="13">
        <f>IF('Données projet'!$A$270&gt;35,GU7+GT8-HC7,IF(A8&lt;'Données projet'!$A$270,$GR$205^A8,IF(A8='Données projet'!$A$270,'Données projet'!$B$270,GU7+GT8-HC7)))</f>
        <v>2.3290328729663732</v>
      </c>
      <c r="GV8" s="18">
        <f>GU8*VLOOKUP('Données projet'!$B$18,Paramètres!$A$1:$I$89,3,0)*VLOOKUP('Données projet'!$B$18,Paramètres!$A$1:$I$89,5,0)</f>
        <v>2.5433038972792792</v>
      </c>
      <c r="GW8" s="14">
        <f t="shared" si="51"/>
        <v>1.0513854547772707</v>
      </c>
      <c r="GX8" s="22">
        <f t="shared" si="28"/>
        <v>6.2607506214984907</v>
      </c>
      <c r="GY8" s="62">
        <f t="shared" si="29"/>
        <v>185.05179849794584</v>
      </c>
      <c r="GZ8" s="62">
        <f ca="1">AVERAGE(OFFSET($GY$3,0,0,'Données projet'!$E$18+1,1))-AVERAGE(OFFSET($H$3,0,0,'Données projet'!$E$18+1,1))</f>
        <v>754.33260592777049</v>
      </c>
      <c r="HA8" s="62">
        <f t="shared" si="52"/>
        <v>250.97643915279005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9">
        <f t="shared" si="1"/>
        <v>183.33333333333334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550.39292625253665</v>
      </c>
      <c r="T9" s="62">
        <f t="shared" si="34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3.6731174301700205</v>
      </c>
      <c r="AK9" s="14">
        <f t="shared" si="35"/>
        <v>1.4548453345092642</v>
      </c>
      <c r="AL9" s="22">
        <f t="shared" si="4"/>
        <v>8.9312018151497536</v>
      </c>
      <c r="AM9" s="62">
        <f t="shared" si="5"/>
        <v>190.40145391140874</v>
      </c>
      <c r="AN9" s="62">
        <f ca="1">AVERAGE(OFFSET($AM$3,0,0,'Données projet'!$E$10+1,1))-AVERAGE(OFFSET($H$3,0,0,'Données projet'!$E$10+1,1))</f>
        <v>606.55142836375308</v>
      </c>
      <c r="AO9" s="62">
        <f t="shared" si="36"/>
        <v>325.72635759450861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2.8205128205128203</v>
      </c>
      <c r="BD9" s="13">
        <f>IF('Données projet'!$A$88&gt;35,BD8+BC9-BL8,IF(A9&lt;'Données projet'!$A$88,$BA$205^A9,IF(A9='Données projet'!$A$88,'Données projet'!$B$88,BD8+BC9-BL8)))</f>
        <v>4.472679046280013</v>
      </c>
      <c r="BE9" s="14">
        <f>BD9*VLOOKUP('Données projet'!$B$11,Paramètres!$A$1:$I$89,3,0)*VLOOKUP('Données projet'!$B$11,Paramètres!$A$1:$I$89,5,0)</f>
        <v>4.6748441391718698</v>
      </c>
      <c r="BF9" s="14">
        <f t="shared" si="37"/>
        <v>1.8003556508248011</v>
      </c>
      <c r="BG9" s="22">
        <f t="shared" si="7"/>
        <v>11.277639634244201</v>
      </c>
      <c r="BH9" s="62">
        <f t="shared" si="8"/>
        <v>192.74789173050317</v>
      </c>
      <c r="BI9" s="62">
        <f ca="1">AVERAGE(OFFSET($BH$3,0,0,'Données projet'!$E$11+1,1))-AVERAGE(OFFSET($H$3,0,0,'Données projet'!$E$11+1,1))</f>
        <v>635.13577238794812</v>
      </c>
      <c r="BJ9" s="62">
        <f t="shared" si="38"/>
        <v>374.35810525172019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5.4666666666666668</v>
      </c>
      <c r="BY9" s="13">
        <f>IF('Données projet'!$A$114&gt;35,BY8+BX9-CG8,IF(A9&lt;'Données projet'!$A$114,$BV$205^A9,IF(A9='Données projet'!$A$114,'Données projet'!$B$114,BY8+BX9-CG8)))</f>
        <v>5.8280804885737414</v>
      </c>
      <c r="BZ9" s="14">
        <f>BY9*VLOOKUP('Données projet'!$B$12,Paramètres!$A$1:$I$89,3,0)*VLOOKUP('Données projet'!$B$12,Paramètres!$A$1:$I$89,5,0)</f>
        <v>2.5760115759495941</v>
      </c>
      <c r="CA9" s="14">
        <f t="shared" si="39"/>
        <v>1.0633238377236498</v>
      </c>
      <c r="CB9" s="22">
        <f t="shared" si="10"/>
        <v>6.3385091788142338</v>
      </c>
      <c r="CC9" s="62">
        <f t="shared" si="11"/>
        <v>187.80876127507321</v>
      </c>
      <c r="CD9" s="62">
        <f ca="1">AVERAGE(OFFSET($CC$3,0,0,'Données projet'!$E$12+1,1))-AVERAGE(OFFSET($H$3,0,0,'Données projet'!$E$12+1,1))</f>
        <v>580.02817743695846</v>
      </c>
      <c r="CE9" s="62">
        <f t="shared" si="40"/>
        <v>551.23515633208865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4.9084615384615384</v>
      </c>
      <c r="CT9" s="13">
        <f>IF('Données projet'!$A$140&gt;35,CT8+CS9-DB8,IF(A9&lt;'Données projet'!$A$140,$CQ$205^A9,IF(A9='Données projet'!$A$140,'Données projet'!$B$140,CT8+CS9-DB8)))</f>
        <v>2.7140217853749289</v>
      </c>
      <c r="CU9" s="18">
        <f>CT9*VLOOKUP('Données projet'!$B$13,Paramètres!$A$1:$I$89,3,0)*VLOOKUP('Données projet'!$B$13,Paramètres!$A$1:$I$89,5,0)</f>
        <v>1.2701621955554667</v>
      </c>
      <c r="CV9" s="14">
        <f t="shared" si="41"/>
        <v>0.56927490371064715</v>
      </c>
      <c r="CW9" s="22">
        <f t="shared" si="13"/>
        <v>3.203686281221815</v>
      </c>
      <c r="CX9" s="62">
        <f t="shared" si="14"/>
        <v>184.67393837748079</v>
      </c>
      <c r="CY9" s="62">
        <f ca="1">AVERAGE(OFFSET($CX$3,0,0,'Données projet'!$E$13+1,1))-AVERAGE(OFFSET($H$3,0,0,'Données projet'!$E$13+1,1))</f>
        <v>321.05795935196863</v>
      </c>
      <c r="CZ9" s="62">
        <f t="shared" si="42"/>
        <v>209.59551322748908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IF('Données projet'!$A$166&gt;35,DO8+DN9-DW8,IF(A9&lt;'Données projet'!$A$166,$DL$205^A9,IF(A9='Données projet'!$A$166,'Données projet'!$B$166,DO8+DN9-DW8)))</f>
        <v>3.6224037772879885</v>
      </c>
      <c r="DP9" s="18">
        <f>DO9*VLOOKUP('Données projet'!$B$14,Paramètres!$A$1:$I$89,3,0)*VLOOKUP('Données projet'!$B$14,Paramètres!$A$1:$I$89,5,0)</f>
        <v>3.8991554258727907</v>
      </c>
      <c r="DQ9" s="14">
        <f t="shared" si="43"/>
        <v>1.5336760664526912</v>
      </c>
      <c r="DR9" s="22">
        <f t="shared" si="16"/>
        <v>9.4621815158002143</v>
      </c>
      <c r="DS9" s="62">
        <f t="shared" si="17"/>
        <v>190.93243361205919</v>
      </c>
      <c r="DT9" s="62">
        <f ca="1">AVERAGE(OFFSET($DS$3,0,0,'Données projet'!$E$14+1,1))-AVERAGE(OFFSET($H$3,0,0,'Données projet'!$E$14+1,1))</f>
        <v>638.58602907610805</v>
      </c>
      <c r="DU9" s="62">
        <f t="shared" si="44"/>
        <v>341.9250949809848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4.0552083333333337</v>
      </c>
      <c r="EJ9" s="13">
        <f>IF('Données projet'!$A$192&gt;35,EJ8+EI9-ER8,IF(A9&lt;'Données projet'!$A$192,$EG$205^A9,IF(A9='Données projet'!$A$192,'Données projet'!$B$192,EJ8+EI9-ER8)))</f>
        <v>6.9758512025415227</v>
      </c>
      <c r="EK9" s="18">
        <f>EJ9*VLOOKUP('Données projet'!$B$15,Paramètres!$A$1:$I$89,3,0)*VLOOKUP('Données projet'!$B$15,Paramètres!$A$1:$I$89,5,0)</f>
        <v>4.1715590191198313</v>
      </c>
      <c r="EL9" s="14">
        <f t="shared" si="45"/>
        <v>1.6279749737252278</v>
      </c>
      <c r="EM9" s="22">
        <f t="shared" si="19"/>
        <v>10.100855037538478</v>
      </c>
      <c r="EN9" s="62">
        <f t="shared" si="20"/>
        <v>191.57110713379745</v>
      </c>
      <c r="EO9" s="62">
        <f ca="1">AVERAGE(OFFSET($EN$3,0,0,'Données projet'!$E$15+1,1))-AVERAGE(OFFSET($H$3,0,0,'Données projet'!$E$15+1,1))</f>
        <v>223.57443551076992</v>
      </c>
      <c r="EP9" s="62">
        <f t="shared" si="46"/>
        <v>382.12751862619427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1.5341666666666667</v>
      </c>
      <c r="FE9" s="13">
        <f>IF('Données projet'!$A$218&gt;35,FE8+FD9-FM8,IF(A9&lt;'Données projet'!$A$218,$FB$205^A9,IF(A9='Données projet'!$A$218,'Données projet'!$B$218,FE8+FD9-FM8)))</f>
        <v>5.1466368528443578</v>
      </c>
      <c r="FF9" s="18">
        <f>FE9*VLOOKUP('Données projet'!$B$16,Paramètres!$A$1:$I$89,3,0)*VLOOKUP('Données projet'!$B$16,Paramètres!$A$1:$I$89,5,0)</f>
        <v>5.9289256544766999</v>
      </c>
      <c r="FG9" s="14">
        <f t="shared" si="47"/>
        <v>2.2210261019715896</v>
      </c>
      <c r="FH9" s="22">
        <f t="shared" si="22"/>
        <v>14.194499309147433</v>
      </c>
      <c r="FI9" s="62">
        <f t="shared" si="23"/>
        <v>195.66475140540641</v>
      </c>
      <c r="FJ9" s="62">
        <f ca="1">AVERAGE(OFFSET($FI$3,0,0,'Données projet'!$E$16+1,1))-AVERAGE(OFFSET($H$3,0,0,'Données projet'!$E$16+1,1))</f>
        <v>283.95543623515323</v>
      </c>
      <c r="FK9" s="62">
        <f t="shared" si="48"/>
        <v>196.96883829830929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4.0552083333333337</v>
      </c>
      <c r="FZ9" s="13">
        <f>IF('Données projet'!$A$244&gt;35,FZ8+FY9-GH8,IF(A9&lt;'Données projet'!$A$244,$FW$205^A9,IF(A9='Données projet'!$A$244,'Données projet'!$B$244,FZ8+FY9-GH8)))</f>
        <v>6.9758512025415227</v>
      </c>
      <c r="GA9" s="18">
        <f>FZ9*VLOOKUP('Données projet'!$B$17,Paramètres!$A$1:$I$89,3,0)*VLOOKUP('Données projet'!$B$17,Paramètres!$A$1:$I$89,5,0)</f>
        <v>4.1715590191198313</v>
      </c>
      <c r="GB9" s="14">
        <f t="shared" si="49"/>
        <v>1.6279749737252278</v>
      </c>
      <c r="GC9" s="22">
        <f t="shared" si="25"/>
        <v>10.100855037538478</v>
      </c>
      <c r="GD9" s="62">
        <f t="shared" si="26"/>
        <v>191.57110713379745</v>
      </c>
      <c r="GE9" s="62">
        <f ca="1">AVERAGE(OFFSET($GD$3,0,0,'Données projet'!$E$17+1,1))-AVERAGE(OFFSET($H$3,0,0,'Données projet'!$E$17+1,1))</f>
        <v>223.57443551076992</v>
      </c>
      <c r="GF9" s="62">
        <f t="shared" si="50"/>
        <v>382.12751862619427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2.7411833378046713</v>
      </c>
      <c r="GU9" s="13">
        <f>IF('Données projet'!$A$270&gt;35,GU8+GT9-HC8,IF(A9&lt;'Données projet'!$A$270,$GR$205^A9,IF(A9='Données projet'!$A$270,'Données projet'!$B$270,GU8+GT9-HC8)))</f>
        <v>2.7581046602101549</v>
      </c>
      <c r="GV9" s="18">
        <f>GU9*VLOOKUP('Données projet'!$B$18,Paramètres!$A$1:$I$89,3,0)*VLOOKUP('Données projet'!$B$18,Paramètres!$A$1:$I$89,5,0)</f>
        <v>3.0118502889494891</v>
      </c>
      <c r="GW9" s="14">
        <f t="shared" si="51"/>
        <v>1.2208132657773971</v>
      </c>
      <c r="GX9" s="22">
        <f t="shared" si="28"/>
        <v>7.3718890244826598</v>
      </c>
      <c r="GY9" s="62">
        <f t="shared" si="29"/>
        <v>188.84214112074164</v>
      </c>
      <c r="GZ9" s="62">
        <f ca="1">AVERAGE(OFFSET($GY$3,0,0,'Données projet'!$E$18+1,1))-AVERAGE(OFFSET($H$3,0,0,'Données projet'!$E$18+1,1))</f>
        <v>754.33260592777049</v>
      </c>
      <c r="HA9" s="62">
        <f t="shared" si="52"/>
        <v>250.97643915279005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9">
        <f t="shared" si="1"/>
        <v>183.33333333333334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550.39292625253665</v>
      </c>
      <c r="T10" s="62">
        <f t="shared" si="34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4.5519864020441929</v>
      </c>
      <c r="AK10" s="14">
        <f t="shared" si="35"/>
        <v>1.7584840343783612</v>
      </c>
      <c r="AL10" s="22">
        <f t="shared" si="4"/>
        <v>10.990736010102614</v>
      </c>
      <c r="AM10" s="62">
        <f t="shared" si="5"/>
        <v>195.11491694583884</v>
      </c>
      <c r="AN10" s="62">
        <f ca="1">AVERAGE(OFFSET($AM$3,0,0,'Données projet'!$E$10+1,1))-AVERAGE(OFFSET($H$3,0,0,'Données projet'!$E$10+1,1))</f>
        <v>606.55142836375308</v>
      </c>
      <c r="AO10" s="62">
        <f t="shared" si="36"/>
        <v>325.72635759450861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2.8205128205128203</v>
      </c>
      <c r="BD10" s="13">
        <f>IF('Données projet'!$A$88&gt;35,BD9+BC10-BL9,IF(A10&lt;'Données projet'!$A$88,$BA$205^A10,IF(A10='Données projet'!$A$88,'Données projet'!$B$88,BD9+BC10-BL9)))</f>
        <v>5.7411076553122316</v>
      </c>
      <c r="BE10" s="14">
        <f>BD10*VLOOKUP('Données projet'!$B$11,Paramètres!$A$1:$I$89,3,0)*VLOOKUP('Données projet'!$B$11,Paramètres!$A$1:$I$89,5,0)</f>
        <v>6.0006057213323452</v>
      </c>
      <c r="BF10" s="14">
        <f t="shared" si="37"/>
        <v>2.2447358775372241</v>
      </c>
      <c r="BG10" s="22">
        <f t="shared" si="7"/>
        <v>14.360636618031165</v>
      </c>
      <c r="BH10" s="62">
        <f t="shared" si="8"/>
        <v>198.48481755376741</v>
      </c>
      <c r="BI10" s="62">
        <f ca="1">AVERAGE(OFFSET($BH$3,0,0,'Données projet'!$E$11+1,1))-AVERAGE(OFFSET($H$3,0,0,'Données projet'!$E$11+1,1))</f>
        <v>635.13577238794812</v>
      </c>
      <c r="BJ10" s="62">
        <f t="shared" si="38"/>
        <v>374.35810525172019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5.4666666666666668</v>
      </c>
      <c r="BY10" s="13">
        <f>IF('Données projet'!$A$114&gt;35,BY9+BX10-CG9,IF(A10&lt;'Données projet'!$A$114,$BV$205^A10,IF(A10='Données projet'!$A$114,'Données projet'!$B$114,BY9+BX10-CG9)))</f>
        <v>7.8183144047360775</v>
      </c>
      <c r="BZ10" s="14">
        <f>BY10*VLOOKUP('Données projet'!$B$12,Paramètres!$A$1:$I$89,3,0)*VLOOKUP('Données projet'!$B$12,Paramètres!$A$1:$I$89,5,0)</f>
        <v>3.4556949668933465</v>
      </c>
      <c r="CA10" s="14">
        <f t="shared" si="39"/>
        <v>1.3784846826876798</v>
      </c>
      <c r="CB10" s="22">
        <f t="shared" si="10"/>
        <v>8.4195295563536181</v>
      </c>
      <c r="CC10" s="62">
        <f t="shared" si="11"/>
        <v>192.54371049208984</v>
      </c>
      <c r="CD10" s="62">
        <f ca="1">AVERAGE(OFFSET($CC$3,0,0,'Données projet'!$E$12+1,1))-AVERAGE(OFFSET($H$3,0,0,'Données projet'!$E$12+1,1))</f>
        <v>580.02817743695846</v>
      </c>
      <c r="CE10" s="62">
        <f t="shared" si="40"/>
        <v>551.23515633208865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4.9084615384615384</v>
      </c>
      <c r="CT10" s="13">
        <f>IF('Données projet'!$A$140&gt;35,CT9+CS10-DB9,IF(A10&lt;'Données projet'!$A$140,$CQ$205^A10,IF(A10='Données projet'!$A$140,'Données projet'!$B$140,CT9+CS10-DB9)))</f>
        <v>3.2053998896536791</v>
      </c>
      <c r="CU10" s="18">
        <f>CT10*VLOOKUP('Données projet'!$B$13,Paramètres!$A$1:$I$89,3,0)*VLOOKUP('Données projet'!$B$13,Paramètres!$A$1:$I$89,5,0)</f>
        <v>1.5001271483579217</v>
      </c>
      <c r="CV10" s="14">
        <f t="shared" si="41"/>
        <v>0.65944537721878049</v>
      </c>
      <c r="CW10" s="22">
        <f t="shared" si="13"/>
        <v>3.7612554820460891</v>
      </c>
      <c r="CX10" s="62">
        <f t="shared" si="14"/>
        <v>187.88543641778233</v>
      </c>
      <c r="CY10" s="62">
        <f ca="1">AVERAGE(OFFSET($CX$3,0,0,'Données projet'!$E$13+1,1))-AVERAGE(OFFSET($H$3,0,0,'Données projet'!$E$13+1,1))</f>
        <v>321.05795935196863</v>
      </c>
      <c r="CZ10" s="62">
        <f t="shared" si="42"/>
        <v>209.59551322748908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IF('Données projet'!$A$166&gt;35,DO9+DN10-DW9,IF(A10&lt;'Données projet'!$A$166,$DL$205^A10,IF(A10='Données projet'!$A$166,'Données projet'!$B$166,DO9+DN10-DW9)))</f>
        <v>4.4891384635544309</v>
      </c>
      <c r="DP10" s="18">
        <f>DO10*VLOOKUP('Données projet'!$B$14,Paramètres!$A$1:$I$89,3,0)*VLOOKUP('Données projet'!$B$14,Paramètres!$A$1:$I$89,5,0)</f>
        <v>4.8321086421699899</v>
      </c>
      <c r="DQ10" s="14">
        <f t="shared" si="43"/>
        <v>1.8537674162284574</v>
      </c>
      <c r="DR10" s="22">
        <f t="shared" si="16"/>
        <v>11.644567468377296</v>
      </c>
      <c r="DS10" s="62">
        <f t="shared" si="17"/>
        <v>195.76874840411352</v>
      </c>
      <c r="DT10" s="62">
        <f ca="1">AVERAGE(OFFSET($DS$3,0,0,'Données projet'!$E$14+1,1))-AVERAGE(OFFSET($H$3,0,0,'Données projet'!$E$14+1,1))</f>
        <v>638.58602907610805</v>
      </c>
      <c r="DU10" s="62">
        <f t="shared" si="44"/>
        <v>341.9250949809848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4.0552083333333337</v>
      </c>
      <c r="EJ10" s="13">
        <f>IF('Données projet'!$A$192&gt;35,EJ9+EI10-ER9,IF(A10&lt;'Données projet'!$A$192,$EG$205^A10,IF(A10='Données projet'!$A$192,'Données projet'!$B$192,EJ9+EI10-ER9)))</f>
        <v>9.6426575415392115</v>
      </c>
      <c r="EK10" s="18">
        <f>EJ10*VLOOKUP('Données projet'!$B$15,Paramètres!$A$1:$I$89,3,0)*VLOOKUP('Données projet'!$B$15,Paramètres!$A$1:$I$89,5,0)</f>
        <v>5.7663092098404487</v>
      </c>
      <c r="EL10" s="14">
        <f t="shared" si="45"/>
        <v>2.1671125801617181</v>
      </c>
      <c r="EM10" s="22">
        <f t="shared" si="19"/>
        <v>13.817376284253774</v>
      </c>
      <c r="EN10" s="62">
        <f t="shared" si="20"/>
        <v>197.94155721999002</v>
      </c>
      <c r="EO10" s="62">
        <f ca="1">AVERAGE(OFFSET($EN$3,0,0,'Données projet'!$E$15+1,1))-AVERAGE(OFFSET($H$3,0,0,'Données projet'!$E$15+1,1))</f>
        <v>223.57443551076992</v>
      </c>
      <c r="EP10" s="62">
        <f t="shared" si="46"/>
        <v>382.12751862619427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1.5341666666666667</v>
      </c>
      <c r="FE10" s="13">
        <f>IF('Données projet'!$A$218&gt;35,FE9+FD10-FM9,IF(A10&lt;'Données projet'!$A$218,$FB$205^A10,IF(A10='Données projet'!$A$218,'Données projet'!$B$218,FE9+FD10-FM9)))</f>
        <v>6.7625545245201764</v>
      </c>
      <c r="FF10" s="18">
        <f>FE10*VLOOKUP('Données projet'!$B$16,Paramètres!$A$1:$I$89,3,0)*VLOOKUP('Données projet'!$B$16,Paramètres!$A$1:$I$89,5,0)</f>
        <v>7.7904628122472417</v>
      </c>
      <c r="FG10" s="14">
        <f t="shared" si="47"/>
        <v>2.8270751967810739</v>
      </c>
      <c r="FH10" s="22">
        <f t="shared" si="22"/>
        <v>18.492212032390984</v>
      </c>
      <c r="FI10" s="62">
        <f t="shared" si="23"/>
        <v>202.61639296812723</v>
      </c>
      <c r="FJ10" s="62">
        <f ca="1">AVERAGE(OFFSET($FI$3,0,0,'Données projet'!$E$16+1,1))-AVERAGE(OFFSET($H$3,0,0,'Données projet'!$E$16+1,1))</f>
        <v>283.95543623515323</v>
      </c>
      <c r="FK10" s="62">
        <f t="shared" si="48"/>
        <v>196.96883829830929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4.0552083333333337</v>
      </c>
      <c r="FZ10" s="13">
        <f>IF('Données projet'!$A$244&gt;35,FZ9+FY10-GH9,IF(A10&lt;'Données projet'!$A$244,$FW$205^A10,IF(A10='Données projet'!$A$244,'Données projet'!$B$244,FZ9+FY10-GH9)))</f>
        <v>9.6426575415392115</v>
      </c>
      <c r="GA10" s="18">
        <f>FZ10*VLOOKUP('Données projet'!$B$17,Paramètres!$A$1:$I$89,3,0)*VLOOKUP('Données projet'!$B$17,Paramètres!$A$1:$I$89,5,0)</f>
        <v>5.7663092098404487</v>
      </c>
      <c r="GB10" s="14">
        <f t="shared" si="49"/>
        <v>2.1671125801617181</v>
      </c>
      <c r="GC10" s="22">
        <f t="shared" si="25"/>
        <v>13.817376284253774</v>
      </c>
      <c r="GD10" s="62">
        <f t="shared" si="26"/>
        <v>197.94155721999002</v>
      </c>
      <c r="GE10" s="62">
        <f ca="1">AVERAGE(OFFSET($GD$3,0,0,'Données projet'!$E$17+1,1))-AVERAGE(OFFSET($H$3,0,0,'Données projet'!$E$17+1,1))</f>
        <v>223.57443551076992</v>
      </c>
      <c r="GF10" s="62">
        <f t="shared" si="50"/>
        <v>382.12751862619427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2.7411833378046713</v>
      </c>
      <c r="GU10" s="13">
        <f>IF('Données projet'!$A$270&gt;35,GU9+GT10-HC9,IF(A10&lt;'Données projet'!$A$270,$GR$205^A10,IF(A10='Données projet'!$A$270,'Données projet'!$B$270,GU9+GT10-HC9)))</f>
        <v>3.2662232487015683</v>
      </c>
      <c r="GV10" s="18">
        <f>GU10*VLOOKUP('Données projet'!$B$18,Paramètres!$A$1:$I$89,3,0)*VLOOKUP('Données projet'!$B$18,Paramètres!$A$1:$I$89,5,0)</f>
        <v>3.5667157875821127</v>
      </c>
      <c r="GW10" s="14">
        <f t="shared" si="51"/>
        <v>1.4175438923242494</v>
      </c>
      <c r="GX10" s="22">
        <f t="shared" si="28"/>
        <v>8.6809189425035811</v>
      </c>
      <c r="GY10" s="62">
        <f t="shared" si="29"/>
        <v>192.80509987823982</v>
      </c>
      <c r="GZ10" s="62">
        <f ca="1">AVERAGE(OFFSET($GY$3,0,0,'Données projet'!$E$18+1,1))-AVERAGE(OFFSET($H$3,0,0,'Données projet'!$E$18+1,1))</f>
        <v>754.33260592777049</v>
      </c>
      <c r="HA10" s="62">
        <f t="shared" si="52"/>
        <v>250.97643915279005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9">
        <f t="shared" si="1"/>
        <v>183.33333333333334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550.39292625253665</v>
      </c>
      <c r="T11" s="62">
        <f t="shared" si="34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5.6411428706857674</v>
      </c>
      <c r="AK11" s="14">
        <f t="shared" si="35"/>
        <v>2.125494735292019</v>
      </c>
      <c r="AL11" s="22">
        <f t="shared" si="4"/>
        <v>13.526893830411311</v>
      </c>
      <c r="AM11" s="62">
        <f t="shared" si="5"/>
        <v>200.28016669663185</v>
      </c>
      <c r="AN11" s="62">
        <f ca="1">AVERAGE(OFFSET($AM$3,0,0,'Données projet'!$E$10+1,1))-AVERAGE(OFFSET($H$3,0,0,'Données projet'!$E$10+1,1))</f>
        <v>606.55142836375308</v>
      </c>
      <c r="AO11" s="62">
        <f t="shared" si="36"/>
        <v>325.72635759450861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2.8205128205128203</v>
      </c>
      <c r="BD11" s="13">
        <f>IF('Données projet'!$A$88&gt;35,BD10+BC11-BL10,IF(A11&lt;'Données projet'!$A$88,$BA$205^A11,IF(A11='Données projet'!$A$88,'Données projet'!$B$88,BD10+BC11-BL10)))</f>
        <v>7.3692560474014428</v>
      </c>
      <c r="BE11" s="14">
        <f>BD11*VLOOKUP('Données projet'!$B$11,Paramètres!$A$1:$I$89,3,0)*VLOOKUP('Données projet'!$B$11,Paramètres!$A$1:$I$89,5,0)</f>
        <v>7.7023464207439885</v>
      </c>
      <c r="BF11" s="14">
        <f t="shared" si="37"/>
        <v>2.7988020909059581</v>
      </c>
      <c r="BG11" s="22">
        <f t="shared" si="7"/>
        <v>18.289500324456991</v>
      </c>
      <c r="BH11" s="62">
        <f t="shared" si="8"/>
        <v>205.04277319067754</v>
      </c>
      <c r="BI11" s="62">
        <f ca="1">AVERAGE(OFFSET($BH$3,0,0,'Données projet'!$E$11+1,1))-AVERAGE(OFFSET($H$3,0,0,'Données projet'!$E$11+1,1))</f>
        <v>635.13577238794812</v>
      </c>
      <c r="BJ11" s="62">
        <f t="shared" si="38"/>
        <v>374.35810525172019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5.4666666666666668</v>
      </c>
      <c r="BY11" s="13">
        <f>IF('Données projet'!$A$114&gt;35,BY10+BX11-CG10,IF(A11&lt;'Données projet'!$A$114,$BV$205^A11,IF(A11='Données projet'!$A$114,'Données projet'!$B$114,BY10+BX11-CG10)))</f>
        <v>10.488194226408588</v>
      </c>
      <c r="BZ11" s="14">
        <f>BY11*VLOOKUP('Données projet'!$B$12,Paramètres!$A$1:$I$89,3,0)*VLOOKUP('Données projet'!$B$12,Paramètres!$A$1:$I$89,5,0)</f>
        <v>4.6357818480725959</v>
      </c>
      <c r="CA11" s="14">
        <f t="shared" si="39"/>
        <v>1.7870567300292264</v>
      </c>
      <c r="CB11" s="22">
        <f t="shared" si="10"/>
        <v>11.186443856860672</v>
      </c>
      <c r="CC11" s="62">
        <f t="shared" si="11"/>
        <v>197.93971672308123</v>
      </c>
      <c r="CD11" s="62">
        <f ca="1">AVERAGE(OFFSET($CC$3,0,0,'Données projet'!$E$12+1,1))-AVERAGE(OFFSET($H$3,0,0,'Données projet'!$E$12+1,1))</f>
        <v>580.02817743695846</v>
      </c>
      <c r="CE11" s="62">
        <f t="shared" si="40"/>
        <v>551.23515633208865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4.9084615384615384</v>
      </c>
      <c r="CT11" s="13">
        <f>IF('Données projet'!$A$140&gt;35,CT10+CS11-DB10,IF(A11&lt;'Données projet'!$A$140,$CQ$205^A11,IF(A11='Données projet'!$A$140,'Données projet'!$B$140,CT10+CS11-DB10)))</f>
        <v>3.7857428072090569</v>
      </c>
      <c r="CU11" s="18">
        <f>CT11*VLOOKUP('Données projet'!$B$13,Paramètres!$A$1:$I$89,3,0)*VLOOKUP('Données projet'!$B$13,Paramètres!$A$1:$I$89,5,0)</f>
        <v>1.7717276337738388</v>
      </c>
      <c r="CV11" s="14">
        <f t="shared" si="41"/>
        <v>0.76389843061877893</v>
      </c>
      <c r="CW11" s="22">
        <f t="shared" si="13"/>
        <v>4.4162153954838086</v>
      </c>
      <c r="CX11" s="62">
        <f t="shared" si="14"/>
        <v>191.16948826170437</v>
      </c>
      <c r="CY11" s="62">
        <f ca="1">AVERAGE(OFFSET($CX$3,0,0,'Données projet'!$E$13+1,1))-AVERAGE(OFFSET($H$3,0,0,'Données projet'!$E$13+1,1))</f>
        <v>321.05795935196863</v>
      </c>
      <c r="CZ11" s="62">
        <f t="shared" si="42"/>
        <v>209.59551322748908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IF('Données projet'!$A$166&gt;35,DO10+DN11-DW10,IF(A11&lt;'Données projet'!$A$166,$DL$205^A11,IF(A11='Données projet'!$A$166,'Données projet'!$B$166,DO10+DN11-DW10)))</f>
        <v>5.563257268920875</v>
      </c>
      <c r="DP11" s="18">
        <f>DO11*VLOOKUP('Données projet'!$B$14,Paramètres!$A$1:$I$89,3,0)*VLOOKUP('Données projet'!$B$14,Paramètres!$A$1:$I$89,5,0)</f>
        <v>5.9882901242664301</v>
      </c>
      <c r="DQ11" s="14">
        <f t="shared" si="43"/>
        <v>2.2406645762026263</v>
      </c>
      <c r="DR11" s="22">
        <f t="shared" si="16"/>
        <v>14.332096103316941</v>
      </c>
      <c r="DS11" s="62">
        <f t="shared" si="17"/>
        <v>201.08536896953748</v>
      </c>
      <c r="DT11" s="62">
        <f ca="1">AVERAGE(OFFSET($DS$3,0,0,'Données projet'!$E$14+1,1))-AVERAGE(OFFSET($H$3,0,0,'Données projet'!$E$14+1,1))</f>
        <v>638.58602907610805</v>
      </c>
      <c r="DU11" s="62">
        <f t="shared" si="44"/>
        <v>341.9250949809848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4.0552083333333337</v>
      </c>
      <c r="EJ11" s="13">
        <f>IF('Données projet'!$A$192&gt;35,EJ10+EI11-ER10,IF(A11&lt;'Données projet'!$A$192,$EG$205^A11,IF(A11='Données projet'!$A$192,'Données projet'!$B$192,EJ10+EI11-ER10)))</f>
        <v>13.32896040407616</v>
      </c>
      <c r="EK11" s="18">
        <f>EJ11*VLOOKUP('Données projet'!$B$15,Paramètres!$A$1:$I$89,3,0)*VLOOKUP('Données projet'!$B$15,Paramètres!$A$1:$I$89,5,0)</f>
        <v>7.9707183216375439</v>
      </c>
      <c r="EL11" s="14">
        <f t="shared" si="45"/>
        <v>2.8847967633978144</v>
      </c>
      <c r="EM11" s="22">
        <f t="shared" si="19"/>
        <v>18.906688773103248</v>
      </c>
      <c r="EN11" s="62">
        <f t="shared" si="20"/>
        <v>205.6599616393238</v>
      </c>
      <c r="EO11" s="62">
        <f ca="1">AVERAGE(OFFSET($EN$3,0,0,'Données projet'!$E$15+1,1))-AVERAGE(OFFSET($H$3,0,0,'Données projet'!$E$15+1,1))</f>
        <v>223.57443551076992</v>
      </c>
      <c r="EP11" s="62">
        <f t="shared" si="46"/>
        <v>382.12751862619427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1.5341666666666667</v>
      </c>
      <c r="FE11" s="13">
        <f>IF('Données projet'!$A$218&gt;35,FE10+FD11-FM10,IF(A11&lt;'Données projet'!$A$218,$FB$205^A11,IF(A11='Données projet'!$A$218,'Données projet'!$B$218,FE10+FD11-FM10)))</f>
        <v>8.8858306899648145</v>
      </c>
      <c r="FF11" s="18">
        <f>FE11*VLOOKUP('Données projet'!$B$16,Paramètres!$A$1:$I$89,3,0)*VLOOKUP('Données projet'!$B$16,Paramètres!$A$1:$I$89,5,0)</f>
        <v>10.236476954839466</v>
      </c>
      <c r="FG11" s="14">
        <f t="shared" si="47"/>
        <v>3.5984962811377996</v>
      </c>
      <c r="FH11" s="22">
        <f t="shared" si="22"/>
        <v>24.095911719327074</v>
      </c>
      <c r="FI11" s="62">
        <f t="shared" si="23"/>
        <v>210.84918458554762</v>
      </c>
      <c r="FJ11" s="62">
        <f ca="1">AVERAGE(OFFSET($FI$3,0,0,'Données projet'!$E$16+1,1))-AVERAGE(OFFSET($H$3,0,0,'Données projet'!$E$16+1,1))</f>
        <v>283.95543623515323</v>
      </c>
      <c r="FK11" s="62">
        <f t="shared" si="48"/>
        <v>196.96883829830929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4.0552083333333337</v>
      </c>
      <c r="FZ11" s="13">
        <f>IF('Données projet'!$A$244&gt;35,FZ10+FY11-GH10,IF(A11&lt;'Données projet'!$A$244,$FW$205^A11,IF(A11='Données projet'!$A$244,'Données projet'!$B$244,FZ10+FY11-GH10)))</f>
        <v>13.32896040407616</v>
      </c>
      <c r="GA11" s="18">
        <f>FZ11*VLOOKUP('Données projet'!$B$17,Paramètres!$A$1:$I$89,3,0)*VLOOKUP('Données projet'!$B$17,Paramètres!$A$1:$I$89,5,0)</f>
        <v>7.9707183216375439</v>
      </c>
      <c r="GB11" s="14">
        <f t="shared" si="49"/>
        <v>2.8847967633978144</v>
      </c>
      <c r="GC11" s="22">
        <f t="shared" si="25"/>
        <v>18.906688773103248</v>
      </c>
      <c r="GD11" s="62">
        <f t="shared" si="26"/>
        <v>205.6599616393238</v>
      </c>
      <c r="GE11" s="62">
        <f ca="1">AVERAGE(OFFSET($GD$3,0,0,'Données projet'!$E$17+1,1))-AVERAGE(OFFSET($H$3,0,0,'Données projet'!$E$17+1,1))</f>
        <v>223.57443551076992</v>
      </c>
      <c r="GF11" s="62">
        <f t="shared" si="50"/>
        <v>382.12751862619427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2.7411833378046713</v>
      </c>
      <c r="GU11" s="13">
        <f>IF('Données projet'!$A$270&gt;35,GU10+GT11-HC10,IF(A11&lt;'Données projet'!$A$270,$GR$205^A11,IF(A11='Données projet'!$A$270,'Données projet'!$B$270,GU10+GT11-HC10)))</f>
        <v>3.8679512290682099</v>
      </c>
      <c r="GV11" s="18">
        <f>GU11*VLOOKUP('Données projet'!$B$18,Paramètres!$A$1:$I$89,3,0)*VLOOKUP('Données projet'!$B$18,Paramètres!$A$1:$I$89,5,0)</f>
        <v>4.2238027421424844</v>
      </c>
      <c r="GW11" s="14">
        <f t="shared" si="51"/>
        <v>1.6459771064055446</v>
      </c>
      <c r="GX11" s="22">
        <f t="shared" si="28"/>
        <v>10.223199902887819</v>
      </c>
      <c r="GY11" s="62">
        <f t="shared" si="29"/>
        <v>196.97647276910837</v>
      </c>
      <c r="GZ11" s="62">
        <f ca="1">AVERAGE(OFFSET($GY$3,0,0,'Données projet'!$E$18+1,1))-AVERAGE(OFFSET($H$3,0,0,'Données projet'!$E$18+1,1))</f>
        <v>754.33260592777049</v>
      </c>
      <c r="HA11" s="62">
        <f t="shared" si="52"/>
        <v>250.97643915279005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9">
        <f t="shared" si="1"/>
        <v>183.33333333333334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550.39292625253665</v>
      </c>
      <c r="T12" s="62">
        <f t="shared" si="34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6.9909024493566383</v>
      </c>
      <c r="AK12" s="14">
        <f t="shared" si="35"/>
        <v>2.5691037174250742</v>
      </c>
      <c r="AL12" s="22">
        <f t="shared" si="4"/>
        <v>16.650344073811482</v>
      </c>
      <c r="AM12" s="62">
        <f t="shared" si="5"/>
        <v>206.00830282636755</v>
      </c>
      <c r="AN12" s="62">
        <f ca="1">AVERAGE(OFFSET($AM$3,0,0,'Données projet'!$E$10+1,1))-AVERAGE(OFFSET($H$3,0,0,'Données projet'!$E$10+1,1))</f>
        <v>606.55142836375308</v>
      </c>
      <c r="AO12" s="62">
        <f t="shared" si="36"/>
        <v>325.72635759450861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2.8205128205128203</v>
      </c>
      <c r="BD12" s="13">
        <f>IF('Données projet'!$A$88&gt;35,BD11+BC12-BL11,IF(A12&lt;'Données projet'!$A$88,$BA$205^A12,IF(A12='Données projet'!$A$88,'Données projet'!$B$88,BD11+BC12-BL11)))</f>
        <v>9.4591388896729018</v>
      </c>
      <c r="BE12" s="14">
        <f>BD12*VLOOKUP('Données projet'!$B$11,Paramètres!$A$1:$I$89,3,0)*VLOOKUP('Données projet'!$B$11,Paramètres!$A$1:$I$89,5,0)</f>
        <v>9.8866919674861187</v>
      </c>
      <c r="BF12" s="14">
        <f t="shared" si="37"/>
        <v>3.4896279880614438</v>
      </c>
      <c r="BG12" s="22">
        <f t="shared" si="7"/>
        <v>23.297090589245332</v>
      </c>
      <c r="BH12" s="62">
        <f t="shared" si="8"/>
        <v>212.6550493418014</v>
      </c>
      <c r="BI12" s="62">
        <f ca="1">AVERAGE(OFFSET($BH$3,0,0,'Données projet'!$E$11+1,1))-AVERAGE(OFFSET($H$3,0,0,'Données projet'!$E$11+1,1))</f>
        <v>635.13577238794812</v>
      </c>
      <c r="BJ12" s="62">
        <f t="shared" si="38"/>
        <v>374.35810525172019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5.4666666666666668</v>
      </c>
      <c r="BY12" s="13">
        <f>IF('Données projet'!$A$114&gt;35,BY11+BX12-CG11,IF(A12&lt;'Données projet'!$A$114,$BV$205^A12,IF(A12='Données projet'!$A$114,'Données projet'!$B$114,BY11+BX12-CG11)))</f>
        <v>14.0698125499065</v>
      </c>
      <c r="BZ12" s="14">
        <f>BY12*VLOOKUP('Données projet'!$B$12,Paramètres!$A$1:$I$89,3,0)*VLOOKUP('Données projet'!$B$12,Paramètres!$A$1:$I$89,5,0)</f>
        <v>6.2188571470586735</v>
      </c>
      <c r="CA12" s="14">
        <f t="shared" si="39"/>
        <v>2.3167263274308816</v>
      </c>
      <c r="CB12" s="22">
        <f t="shared" si="10"/>
        <v>14.866141218069309</v>
      </c>
      <c r="CC12" s="62">
        <f t="shared" si="11"/>
        <v>204.22409997062539</v>
      </c>
      <c r="CD12" s="62">
        <f ca="1">AVERAGE(OFFSET($CC$3,0,0,'Données projet'!$E$12+1,1))-AVERAGE(OFFSET($H$3,0,0,'Données projet'!$E$12+1,1))</f>
        <v>580.02817743695846</v>
      </c>
      <c r="CE12" s="62">
        <f t="shared" si="40"/>
        <v>551.23515633208865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4.9084615384615384</v>
      </c>
      <c r="CT12" s="13">
        <f>IF('Données projet'!$A$140&gt;35,CT11+CS12-DB11,IF(A12&lt;'Données projet'!$A$140,$CQ$205^A12,IF(A12='Données projet'!$A$140,'Données projet'!$B$140,CT11+CS12-DB11)))</f>
        <v>4.4711577636834461</v>
      </c>
      <c r="CU12" s="18">
        <f>CT12*VLOOKUP('Données projet'!$B$13,Paramètres!$A$1:$I$89,3,0)*VLOOKUP('Données projet'!$B$13,Paramètres!$A$1:$I$89,5,0)</f>
        <v>2.0925018334038525</v>
      </c>
      <c r="CV12" s="14">
        <f t="shared" si="41"/>
        <v>0.8848963575465858</v>
      </c>
      <c r="CW12" s="22">
        <f t="shared" si="13"/>
        <v>5.1856351825720131</v>
      </c>
      <c r="CX12" s="62">
        <f t="shared" si="14"/>
        <v>194.54359393512809</v>
      </c>
      <c r="CY12" s="62">
        <f ca="1">AVERAGE(OFFSET($CX$3,0,0,'Données projet'!$E$13+1,1))-AVERAGE(OFFSET($H$3,0,0,'Données projet'!$E$13+1,1))</f>
        <v>321.05795935196863</v>
      </c>
      <c r="CZ12" s="62">
        <f t="shared" si="42"/>
        <v>209.59551322748908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IF('Données projet'!$A$166&gt;35,DO11+DN12-DW11,IF(A12&lt;'Données projet'!$A$166,$DL$205^A12,IF(A12='Données projet'!$A$166,'Données projet'!$B$166,DO11+DN12-DW11)))</f>
        <v>6.8943811137639424</v>
      </c>
      <c r="DP12" s="18">
        <f>DO12*VLOOKUP('Données projet'!$B$14,Paramètres!$A$1:$I$89,3,0)*VLOOKUP('Données projet'!$B$14,Paramètres!$A$1:$I$89,5,0)</f>
        <v>7.4211118308555069</v>
      </c>
      <c r="DQ12" s="14">
        <f t="shared" si="43"/>
        <v>2.7083104919730441</v>
      </c>
      <c r="DR12" s="22">
        <f t="shared" si="16"/>
        <v>17.642077212259725</v>
      </c>
      <c r="DS12" s="62">
        <f t="shared" si="17"/>
        <v>207.00003596481579</v>
      </c>
      <c r="DT12" s="62">
        <f ca="1">AVERAGE(OFFSET($DS$3,0,0,'Données projet'!$E$14+1,1))-AVERAGE(OFFSET($H$3,0,0,'Données projet'!$E$14+1,1))</f>
        <v>638.58602907610805</v>
      </c>
      <c r="DU12" s="62">
        <f t="shared" si="44"/>
        <v>341.9250949809848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4.0552083333333337</v>
      </c>
      <c r="EJ12" s="13">
        <f>IF('Données projet'!$A$192&gt;35,EJ11+EI12-ER11,IF(A12&lt;'Données projet'!$A$192,$EG$205^A12,IF(A12='Données projet'!$A$192,'Données projet'!$B$192,EJ11+EI12-ER11)))</f>
        <v>18.424504312020908</v>
      </c>
      <c r="EK12" s="18">
        <f>EJ12*VLOOKUP('Données projet'!$B$15,Paramètres!$A$1:$I$89,3,0)*VLOOKUP('Données projet'!$B$15,Paramètres!$A$1:$I$89,5,0)</f>
        <v>11.017853578588504</v>
      </c>
      <c r="EL12" s="14">
        <f t="shared" si="45"/>
        <v>3.8401569176851367</v>
      </c>
      <c r="EM12" s="22">
        <f t="shared" si="19"/>
        <v>25.877701614343255</v>
      </c>
      <c r="EN12" s="62">
        <f t="shared" si="20"/>
        <v>215.23566036689934</v>
      </c>
      <c r="EO12" s="62">
        <f ca="1">AVERAGE(OFFSET($EN$3,0,0,'Données projet'!$E$15+1,1))-AVERAGE(OFFSET($H$3,0,0,'Données projet'!$E$15+1,1))</f>
        <v>223.57443551076992</v>
      </c>
      <c r="EP12" s="62">
        <f t="shared" si="46"/>
        <v>382.12751862619427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1.5341666666666667</v>
      </c>
      <c r="FE12" s="13">
        <f>IF('Données projet'!$A$218&gt;35,FE11+FD12-FM11,IF(A12&lt;'Données projet'!$A$218,$FB$205^A12,IF(A12='Données projet'!$A$218,'Données projet'!$B$218,FE11+FD12-FM11)))</f>
        <v>11.675763465481689</v>
      </c>
      <c r="FF12" s="18">
        <f>FE12*VLOOKUP('Données projet'!$B$16,Paramètres!$A$1:$I$89,3,0)*VLOOKUP('Données projet'!$B$16,Paramètres!$A$1:$I$89,5,0)</f>
        <v>13.450479512234905</v>
      </c>
      <c r="FG12" s="14">
        <f t="shared" si="47"/>
        <v>4.5804142387533915</v>
      </c>
      <c r="FH12" s="22">
        <f t="shared" si="22"/>
        <v>31.403806616304621</v>
      </c>
      <c r="FI12" s="62">
        <f t="shared" si="23"/>
        <v>220.76176536886069</v>
      </c>
      <c r="FJ12" s="62">
        <f ca="1">AVERAGE(OFFSET($FI$3,0,0,'Données projet'!$E$16+1,1))-AVERAGE(OFFSET($H$3,0,0,'Données projet'!$E$16+1,1))</f>
        <v>283.95543623515323</v>
      </c>
      <c r="FK12" s="62">
        <f t="shared" si="48"/>
        <v>196.96883829830929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4.0552083333333337</v>
      </c>
      <c r="FZ12" s="13">
        <f>IF('Données projet'!$A$244&gt;35,FZ11+FY12-GH11,IF(A12&lt;'Données projet'!$A$244,$FW$205^A12,IF(A12='Données projet'!$A$244,'Données projet'!$B$244,FZ11+FY12-GH11)))</f>
        <v>18.424504312020908</v>
      </c>
      <c r="GA12" s="18">
        <f>FZ12*VLOOKUP('Données projet'!$B$17,Paramètres!$A$1:$I$89,3,0)*VLOOKUP('Données projet'!$B$17,Paramètres!$A$1:$I$89,5,0)</f>
        <v>11.017853578588504</v>
      </c>
      <c r="GB12" s="14">
        <f t="shared" si="49"/>
        <v>3.8401569176851367</v>
      </c>
      <c r="GC12" s="22">
        <f t="shared" si="25"/>
        <v>25.877701614343255</v>
      </c>
      <c r="GD12" s="62">
        <f t="shared" si="26"/>
        <v>215.23566036689934</v>
      </c>
      <c r="GE12" s="62">
        <f ca="1">AVERAGE(OFFSET($GD$3,0,0,'Données projet'!$E$17+1,1))-AVERAGE(OFFSET($H$3,0,0,'Données projet'!$E$17+1,1))</f>
        <v>223.57443551076992</v>
      </c>
      <c r="GF12" s="62">
        <f t="shared" si="50"/>
        <v>382.12751862619427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2.7411833378046713</v>
      </c>
      <c r="GU12" s="13">
        <f>IF('Données projet'!$A$270&gt;35,GU11+GT12-HC11,IF(A12&lt;'Données projet'!$A$270,$GR$205^A12,IF(A12='Données projet'!$A$270,'Données projet'!$B$270,GU11+GT12-HC11)))</f>
        <v>4.5805340208749614</v>
      </c>
      <c r="GV12" s="18">
        <f>GU12*VLOOKUP('Données projet'!$B$18,Paramètres!$A$1:$I$89,3,0)*VLOOKUP('Données projet'!$B$18,Paramètres!$A$1:$I$89,5,0)</f>
        <v>5.0019431507954577</v>
      </c>
      <c r="GW12" s="14">
        <f t="shared" si="51"/>
        <v>1.9112216908987658</v>
      </c>
      <c r="GX12" s="22">
        <f t="shared" si="28"/>
        <v>12.040428765950772</v>
      </c>
      <c r="GY12" s="62">
        <f t="shared" si="29"/>
        <v>201.39838751850684</v>
      </c>
      <c r="GZ12" s="62">
        <f ca="1">AVERAGE(OFFSET($GY$3,0,0,'Données projet'!$E$18+1,1))-AVERAGE(OFFSET($H$3,0,0,'Données projet'!$E$18+1,1))</f>
        <v>754.33260592777049</v>
      </c>
      <c r="HA12" s="62">
        <f t="shared" si="52"/>
        <v>250.97643915279005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9">
        <f t="shared" si="1"/>
        <v>183.33333333333334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550.39292625253665</v>
      </c>
      <c r="T13" s="62">
        <f t="shared" si="34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8.6636197977519771</v>
      </c>
      <c r="AK13" s="14">
        <f t="shared" si="35"/>
        <v>3.1052976990698267</v>
      </c>
      <c r="AL13" s="22">
        <f t="shared" si="4"/>
        <v>20.497531306964643</v>
      </c>
      <c r="AM13" s="62">
        <f t="shared" si="5"/>
        <v>212.43619329200953</v>
      </c>
      <c r="AN13" s="62">
        <f ca="1">AVERAGE(OFFSET($AM$3,0,0,'Données projet'!$E$10+1,1))-AVERAGE(OFFSET($H$3,0,0,'Données projet'!$E$10+1,1))</f>
        <v>606.55142836375308</v>
      </c>
      <c r="AO13" s="62">
        <f t="shared" si="36"/>
        <v>325.72635759450861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2.8205128205128203</v>
      </c>
      <c r="BD13" s="13">
        <f>IF('Données projet'!$A$88&gt;35,BD12+BC13-BL12,IF(A13&lt;'Données projet'!$A$88,$BA$205^A13,IF(A13='Données projet'!$A$88,'Données projet'!$B$88,BD12+BC13-BL12)))</f>
        <v>12.141701680412259</v>
      </c>
      <c r="BE13" s="14">
        <f>BD13*VLOOKUP('Données projet'!$B$11,Paramètres!$A$1:$I$89,3,0)*VLOOKUP('Données projet'!$B$11,Paramètres!$A$1:$I$89,5,0)</f>
        <v>12.690506596366895</v>
      </c>
      <c r="BF13" s="14">
        <f t="shared" si="37"/>
        <v>4.3509698433589348</v>
      </c>
      <c r="BG13" s="22">
        <f t="shared" si="7"/>
        <v>29.68057146585582</v>
      </c>
      <c r="BH13" s="62">
        <f t="shared" si="8"/>
        <v>221.61923345090071</v>
      </c>
      <c r="BI13" s="62">
        <f ca="1">AVERAGE(OFFSET($BH$3,0,0,'Données projet'!$E$11+1,1))-AVERAGE(OFFSET($H$3,0,0,'Données projet'!$E$11+1,1))</f>
        <v>635.13577238794812</v>
      </c>
      <c r="BJ13" s="62">
        <f t="shared" si="38"/>
        <v>374.35810525172019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5.4666666666666668</v>
      </c>
      <c r="BY13" s="13">
        <f>IF('Données projet'!$A$114&gt;35,BY12+BX13-CG12,IF(A13&lt;'Données projet'!$A$114,$BV$205^A13,IF(A13='Données projet'!$A$114,'Données projet'!$B$114,BY12+BX13-CG12)))</f>
        <v>18.87451938018625</v>
      </c>
      <c r="BZ13" s="14">
        <f>BY13*VLOOKUP('Données projet'!$B$12,Paramètres!$A$1:$I$89,3,0)*VLOOKUP('Données projet'!$B$12,Paramètres!$A$1:$I$89,5,0)</f>
        <v>8.3425375660423242</v>
      </c>
      <c r="CA13" s="14">
        <f t="shared" si="39"/>
        <v>3.0033858388611989</v>
      </c>
      <c r="CB13" s="22">
        <f t="shared" si="10"/>
        <v>19.760816596873635</v>
      </c>
      <c r="CC13" s="62">
        <f t="shared" si="11"/>
        <v>211.69947858191853</v>
      </c>
      <c r="CD13" s="62">
        <f ca="1">AVERAGE(OFFSET($CC$3,0,0,'Données projet'!$E$12+1,1))-AVERAGE(OFFSET($H$3,0,0,'Données projet'!$E$12+1,1))</f>
        <v>580.02817743695846</v>
      </c>
      <c r="CE13" s="62">
        <f t="shared" si="40"/>
        <v>551.23515633208865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4.9084615384615384</v>
      </c>
      <c r="CT13" s="13">
        <f>IF('Données projet'!$A$140&gt;35,CT12+CS13-DB12,IF(A13&lt;'Données projet'!$A$140,$CQ$205^A13,IF(A13='Données projet'!$A$140,'Données projet'!$B$140,CT12+CS13-DB12)))</f>
        <v>5.2806682243912917</v>
      </c>
      <c r="CU13" s="18">
        <f>CT13*VLOOKUP('Données projet'!$B$13,Paramètres!$A$1:$I$89,3,0)*VLOOKUP('Données projet'!$B$13,Paramètres!$A$1:$I$89,5,0)</f>
        <v>2.4713527290151243</v>
      </c>
      <c r="CV13" s="14">
        <f t="shared" si="41"/>
        <v>1.0250597883345953</v>
      </c>
      <c r="CW13" s="22">
        <f t="shared" si="13"/>
        <v>6.0895851343840945</v>
      </c>
      <c r="CX13" s="62">
        <f t="shared" si="14"/>
        <v>198.02824711942898</v>
      </c>
      <c r="CY13" s="62">
        <f ca="1">AVERAGE(OFFSET($CX$3,0,0,'Données projet'!$E$13+1,1))-AVERAGE(OFFSET($H$3,0,0,'Données projet'!$E$13+1,1))</f>
        <v>321.05795935196863</v>
      </c>
      <c r="CZ13" s="62">
        <f t="shared" si="42"/>
        <v>209.59551322748908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IF('Données projet'!$A$166&gt;35,DO12+DN13-DW12,IF(A13&lt;'Données projet'!$A$166,$DL$205^A13,IF(A13='Données projet'!$A$166,'Données projet'!$B$166,DO12+DN13-DW12)))</f>
        <v>8.5440037453175322</v>
      </c>
      <c r="DP13" s="18">
        <f>DO13*VLOOKUP('Données projet'!$B$14,Paramètres!$A$1:$I$89,3,0)*VLOOKUP('Données projet'!$B$14,Paramètres!$A$1:$I$89,5,0)</f>
        <v>9.1967656314597903</v>
      </c>
      <c r="DQ13" s="14">
        <f t="shared" si="43"/>
        <v>3.2735581214758165</v>
      </c>
      <c r="DR13" s="22">
        <f t="shared" si="16"/>
        <v>21.719147203029511</v>
      </c>
      <c r="DS13" s="62">
        <f t="shared" si="17"/>
        <v>213.6578091880744</v>
      </c>
      <c r="DT13" s="62">
        <f ca="1">AVERAGE(OFFSET($DS$3,0,0,'Données projet'!$E$14+1,1))-AVERAGE(OFFSET($H$3,0,0,'Données projet'!$E$14+1,1))</f>
        <v>638.58602907610805</v>
      </c>
      <c r="DU13" s="62">
        <f t="shared" si="44"/>
        <v>341.9250949809848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4.0552083333333337</v>
      </c>
      <c r="EJ13" s="13">
        <f>IF('Données projet'!$A$192&gt;35,EJ12+EI13-ER12,IF(A13&lt;'Données projet'!$A$192,$EG$205^A13,IF(A13='Données projet'!$A$192,'Données projet'!$B$192,EJ12+EI13-ER12)))</f>
        <v>25.46802967768328</v>
      </c>
      <c r="EK13" s="18">
        <f>EJ13*VLOOKUP('Données projet'!$B$15,Paramètres!$A$1:$I$89,3,0)*VLOOKUP('Données projet'!$B$15,Paramètres!$A$1:$I$89,5,0)</f>
        <v>15.229881747254604</v>
      </c>
      <c r="EL13" s="14">
        <f t="shared" si="45"/>
        <v>5.1119043599715157</v>
      </c>
      <c r="EM13" s="22">
        <f t="shared" si="19"/>
        <v>35.428610803418827</v>
      </c>
      <c r="EN13" s="62">
        <f t="shared" si="20"/>
        <v>227.36727278846371</v>
      </c>
      <c r="EO13" s="62">
        <f ca="1">AVERAGE(OFFSET($EN$3,0,0,'Données projet'!$E$15+1,1))-AVERAGE(OFFSET($H$3,0,0,'Données projet'!$E$15+1,1))</f>
        <v>223.57443551076992</v>
      </c>
      <c r="EP13" s="62">
        <f t="shared" si="46"/>
        <v>382.12751862619427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15.341666666666667</v>
      </c>
      <c r="FC13" s="13">
        <f>VLOOKUP(A13,'Données projet'!$A$217:$I$237,9,0)</f>
        <v>1.5341666666666667</v>
      </c>
      <c r="FD13" s="13">
        <f t="array" ref="FD13">INDEX(FC:FC,MIN(IF(ISNUMBER(FC13:FC209),ROW(FC13:FC209),"")))</f>
        <v>1.5341666666666667</v>
      </c>
      <c r="FE13" s="13">
        <f>IF('Données projet'!$A$218&gt;35,FE12+FD13-FM12,IF(A13&lt;'Données projet'!$A$218,$FB$205^A13,IF(A13='Données projet'!$A$218,'Données projet'!$B$218,FE12+FD13-FM12)))</f>
        <v>15.341666666666667</v>
      </c>
      <c r="FF13" s="18">
        <f>FE13*VLOOKUP('Données projet'!$B$16,Paramètres!$A$1:$I$89,3,0)*VLOOKUP('Données projet'!$B$16,Paramètres!$A$1:$I$89,5,0)</f>
        <v>17.6736</v>
      </c>
      <c r="FG13" s="14">
        <f t="shared" si="47"/>
        <v>5.8302671336764922</v>
      </c>
      <c r="FH13" s="22">
        <f t="shared" si="22"/>
        <v>40.935901924486565</v>
      </c>
      <c r="FI13" s="62">
        <f t="shared" si="23"/>
        <v>232.87456390953145</v>
      </c>
      <c r="FJ13" s="62">
        <f ca="1">AVERAGE(OFFSET($FI$3,0,0,'Données projet'!$E$16+1,1))-AVERAGE(OFFSET($H$3,0,0,'Données projet'!$E$16+1,1))</f>
        <v>283.95543623515323</v>
      </c>
      <c r="FK13" s="62">
        <f t="shared" si="48"/>
        <v>196.96883829830929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4.0552083333333337</v>
      </c>
      <c r="FZ13" s="13">
        <f>IF('Données projet'!$A$244&gt;35,FZ12+FY13-GH12,IF(A13&lt;'Données projet'!$A$244,$FW$205^A13,IF(A13='Données projet'!$A$244,'Données projet'!$B$244,FZ12+FY13-GH12)))</f>
        <v>25.46802967768328</v>
      </c>
      <c r="GA13" s="18">
        <f>FZ13*VLOOKUP('Données projet'!$B$17,Paramètres!$A$1:$I$89,3,0)*VLOOKUP('Données projet'!$B$17,Paramètres!$A$1:$I$89,5,0)</f>
        <v>15.229881747254604</v>
      </c>
      <c r="GB13" s="14">
        <f t="shared" si="49"/>
        <v>5.1119043599715157</v>
      </c>
      <c r="GC13" s="22">
        <f t="shared" si="25"/>
        <v>35.428610803418827</v>
      </c>
      <c r="GD13" s="62">
        <f t="shared" si="26"/>
        <v>227.36727278846371</v>
      </c>
      <c r="GE13" s="62">
        <f ca="1">AVERAGE(OFFSET($GD$3,0,0,'Données projet'!$E$17+1,1))-AVERAGE(OFFSET($H$3,0,0,'Données projet'!$E$17+1,1))</f>
        <v>223.57443551076992</v>
      </c>
      <c r="GF13" s="62">
        <f t="shared" si="50"/>
        <v>382.12751862619427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2.7411833378046713</v>
      </c>
      <c r="GU13" s="13">
        <f>IF('Données projet'!$A$270&gt;35,GU12+GT13-HC12,IF(A13&lt;'Données projet'!$A$270,$GR$205^A13,IF(A13='Données projet'!$A$270,'Données projet'!$B$270,GU12+GT13-HC12)))</f>
        <v>5.4243941233579989</v>
      </c>
      <c r="GV13" s="18">
        <f>GU13*VLOOKUP('Données projet'!$B$18,Paramètres!$A$1:$I$89,3,0)*VLOOKUP('Données projet'!$B$18,Paramètres!$A$1:$I$89,5,0)</f>
        <v>5.9234383827069346</v>
      </c>
      <c r="GW13" s="14">
        <f t="shared" si="51"/>
        <v>2.2192096946832924</v>
      </c>
      <c r="GX13" s="22">
        <f t="shared" si="28"/>
        <v>14.181778734787978</v>
      </c>
      <c r="GY13" s="62">
        <f t="shared" si="29"/>
        <v>206.12044071983286</v>
      </c>
      <c r="GZ13" s="62">
        <f ca="1">AVERAGE(OFFSET($GY$3,0,0,'Données projet'!$E$18+1,1))-AVERAGE(OFFSET($H$3,0,0,'Données projet'!$E$18+1,1))</f>
        <v>754.33260592777049</v>
      </c>
      <c r="HA13" s="62">
        <f t="shared" si="52"/>
        <v>250.97643915279005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9">
        <f t="shared" si="1"/>
        <v>183.33333333333334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550.39292625253665</v>
      </c>
      <c r="T14" s="62">
        <f t="shared" si="34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10.736569211734251</v>
      </c>
      <c r="AK14" s="14">
        <f t="shared" si="35"/>
        <v>3.7533999637480915</v>
      </c>
      <c r="AL14" s="22">
        <f t="shared" si="4"/>
        <v>25.23669631396508</v>
      </c>
      <c r="AM14" s="62">
        <f t="shared" si="5"/>
        <v>219.7324949230792</v>
      </c>
      <c r="AN14" s="62">
        <f ca="1">AVERAGE(OFFSET($AM$3,0,0,'Données projet'!$E$10+1,1))-AVERAGE(OFFSET($H$3,0,0,'Données projet'!$E$10+1,1))</f>
        <v>606.55142836375308</v>
      </c>
      <c r="AO14" s="62">
        <f t="shared" si="36"/>
        <v>325.72635759450861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2.8205128205128203</v>
      </c>
      <c r="BD14" s="13">
        <f>IF('Données projet'!$A$88&gt;35,BD13+BC14-BL13,IF(A14&lt;'Données projet'!$A$88,$BA$205^A14,IF(A14='Données projet'!$A$88,'Données projet'!$B$88,BD13+BC14-BL13)))</f>
        <v>15.585025382920847</v>
      </c>
      <c r="BE14" s="14">
        <f>BD14*VLOOKUP('Données projet'!$B$11,Paramètres!$A$1:$I$89,3,0)*VLOOKUP('Données projet'!$B$11,Paramètres!$A$1:$I$89,5,0)</f>
        <v>16.28946853022887</v>
      </c>
      <c r="BF14" s="14">
        <f t="shared" si="37"/>
        <v>5.4249159631297497</v>
      </c>
      <c r="BG14" s="22">
        <f t="shared" si="7"/>
        <v>37.81921965926626</v>
      </c>
      <c r="BH14" s="62">
        <f t="shared" si="8"/>
        <v>232.31501826838038</v>
      </c>
      <c r="BI14" s="62">
        <f ca="1">AVERAGE(OFFSET($BH$3,0,0,'Données projet'!$E$11+1,1))-AVERAGE(OFFSET($H$3,0,0,'Données projet'!$E$11+1,1))</f>
        <v>635.13577238794812</v>
      </c>
      <c r="BJ14" s="62">
        <f t="shared" si="38"/>
        <v>374.35810525172019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5.4666666666666668</v>
      </c>
      <c r="BY14" s="13">
        <f>IF('Données projet'!$A$114&gt;35,BY13+BX14-CG13,IF(A14&lt;'Données projet'!$A$114,$BV$205^A14,IF(A14='Données projet'!$A$114,'Données projet'!$B$114,BY13+BX14-CG13)))</f>
        <v>25.319987780177907</v>
      </c>
      <c r="BZ14" s="14">
        <f>BY14*VLOOKUP('Données projet'!$B$12,Paramètres!$A$1:$I$89,3,0)*VLOOKUP('Données projet'!$B$12,Paramètres!$A$1:$I$89,5,0)</f>
        <v>11.191434598838637</v>
      </c>
      <c r="CA14" s="14">
        <f t="shared" si="39"/>
        <v>3.8935658434352129</v>
      </c>
      <c r="CB14" s="22">
        <f t="shared" si="10"/>
        <v>26.273042436960285</v>
      </c>
      <c r="CC14" s="62">
        <f t="shared" si="11"/>
        <v>220.76884104607441</v>
      </c>
      <c r="CD14" s="62">
        <f ca="1">AVERAGE(OFFSET($CC$3,0,0,'Données projet'!$E$12+1,1))-AVERAGE(OFFSET($H$3,0,0,'Données projet'!$E$12+1,1))</f>
        <v>580.02817743695846</v>
      </c>
      <c r="CE14" s="62">
        <f t="shared" si="40"/>
        <v>551.23515633208865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4.9084615384615384</v>
      </c>
      <c r="CT14" s="13">
        <f>IF('Données projet'!$A$140&gt;35,CT13+CS14-DB13,IF(A14&lt;'Données projet'!$A$140,$CQ$205^A14,IF(A14='Données projet'!$A$140,'Données projet'!$B$140,CT13+CS14-DB13)))</f>
        <v>6.2367418843040729</v>
      </c>
      <c r="CU14" s="18">
        <f>CT14*VLOOKUP('Données projet'!$B$13,Paramètres!$A$1:$I$89,3,0)*VLOOKUP('Données projet'!$B$13,Paramètres!$A$1:$I$89,5,0)</f>
        <v>2.9187952018543064</v>
      </c>
      <c r="CV14" s="14">
        <f t="shared" si="41"/>
        <v>1.1874244488629264</v>
      </c>
      <c r="CW14" s="22">
        <f t="shared" si="13"/>
        <v>7.1516658916658464</v>
      </c>
      <c r="CX14" s="62">
        <f t="shared" si="14"/>
        <v>201.64746450077999</v>
      </c>
      <c r="CY14" s="62">
        <f ca="1">AVERAGE(OFFSET($CX$3,0,0,'Données projet'!$E$13+1,1))-AVERAGE(OFFSET($H$3,0,0,'Données projet'!$E$13+1,1))</f>
        <v>321.05795935196863</v>
      </c>
      <c r="CZ14" s="62">
        <f t="shared" si="42"/>
        <v>209.59551322748908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IF('Données projet'!$A$166&gt;35,DO13+DN14-DW13,IF(A14&lt;'Données projet'!$A$166,$DL$205^A14,IF(A14='Données projet'!$A$166,'Données projet'!$B$166,DO13+DN14-DW13)))</f>
        <v>10.588332555950936</v>
      </c>
      <c r="DP14" s="18">
        <f>DO14*VLOOKUP('Données projet'!$B$14,Paramètres!$A$1:$I$89,3,0)*VLOOKUP('Données projet'!$B$14,Paramètres!$A$1:$I$89,5,0)</f>
        <v>11.397281163225587</v>
      </c>
      <c r="DQ14" s="14">
        <f t="shared" si="43"/>
        <v>3.9567777795201704</v>
      </c>
      <c r="DR14" s="22">
        <f t="shared" si="16"/>
        <v>26.741652658615525</v>
      </c>
      <c r="DS14" s="62">
        <f t="shared" si="17"/>
        <v>221.23745126772965</v>
      </c>
      <c r="DT14" s="62">
        <f ca="1">AVERAGE(OFFSET($DS$3,0,0,'Données projet'!$E$14+1,1))-AVERAGE(OFFSET($H$3,0,0,'Données projet'!$E$14+1,1))</f>
        <v>638.58602907610805</v>
      </c>
      <c r="DU14" s="62">
        <f t="shared" si="44"/>
        <v>341.9250949809848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4.0552083333333337</v>
      </c>
      <c r="EJ14" s="13">
        <f>IF('Données projet'!$A$192&gt;35,EJ13+EI14-ER13,IF(A14&lt;'Données projet'!$A$192,$EG$205^A14,IF(A14='Données projet'!$A$192,'Données projet'!$B$192,EJ13+EI14-ER13)))</f>
        <v>35.204232617545621</v>
      </c>
      <c r="EK14" s="18">
        <f>EJ14*VLOOKUP('Données projet'!$B$15,Paramètres!$A$1:$I$89,3,0)*VLOOKUP('Données projet'!$B$15,Paramètres!$A$1:$I$89,5,0)</f>
        <v>21.052131105292283</v>
      </c>
      <c r="EL14" s="14">
        <f t="shared" si="45"/>
        <v>6.8048172888851708</v>
      </c>
      <c r="EM14" s="22">
        <f t="shared" si="19"/>
        <v>48.517518453192395</v>
      </c>
      <c r="EN14" s="62">
        <f t="shared" si="20"/>
        <v>243.01331706230653</v>
      </c>
      <c r="EO14" s="62">
        <f ca="1">AVERAGE(OFFSET($EN$3,0,0,'Données projet'!$E$15+1,1))-AVERAGE(OFFSET($H$3,0,0,'Données projet'!$E$15+1,1))</f>
        <v>223.57443551076992</v>
      </c>
      <c r="EP14" s="62">
        <f t="shared" si="46"/>
        <v>382.12751862619427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1.9558333333333331</v>
      </c>
      <c r="FE14" s="13">
        <f>IF('Données projet'!$A$218&gt;35,FE13+FD14-FM13,IF(A14&lt;'Données projet'!$A$218,$FB$205^A14,IF(A14='Données projet'!$A$218,'Données projet'!$B$218,FE13+FD14-FM13)))</f>
        <v>17.297499999999999</v>
      </c>
      <c r="FF14" s="18">
        <f>FE14*VLOOKUP('Données projet'!$B$16,Paramètres!$A$1:$I$89,3,0)*VLOOKUP('Données projet'!$B$16,Paramètres!$A$1:$I$89,5,0)</f>
        <v>19.92672</v>
      </c>
      <c r="FG14" s="14">
        <f t="shared" si="47"/>
        <v>6.4823660887173542</v>
      </c>
      <c r="FH14" s="22">
        <f t="shared" si="22"/>
        <v>45.995824937849385</v>
      </c>
      <c r="FI14" s="62">
        <f t="shared" si="23"/>
        <v>240.49162354696352</v>
      </c>
      <c r="FJ14" s="62">
        <f ca="1">AVERAGE(OFFSET($FI$3,0,0,'Données projet'!$E$16+1,1))-AVERAGE(OFFSET($H$3,0,0,'Données projet'!$E$16+1,1))</f>
        <v>283.95543623515323</v>
      </c>
      <c r="FK14" s="62">
        <f t="shared" si="48"/>
        <v>196.96883829830929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4.0552083333333337</v>
      </c>
      <c r="FZ14" s="13">
        <f>IF('Données projet'!$A$244&gt;35,FZ13+FY14-GH13,IF(A14&lt;'Données projet'!$A$244,$FW$205^A14,IF(A14='Données projet'!$A$244,'Données projet'!$B$244,FZ13+FY14-GH13)))</f>
        <v>35.204232617545621</v>
      </c>
      <c r="GA14" s="18">
        <f>FZ14*VLOOKUP('Données projet'!$B$17,Paramètres!$A$1:$I$89,3,0)*VLOOKUP('Données projet'!$B$17,Paramètres!$A$1:$I$89,5,0)</f>
        <v>21.052131105292283</v>
      </c>
      <c r="GB14" s="14">
        <f t="shared" si="49"/>
        <v>6.8048172888851708</v>
      </c>
      <c r="GC14" s="22">
        <f t="shared" si="25"/>
        <v>48.517518453192395</v>
      </c>
      <c r="GD14" s="62">
        <f t="shared" si="26"/>
        <v>243.01331706230653</v>
      </c>
      <c r="GE14" s="62">
        <f ca="1">AVERAGE(OFFSET($GD$3,0,0,'Données projet'!$E$17+1,1))-AVERAGE(OFFSET($H$3,0,0,'Données projet'!$E$17+1,1))</f>
        <v>223.57443551076992</v>
      </c>
      <c r="GF14" s="62">
        <f t="shared" si="50"/>
        <v>382.12751862619427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2.7411833378046713</v>
      </c>
      <c r="GU14" s="13">
        <f>IF('Données projet'!$A$270&gt;35,GU13+GT14-HC13,IF(A14&lt;'Données projet'!$A$270,$GR$205^A14,IF(A14='Données projet'!$A$270,'Données projet'!$B$270,GU13+GT14-HC13)))</f>
        <v>6.4237164207111999</v>
      </c>
      <c r="GV14" s="18">
        <f>GU14*VLOOKUP('Données projet'!$B$18,Paramètres!$A$1:$I$89,3,0)*VLOOKUP('Données projet'!$B$18,Paramètres!$A$1:$I$89,5,0)</f>
        <v>7.0146983314166294</v>
      </c>
      <c r="GW14" s="14">
        <f t="shared" si="51"/>
        <v>2.5768290996427239</v>
      </c>
      <c r="GX14" s="22">
        <f t="shared" si="28"/>
        <v>16.705243609095039</v>
      </c>
      <c r="GY14" s="62">
        <f t="shared" si="29"/>
        <v>211.20104221820918</v>
      </c>
      <c r="GZ14" s="62">
        <f ca="1">AVERAGE(OFFSET($GY$3,0,0,'Données projet'!$E$18+1,1))-AVERAGE(OFFSET($H$3,0,0,'Données projet'!$E$18+1,1))</f>
        <v>754.33260592777049</v>
      </c>
      <c r="HA14" s="62">
        <f t="shared" si="52"/>
        <v>250.97643915279005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9">
        <f t="shared" si="1"/>
        <v>183.33333333333334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550.39292625253665</v>
      </c>
      <c r="T15" s="62">
        <f t="shared" si="34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13.305514453470233</v>
      </c>
      <c r="AK15" s="14">
        <f t="shared" si="35"/>
        <v>4.5367667299931158</v>
      </c>
      <c r="AL15" s="22">
        <f t="shared" si="4"/>
        <v>31.075306394532003</v>
      </c>
      <c r="AM15" s="62">
        <f t="shared" si="5"/>
        <v>228.10508384726486</v>
      </c>
      <c r="AN15" s="62">
        <f ca="1">AVERAGE(OFFSET($AM$3,0,0,'Données projet'!$E$10+1,1))-AVERAGE(OFFSET($H$3,0,0,'Données projet'!$E$10+1,1))</f>
        <v>606.55142836375308</v>
      </c>
      <c r="AO15" s="62">
        <f t="shared" si="36"/>
        <v>325.72635759450861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2.8205128205128203</v>
      </c>
      <c r="BD15" s="13">
        <f>IF('Données projet'!$A$88&gt;35,BD14+BC15-BL14,IF(A15&lt;'Données projet'!$A$88,$BA$205^A15,IF(A15='Données projet'!$A$88,'Données projet'!$B$88,BD14+BC15-BL14)))</f>
        <v>20.004857851032284</v>
      </c>
      <c r="BE15" s="14">
        <f>BD15*VLOOKUP('Données projet'!$B$11,Paramètres!$A$1:$I$89,3,0)*VLOOKUP('Données projet'!$B$11,Paramètres!$A$1:$I$89,5,0)</f>
        <v>20.909077425898946</v>
      </c>
      <c r="BF15" s="14">
        <f t="shared" si="37"/>
        <v>6.7639432739208196</v>
      </c>
      <c r="BG15" s="22">
        <f t="shared" si="7"/>
        <v>48.19717771885275</v>
      </c>
      <c r="BH15" s="62">
        <f t="shared" si="8"/>
        <v>245.22695517158562</v>
      </c>
      <c r="BI15" s="62">
        <f ca="1">AVERAGE(OFFSET($BH$3,0,0,'Données projet'!$E$11+1,1))-AVERAGE(OFFSET($H$3,0,0,'Données projet'!$E$11+1,1))</f>
        <v>635.13577238794812</v>
      </c>
      <c r="BJ15" s="62">
        <f t="shared" si="38"/>
        <v>374.35810525172019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5.4666666666666668</v>
      </c>
      <c r="BY15" s="13">
        <f>IF('Données projet'!$A$114&gt;35,BY14+BX15-CG14,IF(A15&lt;'Données projet'!$A$114,$BV$205^A15,IF(A15='Données projet'!$A$114,'Données projet'!$B$114,BY14+BX15-CG14)))</f>
        <v>33.966522181293939</v>
      </c>
      <c r="BZ15" s="14">
        <f>BY15*VLOOKUP('Données projet'!$B$12,Paramètres!$A$1:$I$89,3,0)*VLOOKUP('Données projet'!$B$12,Paramètres!$A$1:$I$89,5,0)</f>
        <v>15.013202804131923</v>
      </c>
      <c r="CA15" s="14">
        <f t="shared" si="39"/>
        <v>5.0475882189394508</v>
      </c>
      <c r="CB15" s="22">
        <f t="shared" si="10"/>
        <v>34.939211031849304</v>
      </c>
      <c r="CC15" s="62">
        <f t="shared" si="11"/>
        <v>231.96898848458218</v>
      </c>
      <c r="CD15" s="62">
        <f ca="1">AVERAGE(OFFSET($CC$3,0,0,'Données projet'!$E$12+1,1))-AVERAGE(OFFSET($H$3,0,0,'Données projet'!$E$12+1,1))</f>
        <v>580.02817743695846</v>
      </c>
      <c r="CE15" s="62">
        <f t="shared" si="40"/>
        <v>551.23515633208865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4.9084615384615384</v>
      </c>
      <c r="CT15" s="13">
        <f>IF('Données projet'!$A$140&gt;35,CT14+CS15-DB14,IF(A15&lt;'Données projet'!$A$140,$CQ$205^A15,IF(A15='Données projet'!$A$140,'Données projet'!$B$140,CT14+CS15-DB14)))</f>
        <v>7.3659142514897171</v>
      </c>
      <c r="CU15" s="18">
        <f>CT15*VLOOKUP('Données projet'!$B$13,Paramètres!$A$1:$I$89,3,0)*VLOOKUP('Données projet'!$B$13,Paramètres!$A$1:$I$89,5,0)</f>
        <v>3.447247869697188</v>
      </c>
      <c r="CV15" s="14">
        <f t="shared" si="41"/>
        <v>1.3755069097464061</v>
      </c>
      <c r="CW15" s="22">
        <f t="shared" si="13"/>
        <v>8.3996312408642595</v>
      </c>
      <c r="CX15" s="62">
        <f t="shared" si="14"/>
        <v>205.42940869359714</v>
      </c>
      <c r="CY15" s="62">
        <f ca="1">AVERAGE(OFFSET($CX$3,0,0,'Données projet'!$E$13+1,1))-AVERAGE(OFFSET($H$3,0,0,'Données projet'!$E$13+1,1))</f>
        <v>321.05795935196863</v>
      </c>
      <c r="CZ15" s="62">
        <f t="shared" si="42"/>
        <v>209.59551322748908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IF('Données projet'!$A$166&gt;35,DO14+DN15-DW14,IF(A15&lt;'Données projet'!$A$166,$DL$205^A15,IF(A15='Données projet'!$A$166,'Données projet'!$B$166,DO14+DN15-DW14)))</f>
        <v>13.121809125710287</v>
      </c>
      <c r="DP15" s="18">
        <f>DO15*VLOOKUP('Données projet'!$B$14,Paramètres!$A$1:$I$89,3,0)*VLOOKUP('Données projet'!$B$14,Paramètres!$A$1:$I$89,5,0)</f>
        <v>14.124315342914553</v>
      </c>
      <c r="DQ15" s="14">
        <f t="shared" si="43"/>
        <v>4.7825912403370845</v>
      </c>
      <c r="DR15" s="22">
        <f t="shared" si="16"/>
        <v>32.929528965829938</v>
      </c>
      <c r="DS15" s="62">
        <f t="shared" si="17"/>
        <v>229.95930641856282</v>
      </c>
      <c r="DT15" s="62">
        <f ca="1">AVERAGE(OFFSET($DS$3,0,0,'Données projet'!$E$14+1,1))-AVERAGE(OFFSET($H$3,0,0,'Données projet'!$E$14+1,1))</f>
        <v>638.58602907610805</v>
      </c>
      <c r="DU15" s="62">
        <f t="shared" si="44"/>
        <v>341.9250949809848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>
        <f>VLOOKUP(A15,'Données projet'!$A$191:$I$211,2,0)</f>
        <v>48.662500000000001</v>
      </c>
      <c r="EH15" s="13">
        <f>VLOOKUP(A15,'Données projet'!$A$191:$I$211,9,0)</f>
        <v>4.0552083333333337</v>
      </c>
      <c r="EI15" s="13">
        <f t="array" ref="EI15">INDEX(EH:EH,MIN(IF(ISNUMBER(EH15:EH211),ROW(EH15:EH211),"")))</f>
        <v>4.0552083333333337</v>
      </c>
      <c r="EJ15" s="13">
        <f>IF('Données projet'!$A$192&gt;35,EJ14+EI15-ER14,IF(A15&lt;'Données projet'!$A$192,$EG$205^A15,IF(A15='Données projet'!$A$192,'Données projet'!$B$192,EJ14+EI15-ER14)))</f>
        <v>48.662500000000001</v>
      </c>
      <c r="EK15" s="18">
        <f>EJ15*VLOOKUP('Données projet'!$B$15,Paramètres!$A$1:$I$89,3,0)*VLOOKUP('Données projet'!$B$15,Paramètres!$A$1:$I$89,5,0)</f>
        <v>29.100175</v>
      </c>
      <c r="EL15" s="14">
        <f t="shared" si="45"/>
        <v>9.0583733721044215</v>
      </c>
      <c r="EM15" s="22">
        <f t="shared" si="19"/>
        <v>66.459471748081853</v>
      </c>
      <c r="EN15" s="62">
        <f t="shared" si="20"/>
        <v>263.4892492008147</v>
      </c>
      <c r="EO15" s="62">
        <f ca="1">AVERAGE(OFFSET($EN$3,0,0,'Données projet'!$E$15+1,1))-AVERAGE(OFFSET($H$3,0,0,'Données projet'!$E$15+1,1))</f>
        <v>223.57443551076992</v>
      </c>
      <c r="EP15" s="62">
        <f t="shared" si="46"/>
        <v>382.12751862619427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1.9558333333333331</v>
      </c>
      <c r="FE15" s="13">
        <f>IF('Données projet'!$A$218&gt;35,FE14+FD15-FM14,IF(A15&lt;'Données projet'!$A$218,$FB$205^A15,IF(A15='Données projet'!$A$218,'Données projet'!$B$218,FE14+FD15-FM14)))</f>
        <v>19.253333333333334</v>
      </c>
      <c r="FF15" s="18">
        <f>FE15*VLOOKUP('Données projet'!$B$16,Paramètres!$A$1:$I$89,3,0)*VLOOKUP('Données projet'!$B$16,Paramètres!$A$1:$I$89,5,0)</f>
        <v>22.179839999999999</v>
      </c>
      <c r="FG15" s="14">
        <f t="shared" si="47"/>
        <v>7.1259195506874313</v>
      </c>
      <c r="FH15" s="22">
        <f t="shared" si="22"/>
        <v>51.040864550780604</v>
      </c>
      <c r="FI15" s="62">
        <f t="shared" si="23"/>
        <v>248.07064200351348</v>
      </c>
      <c r="FJ15" s="62">
        <f ca="1">AVERAGE(OFFSET($FI$3,0,0,'Données projet'!$E$16+1,1))-AVERAGE(OFFSET($H$3,0,0,'Données projet'!$E$16+1,1))</f>
        <v>283.95543623515323</v>
      </c>
      <c r="FK15" s="62">
        <f t="shared" si="48"/>
        <v>196.96883829830929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>
        <f>VLOOKUP(A15,'Données projet'!$A$243:$I$263,2,0)</f>
        <v>48.662500000000001</v>
      </c>
      <c r="FX15" s="13">
        <f>VLOOKUP(A15,'Données projet'!$A$243:$I$263,9,0)</f>
        <v>4.0552083333333337</v>
      </c>
      <c r="FY15" s="13">
        <f t="array" ref="FY15">INDEX(FX:FX,MIN(IF(ISNUMBER(FX15:FX211),ROW(FX15:FX211),"")))</f>
        <v>4.0552083333333337</v>
      </c>
      <c r="FZ15" s="13">
        <f>IF('Données projet'!$A$244&gt;35,FZ14+FY15-GH14,IF(A15&lt;'Données projet'!$A$244,$FW$205^A15,IF(A15='Données projet'!$A$244,'Données projet'!$B$244,FZ14+FY15-GH14)))</f>
        <v>48.662500000000001</v>
      </c>
      <c r="GA15" s="18">
        <f>FZ15*VLOOKUP('Données projet'!$B$17,Paramètres!$A$1:$I$89,3,0)*VLOOKUP('Données projet'!$B$17,Paramètres!$A$1:$I$89,5,0)</f>
        <v>29.100175</v>
      </c>
      <c r="GB15" s="14">
        <f t="shared" si="49"/>
        <v>9.0583733721044215</v>
      </c>
      <c r="GC15" s="22">
        <f t="shared" si="25"/>
        <v>66.459471748081853</v>
      </c>
      <c r="GD15" s="62">
        <f t="shared" si="26"/>
        <v>263.4892492008147</v>
      </c>
      <c r="GE15" s="62">
        <f ca="1">AVERAGE(OFFSET($GD$3,0,0,'Données projet'!$E$17+1,1))-AVERAGE(OFFSET($H$3,0,0,'Données projet'!$E$17+1,1))</f>
        <v>223.57443551076992</v>
      </c>
      <c r="GF15" s="62">
        <f t="shared" si="50"/>
        <v>382.12751862619427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2.7411833378046713</v>
      </c>
      <c r="GU15" s="13">
        <f>IF('Données projet'!$A$270&gt;35,GU14+GT15-HC14,IF(A15&lt;'Données projet'!$A$270,$GR$205^A15,IF(A15='Données projet'!$A$270,'Données projet'!$B$270,GU14+GT15-HC14)))</f>
        <v>7.6071413166729744</v>
      </c>
      <c r="GV15" s="18">
        <f>GU15*VLOOKUP('Données projet'!$B$18,Paramètres!$A$1:$I$89,3,0)*VLOOKUP('Données projet'!$B$18,Paramètres!$A$1:$I$89,5,0)</f>
        <v>8.3069983178068867</v>
      </c>
      <c r="GW15" s="14">
        <f t="shared" si="51"/>
        <v>2.9920778665817531</v>
      </c>
      <c r="GX15" s="22">
        <f t="shared" si="28"/>
        <v>19.679224354476879</v>
      </c>
      <c r="GY15" s="62">
        <f t="shared" si="29"/>
        <v>216.70900180720975</v>
      </c>
      <c r="GZ15" s="62">
        <f ca="1">AVERAGE(OFFSET($GY$3,0,0,'Données projet'!$E$18+1,1))-AVERAGE(OFFSET($H$3,0,0,'Données projet'!$E$18+1,1))</f>
        <v>754.33260592777049</v>
      </c>
      <c r="HA15" s="62">
        <f t="shared" si="52"/>
        <v>250.97643915279005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9">
        <f t="shared" si="1"/>
        <v>183.33333333333334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550.39292625253665</v>
      </c>
      <c r="T16" s="62">
        <f t="shared" si="34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16.489132736928447</v>
      </c>
      <c r="AK16" s="14">
        <f t="shared" si="35"/>
        <v>5.4836288594779292</v>
      </c>
      <c r="AL16" s="22">
        <f t="shared" si="4"/>
        <v>38.269226447074438</v>
      </c>
      <c r="AM16" s="62">
        <f t="shared" si="5"/>
        <v>237.81022669869324</v>
      </c>
      <c r="AN16" s="62">
        <f ca="1">AVERAGE(OFFSET($AM$3,0,0,'Données projet'!$E$10+1,1))-AVERAGE(OFFSET($H$3,0,0,'Données projet'!$E$10+1,1))</f>
        <v>606.55142836375308</v>
      </c>
      <c r="AO16" s="62">
        <f t="shared" si="36"/>
        <v>325.72635759450861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2.8205128205128203</v>
      </c>
      <c r="BD16" s="13">
        <f>IF('Données projet'!$A$88&gt;35,BD15+BC16-BL15,IF(A16&lt;'Données projet'!$A$88,$BA$205^A16,IF(A16='Données projet'!$A$88,'Données projet'!$B$88,BD15+BC16-BL15)))</f>
        <v>25.678131912352789</v>
      </c>
      <c r="BE16" s="14">
        <f>BD16*VLOOKUP('Données projet'!$B$11,Paramètres!$A$1:$I$89,3,0)*VLOOKUP('Données projet'!$B$11,Paramètres!$A$1:$I$89,5,0)</f>
        <v>26.838783474791136</v>
      </c>
      <c r="BF16" s="14">
        <f t="shared" si="37"/>
        <v>8.4334815366289995</v>
      </c>
      <c r="BG16" s="22">
        <f t="shared" si="7"/>
        <v>61.432528228223397</v>
      </c>
      <c r="BH16" s="62">
        <f t="shared" si="8"/>
        <v>260.97352847984223</v>
      </c>
      <c r="BI16" s="62">
        <f ca="1">AVERAGE(OFFSET($BH$3,0,0,'Données projet'!$E$11+1,1))-AVERAGE(OFFSET($H$3,0,0,'Données projet'!$E$11+1,1))</f>
        <v>635.13577238794812</v>
      </c>
      <c r="BJ16" s="62">
        <f t="shared" si="38"/>
        <v>374.35810525172019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5.4666666666666668</v>
      </c>
      <c r="BY16" s="13">
        <f>IF('Données projet'!$A$114&gt;35,BY15+BX16-CG15,IF(A16&lt;'Données projet'!$A$114,$BV$205^A16,IF(A16='Données projet'!$A$114,'Données projet'!$B$114,BY15+BX16-CG15)))</f>
        <v>45.56576563577736</v>
      </c>
      <c r="BZ16" s="14">
        <f>BY16*VLOOKUP('Données projet'!$B$12,Paramètres!$A$1:$I$89,3,0)*VLOOKUP('Données projet'!$B$12,Paramètres!$A$1:$I$89,5,0)</f>
        <v>20.140068411013594</v>
      </c>
      <c r="CA16" s="14">
        <f t="shared" si="39"/>
        <v>6.5436537745814753</v>
      </c>
      <c r="CB16" s="22">
        <f t="shared" si="10"/>
        <v>46.474149473244744</v>
      </c>
      <c r="CC16" s="62">
        <f t="shared" si="11"/>
        <v>246.01514972486356</v>
      </c>
      <c r="CD16" s="62">
        <f ca="1">AVERAGE(OFFSET($CC$3,0,0,'Données projet'!$E$12+1,1))-AVERAGE(OFFSET($H$3,0,0,'Données projet'!$E$12+1,1))</f>
        <v>580.02817743695846</v>
      </c>
      <c r="CE16" s="62">
        <f t="shared" si="40"/>
        <v>551.23515633208865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4.9084615384615384</v>
      </c>
      <c r="CT16" s="13">
        <f>IF('Données projet'!$A$140&gt;35,CT15+CS16-DB15,IF(A16&lt;'Données projet'!$A$140,$CQ$205^A16,IF(A16='Données projet'!$A$140,'Données projet'!$B$140,CT15+CS16-DB15)))</f>
        <v>8.6995251313584792</v>
      </c>
      <c r="CU16" s="18">
        <f>CT16*VLOOKUP('Données projet'!$B$13,Paramètres!$A$1:$I$89,3,0)*VLOOKUP('Données projet'!$B$13,Paramètres!$A$1:$I$89,5,0)</f>
        <v>4.0713777614757687</v>
      </c>
      <c r="CV16" s="14">
        <f t="shared" si="41"/>
        <v>1.5933807498842545</v>
      </c>
      <c r="CW16" s="22">
        <f t="shared" si="13"/>
        <v>9.8661210739520406</v>
      </c>
      <c r="CX16" s="62">
        <f t="shared" si="14"/>
        <v>209.40712132557084</v>
      </c>
      <c r="CY16" s="62">
        <f ca="1">AVERAGE(OFFSET($CX$3,0,0,'Données projet'!$E$13+1,1))-AVERAGE(OFFSET($H$3,0,0,'Données projet'!$E$13+1,1))</f>
        <v>321.05795935196863</v>
      </c>
      <c r="CZ16" s="62">
        <f t="shared" si="42"/>
        <v>209.59551322748908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IF('Données projet'!$A$166&gt;35,DO15+DN16-DW15,IF(A16&lt;'Données projet'!$A$166,$DL$205^A16,IF(A16='Données projet'!$A$166,'Données projet'!$B$166,DO15+DN16-DW15)))</f>
        <v>16.261472127148366</v>
      </c>
      <c r="DP16" s="18">
        <f>DO16*VLOOKUP('Données projet'!$B$14,Paramètres!$A$1:$I$89,3,0)*VLOOKUP('Données projet'!$B$14,Paramètres!$A$1:$I$89,5,0)</f>
        <v>17.5038485976625</v>
      </c>
      <c r="DQ16" s="14">
        <f t="shared" si="43"/>
        <v>5.7807590536264062</v>
      </c>
      <c r="DR16" s="22">
        <f t="shared" si="16"/>
        <v>40.55402499266151</v>
      </c>
      <c r="DS16" s="62">
        <f t="shared" si="17"/>
        <v>240.09502524428032</v>
      </c>
      <c r="DT16" s="62">
        <f ca="1">AVERAGE(OFFSET($DS$3,0,0,'Données projet'!$E$14+1,1))-AVERAGE(OFFSET($H$3,0,0,'Données projet'!$E$14+1,1))</f>
        <v>638.58602907610805</v>
      </c>
      <c r="DU16" s="62">
        <f t="shared" si="44"/>
        <v>341.9250949809848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>
        <f>VLOOKUP(A16,'Données projet'!$A$191:$I$211,2,0)</f>
        <v>66.096000000000004</v>
      </c>
      <c r="EH16" s="13">
        <f>VLOOKUP(A16,'Données projet'!$A$191:$I$211,9,0)</f>
        <v>17.433500000000002</v>
      </c>
      <c r="EI16" s="13">
        <f t="array" ref="EI16">INDEX(EH:EH,MIN(IF(ISNUMBER(EH16:EH212),ROW(EH16:EH212),"")))</f>
        <v>17.433500000000002</v>
      </c>
      <c r="EJ16" s="13">
        <f>IF('Données projet'!$A$192&gt;35,EJ15+EI16-ER15,IF(A16&lt;'Données projet'!$A$192,$EG$205^A16,IF(A16='Données projet'!$A$192,'Données projet'!$B$192,EJ15+EI16-ER15)))</f>
        <v>66.096000000000004</v>
      </c>
      <c r="EK16" s="18">
        <f>EJ16*VLOOKUP('Données projet'!$B$15,Paramètres!$A$1:$I$89,3,0)*VLOOKUP('Données projet'!$B$15,Paramètres!$A$1:$I$89,5,0)</f>
        <v>39.525408000000006</v>
      </c>
      <c r="EL16" s="14">
        <f t="shared" si="45"/>
        <v>11.872768996466366</v>
      </c>
      <c r="EM16" s="22">
        <f t="shared" si="19"/>
        <v>89.518491602178926</v>
      </c>
      <c r="EN16" s="62">
        <f t="shared" si="20"/>
        <v>289.05949185379774</v>
      </c>
      <c r="EO16" s="62">
        <f ca="1">AVERAGE(OFFSET($EN$3,0,0,'Données projet'!$E$15+1,1))-AVERAGE(OFFSET($H$3,0,0,'Données projet'!$E$15+1,1))</f>
        <v>223.57443551076992</v>
      </c>
      <c r="EP16" s="62">
        <f t="shared" si="46"/>
        <v>382.12751862619427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1.9558333333333331</v>
      </c>
      <c r="FE16" s="13">
        <f>IF('Données projet'!$A$218&gt;35,FE15+FD16-FM15,IF(A16&lt;'Données projet'!$A$218,$FB$205^A16,IF(A16='Données projet'!$A$218,'Données projet'!$B$218,FE15+FD16-FM15)))</f>
        <v>21.209166666666668</v>
      </c>
      <c r="FF16" s="18">
        <f>FE16*VLOOKUP('Données projet'!$B$16,Paramètres!$A$1:$I$89,3,0)*VLOOKUP('Données projet'!$B$16,Paramètres!$A$1:$I$89,5,0)</f>
        <v>24.432960000000001</v>
      </c>
      <c r="FG16" s="14">
        <f t="shared" si="47"/>
        <v>7.7618944497956903</v>
      </c>
      <c r="FH16" s="22">
        <f t="shared" si="22"/>
        <v>56.072704833394162</v>
      </c>
      <c r="FI16" s="62">
        <f t="shared" si="23"/>
        <v>255.61370508501298</v>
      </c>
      <c r="FJ16" s="62">
        <f ca="1">AVERAGE(OFFSET($FI$3,0,0,'Données projet'!$E$16+1,1))-AVERAGE(OFFSET($H$3,0,0,'Données projet'!$E$16+1,1))</f>
        <v>283.95543623515323</v>
      </c>
      <c r="FK16" s="62">
        <f t="shared" si="48"/>
        <v>196.96883829830929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>
        <f>VLOOKUP(A16,'Données projet'!$A$243:$I$263,2,0)</f>
        <v>66.096000000000004</v>
      </c>
      <c r="FX16" s="13">
        <f>VLOOKUP(A16,'Données projet'!$A$243:$I$263,9,0)</f>
        <v>17.433500000000002</v>
      </c>
      <c r="FY16" s="13">
        <f t="array" ref="FY16">INDEX(FX:FX,MIN(IF(ISNUMBER(FX16:FX212),ROW(FX16:FX212),"")))</f>
        <v>17.433500000000002</v>
      </c>
      <c r="FZ16" s="13">
        <f>IF('Données projet'!$A$244&gt;35,FZ15+FY16-GH15,IF(A16&lt;'Données projet'!$A$244,$FW$205^A16,IF(A16='Données projet'!$A$244,'Données projet'!$B$244,FZ15+FY16-GH15)))</f>
        <v>66.096000000000004</v>
      </c>
      <c r="GA16" s="18">
        <f>FZ16*VLOOKUP('Données projet'!$B$17,Paramètres!$A$1:$I$89,3,0)*VLOOKUP('Données projet'!$B$17,Paramètres!$A$1:$I$89,5,0)</f>
        <v>39.525408000000006</v>
      </c>
      <c r="GB16" s="14">
        <f t="shared" si="49"/>
        <v>11.872768996466366</v>
      </c>
      <c r="GC16" s="22">
        <f t="shared" si="25"/>
        <v>89.518491602178926</v>
      </c>
      <c r="GD16" s="62">
        <f t="shared" si="26"/>
        <v>289.05949185379774</v>
      </c>
      <c r="GE16" s="62">
        <f ca="1">AVERAGE(OFFSET($GD$3,0,0,'Données projet'!$E$17+1,1))-AVERAGE(OFFSET($H$3,0,0,'Données projet'!$E$17+1,1))</f>
        <v>223.57443551076992</v>
      </c>
      <c r="GF16" s="62">
        <f t="shared" si="50"/>
        <v>382.12751862619427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2.7411833378046713</v>
      </c>
      <c r="GU16" s="13">
        <f>IF('Données projet'!$A$270&gt;35,GU15+GT16-HC15,IF(A16&lt;'Données projet'!$A$270,$GR$205^A16,IF(A16='Données projet'!$A$270,'Données projet'!$B$270,GU15+GT16-HC15)))</f>
        <v>9.0085855635305467</v>
      </c>
      <c r="GV16" s="18">
        <f>GU16*VLOOKUP('Données projet'!$B$18,Paramètres!$A$1:$I$89,3,0)*VLOOKUP('Données projet'!$B$18,Paramètres!$A$1:$I$89,5,0)</f>
        <v>9.8373754353753569</v>
      </c>
      <c r="GW16" s="14">
        <f t="shared" si="51"/>
        <v>3.4742428052095828</v>
      </c>
      <c r="GX16" s="22">
        <f t="shared" si="28"/>
        <v>23.184401769018773</v>
      </c>
      <c r="GY16" s="62">
        <f t="shared" si="29"/>
        <v>222.72540202063757</v>
      </c>
      <c r="GZ16" s="62">
        <f ca="1">AVERAGE(OFFSET($GY$3,0,0,'Données projet'!$E$18+1,1))-AVERAGE(OFFSET($H$3,0,0,'Données projet'!$E$18+1,1))</f>
        <v>754.33260592777049</v>
      </c>
      <c r="HA16" s="62">
        <f t="shared" si="52"/>
        <v>250.97643915279005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9">
        <f t="shared" si="1"/>
        <v>183.33333333333334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550.39292625253665</v>
      </c>
      <c r="T17" s="62">
        <f t="shared" si="34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20.434497242993334</v>
      </c>
      <c r="AK17" s="14">
        <f t="shared" si="35"/>
        <v>6.6281092368495731</v>
      </c>
      <c r="AL17" s="22">
        <f t="shared" si="4"/>
        <v>47.134039619059727</v>
      </c>
      <c r="AM17" s="62">
        <f t="shared" si="5"/>
        <v>249.16390139133293</v>
      </c>
      <c r="AN17" s="62">
        <f ca="1">AVERAGE(OFFSET($AM$3,0,0,'Données projet'!$E$10+1,1))-AVERAGE(OFFSET($H$3,0,0,'Données projet'!$E$10+1,1))</f>
        <v>606.55142836375308</v>
      </c>
      <c r="AO17" s="62">
        <f t="shared" si="36"/>
        <v>325.72635759450861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2.8205128205128203</v>
      </c>
      <c r="BD17" s="13">
        <f>IF('Données projet'!$A$88&gt;35,BD16+BC17-BL16,IF(A17&lt;'Données projet'!$A$88,$BA$205^A17,IF(A17='Données projet'!$A$88,'Données projet'!$B$88,BD16+BC17-BL16)))</f>
        <v>32.960317109884706</v>
      </c>
      <c r="BE17" s="14">
        <f>BD17*VLOOKUP('Données projet'!$B$11,Paramètres!$A$1:$I$89,3,0)*VLOOKUP('Données projet'!$B$11,Paramètres!$A$1:$I$89,5,0)</f>
        <v>34.450123443251499</v>
      </c>
      <c r="BF17" s="14">
        <f t="shared" si="37"/>
        <v>10.515110483390327</v>
      </c>
      <c r="BG17" s="22">
        <f t="shared" si="7"/>
        <v>78.314449088901185</v>
      </c>
      <c r="BH17" s="62">
        <f t="shared" si="8"/>
        <v>280.34431086117439</v>
      </c>
      <c r="BI17" s="62">
        <f ca="1">AVERAGE(OFFSET($BH$3,0,0,'Données projet'!$E$11+1,1))-AVERAGE(OFFSET($H$3,0,0,'Données projet'!$E$11+1,1))</f>
        <v>635.13577238794812</v>
      </c>
      <c r="BJ17" s="62">
        <f t="shared" si="38"/>
        <v>374.35810525172019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5.4666666666666668</v>
      </c>
      <c r="BY17" s="13">
        <f>IF('Données projet'!$A$114&gt;35,BY16+BX17-CG16,IF(A17&lt;'Données projet'!$A$114,$BV$205^A17,IF(A17='Données projet'!$A$114,'Données projet'!$B$114,BY16+BX17-CG16)))</f>
        <v>61.126040131303654</v>
      </c>
      <c r="BZ17" s="14">
        <f>BY17*VLOOKUP('Données projet'!$B$12,Paramètres!$A$1:$I$89,3,0)*VLOOKUP('Données projet'!$B$12,Paramètres!$A$1:$I$89,5,0)</f>
        <v>27.017709738036217</v>
      </c>
      <c r="CA17" s="14">
        <f t="shared" si="39"/>
        <v>8.483141426023689</v>
      </c>
      <c r="CB17" s="22">
        <f t="shared" si="10"/>
        <v>61.830649110737674</v>
      </c>
      <c r="CC17" s="62">
        <f t="shared" si="11"/>
        <v>263.86051088301087</v>
      </c>
      <c r="CD17" s="62">
        <f ca="1">AVERAGE(OFFSET($CC$3,0,0,'Données projet'!$E$12+1,1))-AVERAGE(OFFSET($H$3,0,0,'Données projet'!$E$12+1,1))</f>
        <v>580.02817743695846</v>
      </c>
      <c r="CE17" s="62">
        <f t="shared" si="40"/>
        <v>551.23515633208865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4.9084615384615384</v>
      </c>
      <c r="CT17" s="13">
        <f>IF('Données projet'!$A$140&gt;35,CT16+CS17-DB16,IF(A17&lt;'Données projet'!$A$140,$CQ$205^A17,IF(A17='Données projet'!$A$140,'Données projet'!$B$140,CT16+CS17-DB16)))</f>
        <v>10.27458845259182</v>
      </c>
      <c r="CU17" s="18">
        <f>CT17*VLOOKUP('Données projet'!$B$13,Paramètres!$A$1:$I$89,3,0)*VLOOKUP('Données projet'!$B$13,Paramètres!$A$1:$I$89,5,0)</f>
        <v>4.8085073958129714</v>
      </c>
      <c r="CV17" s="14">
        <f t="shared" si="41"/>
        <v>1.8457647839586531</v>
      </c>
      <c r="CW17" s="22">
        <f t="shared" si="13"/>
        <v>11.589524046435578</v>
      </c>
      <c r="CX17" s="62">
        <f t="shared" si="14"/>
        <v>213.61938581870876</v>
      </c>
      <c r="CY17" s="62">
        <f ca="1">AVERAGE(OFFSET($CX$3,0,0,'Données projet'!$E$13+1,1))-AVERAGE(OFFSET($H$3,0,0,'Données projet'!$E$13+1,1))</f>
        <v>321.05795935196863</v>
      </c>
      <c r="CZ17" s="62">
        <f t="shared" si="42"/>
        <v>209.59551322748908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IF('Données projet'!$A$166&gt;35,DO16+DN17-DW16,IF(A17&lt;'Données projet'!$A$166,$DL$205^A17,IF(A17='Données projet'!$A$166,'Données projet'!$B$166,DO16+DN17-DW16)))</f>
        <v>20.152364144963837</v>
      </c>
      <c r="DP17" s="18">
        <f>DO17*VLOOKUP('Données projet'!$B$14,Paramètres!$A$1:$I$89,3,0)*VLOOKUP('Données projet'!$B$14,Paramètres!$A$1:$I$89,5,0)</f>
        <v>21.692004765639073</v>
      </c>
      <c r="DQ17" s="14">
        <f t="shared" si="43"/>
        <v>6.9872530510737043</v>
      </c>
      <c r="DR17" s="22">
        <f t="shared" si="16"/>
        <v>49.949707364108086</v>
      </c>
      <c r="DS17" s="62">
        <f t="shared" si="17"/>
        <v>251.97956913638129</v>
      </c>
      <c r="DT17" s="62">
        <f ca="1">AVERAGE(OFFSET($DS$3,0,0,'Données projet'!$E$14+1,1))-AVERAGE(OFFSET($H$3,0,0,'Données projet'!$E$14+1,1))</f>
        <v>638.58602907610805</v>
      </c>
      <c r="DU17" s="62">
        <f t="shared" si="44"/>
        <v>341.9250949809848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>
        <f>VLOOKUP(A17,'Données projet'!$A$191:$I$211,2,0)</f>
        <v>85.756500000000003</v>
      </c>
      <c r="EH17" s="13">
        <f>VLOOKUP(A17,'Données projet'!$A$191:$I$211,9,0)</f>
        <v>19.660499999999999</v>
      </c>
      <c r="EI17" s="13">
        <f t="array" ref="EI17">INDEX(EH:EH,MIN(IF(ISNUMBER(EH17:EH213),ROW(EH17:EH213),"")))</f>
        <v>19.660499999999999</v>
      </c>
      <c r="EJ17" s="13">
        <f>IF('Données projet'!$A$192&gt;35,EJ16+EI17-ER16,IF(A17&lt;'Données projet'!$A$192,$EG$205^A17,IF(A17='Données projet'!$A$192,'Données projet'!$B$192,EJ16+EI17-ER16)))</f>
        <v>85.756500000000003</v>
      </c>
      <c r="EK17" s="18">
        <f>EJ17*VLOOKUP('Données projet'!$B$15,Paramètres!$A$1:$I$89,3,0)*VLOOKUP('Données projet'!$B$15,Paramètres!$A$1:$I$89,5,0)</f>
        <v>51.282387000000007</v>
      </c>
      <c r="EL17" s="14">
        <f t="shared" si="45"/>
        <v>14.944451998773655</v>
      </c>
      <c r="EM17" s="22">
        <f t="shared" si="19"/>
        <v>115.34507792286411</v>
      </c>
      <c r="EN17" s="62">
        <f t="shared" si="20"/>
        <v>317.3749396951373</v>
      </c>
      <c r="EO17" s="62">
        <f ca="1">AVERAGE(OFFSET($EN$3,0,0,'Données projet'!$E$15+1,1))-AVERAGE(OFFSET($H$3,0,0,'Données projet'!$E$15+1,1))</f>
        <v>223.57443551076992</v>
      </c>
      <c r="EP17" s="62">
        <f t="shared" si="46"/>
        <v>382.12751862619427</v>
      </c>
      <c r="EQ17" s="16">
        <f>IF(ISNA(VLOOKUP(A17,'Données projet'!$A$191:$I$211,3,0)),0,VLOOKUP(A17,'Données projet'!$A$191:$I$211,3,0))</f>
        <v>1</v>
      </c>
      <c r="ER17" s="16">
        <f>IF(ISNA(VLOOKUP(A17,'Données projet'!$A$191:$I$211,4,0)),0,VLOOKUP(A17,'Données projet'!$A$191:$I$211,4,0))</f>
        <v>22.227499999999999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0.22500000000000001</v>
      </c>
      <c r="EU17" s="17">
        <f>IF(ISNA(VLOOKUP(A17,'Données projet'!$A$191:$I$211,7,0)),0%,VLOOKUP(A17,'Données projet'!$A$191:$I$211,7,0))</f>
        <v>0.5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3.9517487019625084</v>
      </c>
      <c r="EX17" s="23">
        <f>EXP(-LN(2)/2)*EX16+(1-EXP(-LN(2)/2))/(LN(2)/2)*ER17*EU17*VLOOKUP('Données projet'!$B$15,Paramètres!$A$1:$I$89,3,0)*0.475*44/12</f>
        <v>7.5248413245875865</v>
      </c>
      <c r="EY17" s="24">
        <f t="shared" si="21"/>
        <v>11.476590026550095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1.9558333333333331</v>
      </c>
      <c r="FE17" s="13">
        <f>IF('Données projet'!$A$218&gt;35,FE16+FD17-FM16,IF(A17&lt;'Données projet'!$A$218,$FB$205^A17,IF(A17='Données projet'!$A$218,'Données projet'!$B$218,FE16+FD17-FM16)))</f>
        <v>23.165000000000003</v>
      </c>
      <c r="FF17" s="18">
        <f>FE17*VLOOKUP('Données projet'!$B$16,Paramètres!$A$1:$I$89,3,0)*VLOOKUP('Données projet'!$B$16,Paramètres!$A$1:$I$89,5,0)</f>
        <v>26.68608</v>
      </c>
      <c r="FG17" s="14">
        <f t="shared" si="47"/>
        <v>8.3910691422038557</v>
      </c>
      <c r="FH17" s="22">
        <f t="shared" si="22"/>
        <v>61.092701422671723</v>
      </c>
      <c r="FI17" s="62">
        <f t="shared" si="23"/>
        <v>263.12256319494492</v>
      </c>
      <c r="FJ17" s="62">
        <f ca="1">AVERAGE(OFFSET($FI$3,0,0,'Données projet'!$E$16+1,1))-AVERAGE(OFFSET($H$3,0,0,'Données projet'!$E$16+1,1))</f>
        <v>283.95543623515323</v>
      </c>
      <c r="FK17" s="62">
        <f t="shared" si="48"/>
        <v>196.96883829830929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>
        <f>VLOOKUP(A17,'Données projet'!$A$243:$I$263,2,0)</f>
        <v>85.756500000000003</v>
      </c>
      <c r="FX17" s="13">
        <f>VLOOKUP(A17,'Données projet'!$A$243:$I$263,9,0)</f>
        <v>19.660499999999999</v>
      </c>
      <c r="FY17" s="13">
        <f t="array" ref="FY17">INDEX(FX:FX,MIN(IF(ISNUMBER(FX17:FX213),ROW(FX17:FX213),"")))</f>
        <v>19.660499999999999</v>
      </c>
      <c r="FZ17" s="13">
        <f>IF('Données projet'!$A$244&gt;35,FZ16+FY17-GH16,IF(A17&lt;'Données projet'!$A$244,$FW$205^A17,IF(A17='Données projet'!$A$244,'Données projet'!$B$244,FZ16+FY17-GH16)))</f>
        <v>85.756500000000003</v>
      </c>
      <c r="GA17" s="18">
        <f>FZ17*VLOOKUP('Données projet'!$B$17,Paramètres!$A$1:$I$89,3,0)*VLOOKUP('Données projet'!$B$17,Paramètres!$A$1:$I$89,5,0)</f>
        <v>51.282387000000007</v>
      </c>
      <c r="GB17" s="14">
        <f t="shared" si="49"/>
        <v>14.944451998773655</v>
      </c>
      <c r="GC17" s="22">
        <f t="shared" si="25"/>
        <v>115.34507792286411</v>
      </c>
      <c r="GD17" s="62">
        <f t="shared" si="26"/>
        <v>317.3749396951373</v>
      </c>
      <c r="GE17" s="62">
        <f ca="1">AVERAGE(OFFSET($GD$3,0,0,'Données projet'!$E$17+1,1))-AVERAGE(OFFSET($H$3,0,0,'Données projet'!$E$17+1,1))</f>
        <v>223.57443551076992</v>
      </c>
      <c r="GF17" s="62">
        <f t="shared" si="50"/>
        <v>382.12751862619427</v>
      </c>
      <c r="GG17" s="16">
        <f>IF(ISNA(VLOOKUP(A17,'Données projet'!$A$243:$I$263,3,0)),0,VLOOKUP(A17,'Données projet'!$A$243:$I$263,3,0))</f>
        <v>1</v>
      </c>
      <c r="GH17" s="16">
        <f>IF(ISNA(VLOOKUP(A17,'Données projet'!$A$243:$I$263,4,0)),0,VLOOKUP(A17,'Données projet'!$A$243:$I$263,4,0))</f>
        <v>22.227499999999999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0.22500000000000001</v>
      </c>
      <c r="GK17" s="17">
        <f>IF(ISNA(VLOOKUP(A17,'Données projet'!$A$243:$I$263,7,0)),0%,VLOOKUP(A17,'Données projet'!$A$243:$I$263,7,0))</f>
        <v>0.5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3.9517487019625084</v>
      </c>
      <c r="GN17" s="23">
        <f>EXP(-LN(2)/2)*GN16+(1-EXP(-LN(2)/2))/(LN(2)/2)*GH17*GK17*VLOOKUP('Données projet'!$B$17,Paramètres!$A$1:$I$89,3,0)*0.475*44/12</f>
        <v>7.5248413245875865</v>
      </c>
      <c r="GO17" s="23">
        <f t="shared" si="27"/>
        <v>11.476590026550095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2.7411833378046713</v>
      </c>
      <c r="GU17" s="13">
        <f>IF('Données projet'!$A$270&gt;35,GU16+GT17-HC16,IF(A17&lt;'Données projet'!$A$270,$GR$205^A17,IF(A17='Données projet'!$A$270,'Données projet'!$B$270,GU16+GT17-HC16)))</f>
        <v>10.668214310358627</v>
      </c>
      <c r="GV17" s="18">
        <f>GU17*VLOOKUP('Données projet'!$B$18,Paramètres!$A$1:$I$89,3,0)*VLOOKUP('Données projet'!$B$18,Paramètres!$A$1:$I$89,5,0)</f>
        <v>11.649690026911621</v>
      </c>
      <c r="GW17" s="14">
        <f t="shared" si="51"/>
        <v>4.0341072685184223</v>
      </c>
      <c r="GX17" s="22">
        <f t="shared" si="28"/>
        <v>27.315946956207327</v>
      </c>
      <c r="GY17" s="62">
        <f t="shared" si="29"/>
        <v>229.34580872848051</v>
      </c>
      <c r="GZ17" s="62">
        <f ca="1">AVERAGE(OFFSET($GY$3,0,0,'Données projet'!$E$18+1,1))-AVERAGE(OFFSET($H$3,0,0,'Données projet'!$E$18+1,1))</f>
        <v>754.33260592777049</v>
      </c>
      <c r="HA17" s="62">
        <f t="shared" si="52"/>
        <v>250.97643915279005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9">
        <f t="shared" si="1"/>
        <v>183.33333333333334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550.39292625253665</v>
      </c>
      <c r="T18" s="62">
        <f t="shared" si="34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25.323871439201337</v>
      </c>
      <c r="AK18" s="14">
        <f t="shared" si="35"/>
        <v>8.0114524854610902</v>
      </c>
      <c r="AL18" s="22">
        <f t="shared" si="4"/>
        <v>58.059022502120392</v>
      </c>
      <c r="AM18" s="62">
        <f t="shared" si="5"/>
        <v>262.55577243500142</v>
      </c>
      <c r="AN18" s="62">
        <f ca="1">AVERAGE(OFFSET($AM$3,0,0,'Données projet'!$E$10+1,1))-AVERAGE(OFFSET($H$3,0,0,'Données projet'!$E$10+1,1))</f>
        <v>606.55142836375308</v>
      </c>
      <c r="AO18" s="62">
        <f t="shared" si="36"/>
        <v>325.72635759450861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42.307692307692307</v>
      </c>
      <c r="BB18" s="13">
        <f>VLOOKUP(A18,'Données projet'!$A$87:$I$107,9,0)</f>
        <v>2.8205128205128203</v>
      </c>
      <c r="BC18" s="13">
        <f t="array" ref="BC18">INDEX(BB:BB,MIN(IF(ISNUMBER(BB18:BB214),ROW(BB18:BB214),"")))</f>
        <v>2.8205128205128203</v>
      </c>
      <c r="BD18" s="13">
        <f>IF('Données projet'!$A$88&gt;35,BD17+BC18-BL17,IF(A18&lt;'Données projet'!$A$88,$BA$205^A18,IF(A18='Données projet'!$A$88,'Données projet'!$B$88,BD17+BC18-BL17)))</f>
        <v>42.307692307692307</v>
      </c>
      <c r="BE18" s="14">
        <f>BD18*VLOOKUP('Données projet'!$B$11,Paramètres!$A$1:$I$89,3,0)*VLOOKUP('Données projet'!$B$11,Paramètres!$A$1:$I$89,5,0)</f>
        <v>44.22</v>
      </c>
      <c r="BF18" s="14">
        <f t="shared" si="37"/>
        <v>13.110546100999768</v>
      </c>
      <c r="BG18" s="22">
        <f t="shared" si="7"/>
        <v>99.850701125907918</v>
      </c>
      <c r="BH18" s="62">
        <f t="shared" si="8"/>
        <v>304.34745105878898</v>
      </c>
      <c r="BI18" s="62">
        <f ca="1">AVERAGE(OFFSET($BH$3,0,0,'Données projet'!$E$11+1,1))-AVERAGE(OFFSET($H$3,0,0,'Données projet'!$E$11+1,1))</f>
        <v>635.13577238794812</v>
      </c>
      <c r="BJ18" s="62">
        <f t="shared" si="38"/>
        <v>374.35810525172019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82</v>
      </c>
      <c r="BW18" s="13">
        <f>VLOOKUP(A18,'Données projet'!$A$113:$I$133,9,0)</f>
        <v>5.4666666666666668</v>
      </c>
      <c r="BX18" s="13">
        <f t="array" ref="BX18">INDEX(BW:BW,MIN(IF(ISNUMBER(BW18:BW214),ROW(BW18:BW214),"")))</f>
        <v>5.4666666666666668</v>
      </c>
      <c r="BY18" s="13">
        <f>IF('Données projet'!$A$114&gt;35,BY17+BX18-CG17,IF(A18&lt;'Données projet'!$A$114,$BV$205^A18,IF(A18='Données projet'!$A$114,'Données projet'!$B$114,BY17+BX18-CG17)))</f>
        <v>82</v>
      </c>
      <c r="BZ18" s="14">
        <f>BY18*VLOOKUP('Données projet'!$B$12,Paramètres!$A$1:$I$89,3,0)*VLOOKUP('Données projet'!$B$12,Paramètres!$A$1:$I$89,5,0)</f>
        <v>36.244000000000007</v>
      </c>
      <c r="CA18" s="14">
        <f t="shared" si="39"/>
        <v>10.99747800433129</v>
      </c>
      <c r="CB18" s="22">
        <f t="shared" si="10"/>
        <v>82.278907524210339</v>
      </c>
      <c r="CC18" s="62">
        <f t="shared" si="11"/>
        <v>286.77565745709137</v>
      </c>
      <c r="CD18" s="62">
        <f ca="1">AVERAGE(OFFSET($CC$3,0,0,'Données projet'!$E$12+1,1))-AVERAGE(OFFSET($H$3,0,0,'Données projet'!$E$12+1,1))</f>
        <v>580.02817743695846</v>
      </c>
      <c r="CE18" s="62">
        <f t="shared" si="40"/>
        <v>551.23515633208865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4.9084615384615384</v>
      </c>
      <c r="CT18" s="13">
        <f>IF('Données projet'!$A$140&gt;35,CT17+CS18-DB17,IF(A18&lt;'Données projet'!$A$140,$CQ$205^A18,IF(A18='Données projet'!$A$140,'Données projet'!$B$140,CT17+CS18-DB17)))</f>
        <v>12.134819576485119</v>
      </c>
      <c r="CU18" s="18">
        <f>CT18*VLOOKUP('Données projet'!$B$13,Paramètres!$A$1:$I$89,3,0)*VLOOKUP('Données projet'!$B$13,Paramètres!$A$1:$I$89,5,0)</f>
        <v>5.6790955617950356</v>
      </c>
      <c r="CV18" s="14">
        <f t="shared" si="41"/>
        <v>2.1381252647550886</v>
      </c>
      <c r="CW18" s="22">
        <f t="shared" si="13"/>
        <v>13.614992939574798</v>
      </c>
      <c r="CX18" s="62">
        <f t="shared" si="14"/>
        <v>218.11174287245584</v>
      </c>
      <c r="CY18" s="62">
        <f ca="1">AVERAGE(OFFSET($CX$3,0,0,'Données projet'!$E$13+1,1))-AVERAGE(OFFSET($H$3,0,0,'Données projet'!$E$13+1,1))</f>
        <v>321.05795935196863</v>
      </c>
      <c r="CZ18" s="62">
        <f t="shared" si="42"/>
        <v>209.59551322748908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IF('Données projet'!$A$166&gt;35,DO17+DN18-DW17,IF(A18&lt;'Données projet'!$A$166,$DL$205^A18,IF(A18='Données projet'!$A$166,'Données projet'!$B$166,DO17+DN18-DW17)))</f>
        <v>24.974232188561476</v>
      </c>
      <c r="DP18" s="18">
        <f>DO18*VLOOKUP('Données projet'!$B$14,Paramètres!$A$1:$I$89,3,0)*VLOOKUP('Données projet'!$B$14,Paramètres!$A$1:$I$89,5,0)</f>
        <v>26.882263527767574</v>
      </c>
      <c r="DQ18" s="14">
        <f t="shared" si="43"/>
        <v>8.4455526941763424</v>
      </c>
      <c r="DR18" s="22">
        <f t="shared" si="16"/>
        <v>61.52927991988566</v>
      </c>
      <c r="DS18" s="62">
        <f t="shared" si="17"/>
        <v>266.02602985276673</v>
      </c>
      <c r="DT18" s="62">
        <f ca="1">AVERAGE(OFFSET($DS$3,0,0,'Données projet'!$E$14+1,1))-AVERAGE(OFFSET($H$3,0,0,'Données projet'!$E$14+1,1))</f>
        <v>638.58602907610805</v>
      </c>
      <c r="DU18" s="62">
        <f t="shared" si="44"/>
        <v>341.9250949809848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79.950999999999993</v>
      </c>
      <c r="EH18" s="13">
        <f>VLOOKUP(A18,'Données projet'!$A$191:$I$211,9,0)</f>
        <v>16.42199999999999</v>
      </c>
      <c r="EI18" s="13">
        <f t="array" ref="EI18">INDEX(EH:EH,MIN(IF(ISNUMBER(EH18:EH214),ROW(EH18:EH214),"")))</f>
        <v>16.42199999999999</v>
      </c>
      <c r="EJ18" s="13">
        <f>IF('Données projet'!$A$192&gt;35,EJ17+EI18-ER17,IF(A18&lt;'Données projet'!$A$192,$EG$205^A18,IF(A18='Données projet'!$A$192,'Données projet'!$B$192,EJ17+EI18-ER17)))</f>
        <v>79.950999999999993</v>
      </c>
      <c r="EK18" s="18">
        <f>EJ18*VLOOKUP('Données projet'!$B$15,Paramètres!$A$1:$I$89,3,0)*VLOOKUP('Données projet'!$B$15,Paramètres!$A$1:$I$89,5,0)</f>
        <v>47.810698000000002</v>
      </c>
      <c r="EL18" s="14">
        <f t="shared" si="45"/>
        <v>14.046898010995823</v>
      </c>
      <c r="EM18" s="22">
        <f t="shared" si="19"/>
        <v>107.7353130524844</v>
      </c>
      <c r="EN18" s="62">
        <f t="shared" si="20"/>
        <v>312.23206298536547</v>
      </c>
      <c r="EO18" s="62">
        <f ca="1">AVERAGE(OFFSET($EN$3,0,0,'Données projet'!$E$15+1,1))-AVERAGE(OFFSET($H$3,0,0,'Données projet'!$E$15+1,1))</f>
        <v>223.57443551076992</v>
      </c>
      <c r="EP18" s="62">
        <f t="shared" si="46"/>
        <v>382.12751862619427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3.8436879258939114</v>
      </c>
      <c r="EX18" s="23">
        <f>EXP(-LN(2)/2)*EX17+(1-EXP(-LN(2)/2))/(LN(2)/2)*ER18*EU18*VLOOKUP('Données projet'!$B$15,Paramètres!$A$1:$I$89,3,0)*0.475*44/12</f>
        <v>5.3208663279686457</v>
      </c>
      <c r="EY18" s="24">
        <f t="shared" si="21"/>
        <v>9.1645542538625566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1.9558333333333331</v>
      </c>
      <c r="FE18" s="13">
        <f>IF('Données projet'!$A$218&gt;35,FE17+FD18-FM17,IF(A18&lt;'Données projet'!$A$218,$FB$205^A18,IF(A18='Données projet'!$A$218,'Données projet'!$B$218,FE17+FD18-FM17)))</f>
        <v>25.120833333333337</v>
      </c>
      <c r="FF18" s="18">
        <f>FE18*VLOOKUP('Données projet'!$B$16,Paramètres!$A$1:$I$89,3,0)*VLOOKUP('Données projet'!$B$16,Paramètres!$A$1:$I$89,5,0)</f>
        <v>28.939200000000003</v>
      </c>
      <c r="FG18" s="14">
        <f t="shared" si="47"/>
        <v>9.0140830494369073</v>
      </c>
      <c r="FH18" s="22">
        <f t="shared" si="22"/>
        <v>66.101967977769291</v>
      </c>
      <c r="FI18" s="62">
        <f t="shared" si="23"/>
        <v>270.59871791065035</v>
      </c>
      <c r="FJ18" s="62">
        <f ca="1">AVERAGE(OFFSET($FI$3,0,0,'Données projet'!$E$16+1,1))-AVERAGE(OFFSET($H$3,0,0,'Données projet'!$E$16+1,1))</f>
        <v>283.95543623515323</v>
      </c>
      <c r="FK18" s="62">
        <f t="shared" si="48"/>
        <v>196.96883829830929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79.950999999999993</v>
      </c>
      <c r="FX18" s="13">
        <f>VLOOKUP(A18,'Données projet'!$A$243:$I$263,9,0)</f>
        <v>16.42199999999999</v>
      </c>
      <c r="FY18" s="13">
        <f t="array" ref="FY18">INDEX(FX:FX,MIN(IF(ISNUMBER(FX18:FX214),ROW(FX18:FX214),"")))</f>
        <v>16.42199999999999</v>
      </c>
      <c r="FZ18" s="13">
        <f>IF('Données projet'!$A$244&gt;35,FZ17+FY18-GH17,IF(A18&lt;'Données projet'!$A$244,$FW$205^A18,IF(A18='Données projet'!$A$244,'Données projet'!$B$244,FZ17+FY18-GH17)))</f>
        <v>79.950999999999993</v>
      </c>
      <c r="GA18" s="18">
        <f>FZ18*VLOOKUP('Données projet'!$B$17,Paramètres!$A$1:$I$89,3,0)*VLOOKUP('Données projet'!$B$17,Paramètres!$A$1:$I$89,5,0)</f>
        <v>47.810698000000002</v>
      </c>
      <c r="GB18" s="14">
        <f t="shared" si="49"/>
        <v>14.046898010995823</v>
      </c>
      <c r="GC18" s="22">
        <f t="shared" si="25"/>
        <v>107.7353130524844</v>
      </c>
      <c r="GD18" s="62">
        <f t="shared" si="26"/>
        <v>312.23206298536547</v>
      </c>
      <c r="GE18" s="62">
        <f ca="1">AVERAGE(OFFSET($GD$3,0,0,'Données projet'!$E$17+1,1))-AVERAGE(OFFSET($H$3,0,0,'Données projet'!$E$17+1,1))</f>
        <v>223.57443551076992</v>
      </c>
      <c r="GF18" s="62">
        <f t="shared" si="50"/>
        <v>382.12751862619427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3.8436879258939114</v>
      </c>
      <c r="GN18" s="23">
        <f>EXP(-LN(2)/2)*GN17+(1-EXP(-LN(2)/2))/(LN(2)/2)*GH18*GK18*VLOOKUP('Données projet'!$B$17,Paramètres!$A$1:$I$89,3,0)*0.475*44/12</f>
        <v>5.3208663279686457</v>
      </c>
      <c r="GO18" s="23">
        <f t="shared" si="27"/>
        <v>9.1645542538625566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2.7411833378046713</v>
      </c>
      <c r="GU18" s="13">
        <f>IF('Données projet'!$A$270&gt;35,GU17+GT18-HC17,IF(A18&lt;'Données projet'!$A$270,$GR$205^A18,IF(A18='Données projet'!$A$270,'Données projet'!$B$270,GU17+GT18-HC17)))</f>
        <v>12.633592229226393</v>
      </c>
      <c r="GV18" s="18">
        <f>GU18*VLOOKUP('Données projet'!$B$18,Paramètres!$A$1:$I$89,3,0)*VLOOKUP('Données projet'!$B$18,Paramètres!$A$1:$I$89,5,0)</f>
        <v>13.795882714315221</v>
      </c>
      <c r="GW18" s="14">
        <f t="shared" si="51"/>
        <v>4.6841923165273558</v>
      </c>
      <c r="GX18" s="22">
        <f t="shared" si="28"/>
        <v>32.186130678717483</v>
      </c>
      <c r="GY18" s="62">
        <f t="shared" si="29"/>
        <v>236.68288061159853</v>
      </c>
      <c r="GZ18" s="62">
        <f ca="1">AVERAGE(OFFSET($GY$3,0,0,'Données projet'!$E$18+1,1))-AVERAGE(OFFSET($H$3,0,0,'Données projet'!$E$18+1,1))</f>
        <v>754.33260592777049</v>
      </c>
      <c r="HA18" s="62">
        <f t="shared" si="52"/>
        <v>250.97643915279005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9">
        <f t="shared" si="1"/>
        <v>183.33333333333334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550.39292625253665</v>
      </c>
      <c r="T19" s="62">
        <f t="shared" si="34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31.383129080363769</v>
      </c>
      <c r="AK19" s="14">
        <f t="shared" si="35"/>
        <v>9.6835113353243223</v>
      </c>
      <c r="AL19" s="22">
        <f t="shared" si="4"/>
        <v>71.524398723990075</v>
      </c>
      <c r="AM19" s="62">
        <f t="shared" si="5"/>
        <v>278.46644464610415</v>
      </c>
      <c r="AN19" s="62">
        <f ca="1">AVERAGE(OFFSET($AM$3,0,0,'Données projet'!$E$10+1,1))-AVERAGE(OFFSET($H$3,0,0,'Données projet'!$E$10+1,1))</f>
        <v>606.55142836375308</v>
      </c>
      <c r="AO19" s="62">
        <f t="shared" si="36"/>
        <v>325.72635759450861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7.4358974358974361</v>
      </c>
      <c r="BD19" s="13">
        <f>IF('Données projet'!$A$88&gt;35,BD18+BC19-BL18,IF(A19&lt;'Données projet'!$A$88,$BA$205^A19,IF(A19='Données projet'!$A$88,'Données projet'!$B$88,BD18+BC19-BL18)))</f>
        <v>49.743589743589745</v>
      </c>
      <c r="BE19" s="14">
        <f>BD19*VLOOKUP('Données projet'!$B$11,Paramètres!$A$1:$I$89,3,0)*VLOOKUP('Données projet'!$B$11,Paramètres!$A$1:$I$89,5,0)</f>
        <v>51.992000000000012</v>
      </c>
      <c r="BF19" s="14">
        <f t="shared" si="37"/>
        <v>15.127026838938239</v>
      </c>
      <c r="BG19" s="22">
        <f t="shared" si="7"/>
        <v>116.89897174448413</v>
      </c>
      <c r="BH19" s="62">
        <f t="shared" si="8"/>
        <v>323.84101766659819</v>
      </c>
      <c r="BI19" s="62">
        <f ca="1">AVERAGE(OFFSET($BH$3,0,0,'Données projet'!$E$11+1,1))-AVERAGE(OFFSET($H$3,0,0,'Données projet'!$E$11+1,1))</f>
        <v>635.13577238794812</v>
      </c>
      <c r="BJ19" s="62">
        <f t="shared" si="38"/>
        <v>374.35810525172019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27.6</v>
      </c>
      <c r="BY19" s="13">
        <f>IF('Données projet'!$A$114&gt;35,BY18+BX19-CG18,IF(A19&lt;'Données projet'!$A$114,$BV$205^A19,IF(A19='Données projet'!$A$114,'Données projet'!$B$114,BY18+BX19-CG18)))</f>
        <v>109.6</v>
      </c>
      <c r="BZ19" s="14">
        <f>BY19*VLOOKUP('Données projet'!$B$12,Paramètres!$A$1:$I$89,3,0)*VLOOKUP('Données projet'!$B$12,Paramètres!$A$1:$I$89,5,0)</f>
        <v>48.443200000000004</v>
      </c>
      <c r="CA19" s="14">
        <f t="shared" si="39"/>
        <v>14.210972129499524</v>
      </c>
      <c r="CB19" s="22">
        <f t="shared" si="10"/>
        <v>109.12268312554501</v>
      </c>
      <c r="CC19" s="62">
        <f t="shared" si="11"/>
        <v>316.06472904765906</v>
      </c>
      <c r="CD19" s="62">
        <f ca="1">AVERAGE(OFFSET($CC$3,0,0,'Données projet'!$E$12+1,1))-AVERAGE(OFFSET($H$3,0,0,'Données projet'!$E$12+1,1))</f>
        <v>580.02817743695846</v>
      </c>
      <c r="CE19" s="62">
        <f t="shared" si="40"/>
        <v>551.23515633208865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4.9084615384615384</v>
      </c>
      <c r="CT19" s="13">
        <f>IF('Données projet'!$A$140&gt;35,CT18+CS19-DB18,IF(A19&lt;'Données projet'!$A$140,$CQ$205^A19,IF(A19='Données projet'!$A$140,'Données projet'!$B$140,CT18+CS19-DB18)))</f>
        <v>14.331848602335111</v>
      </c>
      <c r="CU19" s="18">
        <f>CT19*VLOOKUP('Données projet'!$B$13,Paramètres!$A$1:$I$89,3,0)*VLOOKUP('Données projet'!$B$13,Paramètres!$A$1:$I$89,5,0)</f>
        <v>6.7073051458928319</v>
      </c>
      <c r="CV19" s="14">
        <f t="shared" si="41"/>
        <v>2.4767942738506736</v>
      </c>
      <c r="CW19" s="22">
        <f t="shared" si="13"/>
        <v>15.995639822719939</v>
      </c>
      <c r="CX19" s="62">
        <f t="shared" si="14"/>
        <v>222.937685744834</v>
      </c>
      <c r="CY19" s="62">
        <f ca="1">AVERAGE(OFFSET($CX$3,0,0,'Données projet'!$E$13+1,1))-AVERAGE(OFFSET($H$3,0,0,'Données projet'!$E$13+1,1))</f>
        <v>321.05795935196863</v>
      </c>
      <c r="CZ19" s="62">
        <f t="shared" si="42"/>
        <v>209.59551322748908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IF('Données projet'!$A$166&gt;35,DO18+DN19-DW18,IF(A19&lt;'Données projet'!$A$166,$DL$205^A19,IF(A19='Données projet'!$A$166,'Données projet'!$B$166,DO18+DN19-DW18)))</f>
        <v>30.949831440200953</v>
      </c>
      <c r="DP19" s="18">
        <f>DO19*VLOOKUP('Données projet'!$B$14,Paramètres!$A$1:$I$89,3,0)*VLOOKUP('Données projet'!$B$14,Paramètres!$A$1:$I$89,5,0)</f>
        <v>33.314398562232306</v>
      </c>
      <c r="DQ19" s="14">
        <f t="shared" si="43"/>
        <v>10.208211980979948</v>
      </c>
      <c r="DR19" s="22">
        <f t="shared" si="16"/>
        <v>75.801880029428006</v>
      </c>
      <c r="DS19" s="62">
        <f t="shared" si="17"/>
        <v>282.74392595154205</v>
      </c>
      <c r="DT19" s="62">
        <f ca="1">AVERAGE(OFFSET($DS$3,0,0,'Données projet'!$E$14+1,1))-AVERAGE(OFFSET($H$3,0,0,'Données projet'!$E$14+1,1))</f>
        <v>638.58602907610805</v>
      </c>
      <c r="DU19" s="62">
        <f t="shared" si="44"/>
        <v>341.9250949809848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>
        <f>VLOOKUP(A19,'Données projet'!$A$191:$I$211,2,0)</f>
        <v>90.686499999999995</v>
      </c>
      <c r="EH19" s="13">
        <f>VLOOKUP(A19,'Données projet'!$A$191:$I$211,9,0)</f>
        <v>10.735500000000002</v>
      </c>
      <c r="EI19" s="13">
        <f t="array" ref="EI19">INDEX(EH:EH,MIN(IF(ISNUMBER(EH19:EH215),ROW(EH19:EH215),"")))</f>
        <v>10.735500000000002</v>
      </c>
      <c r="EJ19" s="13">
        <f>IF('Données projet'!$A$192&gt;35,EJ18+EI19-ER18,IF(A19&lt;'Données projet'!$A$192,$EG$205^A19,IF(A19='Données projet'!$A$192,'Données projet'!$B$192,EJ18+EI19-ER18)))</f>
        <v>90.686499999999995</v>
      </c>
      <c r="EK19" s="18">
        <f>EJ19*VLOOKUP('Données projet'!$B$15,Paramètres!$A$1:$I$89,3,0)*VLOOKUP('Données projet'!$B$15,Paramètres!$A$1:$I$89,5,0)</f>
        <v>54.230527000000002</v>
      </c>
      <c r="EL19" s="14">
        <f t="shared" si="45"/>
        <v>15.701093813174976</v>
      </c>
      <c r="EM19" s="22">
        <f t="shared" si="19"/>
        <v>121.79757291627975</v>
      </c>
      <c r="EN19" s="62">
        <f t="shared" si="20"/>
        <v>328.73961883839382</v>
      </c>
      <c r="EO19" s="62">
        <f ca="1">AVERAGE(OFFSET($EN$3,0,0,'Données projet'!$E$15+1,1))-AVERAGE(OFFSET($H$3,0,0,'Données projet'!$E$15+1,1))</f>
        <v>223.57443551076992</v>
      </c>
      <c r="EP19" s="62">
        <f t="shared" si="46"/>
        <v>382.12751862619427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3.7385820774295793</v>
      </c>
      <c r="EX19" s="23">
        <f>EXP(-LN(2)/2)*EX18+(1-EXP(-LN(2)/2))/(LN(2)/2)*ER19*EU19*VLOOKUP('Données projet'!$B$15,Paramètres!$A$1:$I$89,3,0)*0.475*44/12</f>
        <v>3.7624206622937941</v>
      </c>
      <c r="EY19" s="24">
        <f t="shared" si="21"/>
        <v>7.5010027397233738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1.9558333333333331</v>
      </c>
      <c r="FE19" s="13">
        <f>IF('Données projet'!$A$218&gt;35,FE18+FD19-FM18,IF(A19&lt;'Données projet'!$A$218,$FB$205^A19,IF(A19='Données projet'!$A$218,'Données projet'!$B$218,FE18+FD19-FM18)))</f>
        <v>27.076666666666672</v>
      </c>
      <c r="FF19" s="18">
        <f>FE19*VLOOKUP('Données projet'!$B$16,Paramètres!$A$1:$I$89,3,0)*VLOOKUP('Données projet'!$B$16,Paramètres!$A$1:$I$89,5,0)</f>
        <v>31.192320000000002</v>
      </c>
      <c r="FG19" s="14">
        <f t="shared" si="47"/>
        <v>9.6314703672580624</v>
      </c>
      <c r="FH19" s="22">
        <f t="shared" si="22"/>
        <v>71.101434889641112</v>
      </c>
      <c r="FI19" s="62">
        <f t="shared" si="23"/>
        <v>278.04348081175516</v>
      </c>
      <c r="FJ19" s="62">
        <f ca="1">AVERAGE(OFFSET($FI$3,0,0,'Données projet'!$E$16+1,1))-AVERAGE(OFFSET($H$3,0,0,'Données projet'!$E$16+1,1))</f>
        <v>283.95543623515323</v>
      </c>
      <c r="FK19" s="62">
        <f t="shared" si="48"/>
        <v>196.96883829830929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>
        <f>VLOOKUP(A19,'Données projet'!$A$243:$I$263,2,0)</f>
        <v>90.686499999999995</v>
      </c>
      <c r="FX19" s="13">
        <f>VLOOKUP(A19,'Données projet'!$A$243:$I$263,9,0)</f>
        <v>10.735500000000002</v>
      </c>
      <c r="FY19" s="13">
        <f t="array" ref="FY19">INDEX(FX:FX,MIN(IF(ISNUMBER(FX19:FX215),ROW(FX19:FX215),"")))</f>
        <v>10.735500000000002</v>
      </c>
      <c r="FZ19" s="13">
        <f>IF('Données projet'!$A$244&gt;35,FZ18+FY19-GH18,IF(A19&lt;'Données projet'!$A$244,$FW$205^A19,IF(A19='Données projet'!$A$244,'Données projet'!$B$244,FZ18+FY19-GH18)))</f>
        <v>90.686499999999995</v>
      </c>
      <c r="GA19" s="18">
        <f>FZ19*VLOOKUP('Données projet'!$B$17,Paramètres!$A$1:$I$89,3,0)*VLOOKUP('Données projet'!$B$17,Paramètres!$A$1:$I$89,5,0)</f>
        <v>54.230527000000002</v>
      </c>
      <c r="GB19" s="14">
        <f t="shared" si="49"/>
        <v>15.701093813174976</v>
      </c>
      <c r="GC19" s="22">
        <f t="shared" si="25"/>
        <v>121.79757291627975</v>
      </c>
      <c r="GD19" s="62">
        <f t="shared" si="26"/>
        <v>328.73961883839382</v>
      </c>
      <c r="GE19" s="62">
        <f ca="1">AVERAGE(OFFSET($GD$3,0,0,'Données projet'!$E$17+1,1))-AVERAGE(OFFSET($H$3,0,0,'Données projet'!$E$17+1,1))</f>
        <v>223.57443551076992</v>
      </c>
      <c r="GF19" s="62">
        <f t="shared" si="50"/>
        <v>382.12751862619427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3.7385820774295793</v>
      </c>
      <c r="GN19" s="23">
        <f>EXP(-LN(2)/2)*GN18+(1-EXP(-LN(2)/2))/(LN(2)/2)*GH19*GK19*VLOOKUP('Données projet'!$B$17,Paramètres!$A$1:$I$89,3,0)*0.475*44/12</f>
        <v>3.7624206622937941</v>
      </c>
      <c r="GO19" s="23">
        <f t="shared" si="27"/>
        <v>7.5010027397233738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2.7411833378046713</v>
      </c>
      <c r="GU19" s="13">
        <f>IF('Données projet'!$A$270&gt;35,GU18+GT19-HC18,IF(A19&lt;'Données projet'!$A$270,$GR$205^A19,IF(A19='Données projet'!$A$270,'Données projet'!$B$270,GU18+GT19-HC18)))</f>
        <v>14.961046710450276</v>
      </c>
      <c r="GV19" s="18">
        <f>GU19*VLOOKUP('Données projet'!$B$18,Paramètres!$A$1:$I$89,3,0)*VLOOKUP('Données projet'!$B$18,Paramètres!$A$1:$I$89,5,0)</f>
        <v>16.337463007811703</v>
      </c>
      <c r="GW19" s="14">
        <f t="shared" si="51"/>
        <v>5.4390367428856861</v>
      </c>
      <c r="GX19" s="22">
        <f t="shared" si="28"/>
        <v>37.927403732464619</v>
      </c>
      <c r="GY19" s="62">
        <f t="shared" si="29"/>
        <v>244.86944965457869</v>
      </c>
      <c r="GZ19" s="62">
        <f ca="1">AVERAGE(OFFSET($GY$3,0,0,'Données projet'!$E$18+1,1))-AVERAGE(OFFSET($H$3,0,0,'Données projet'!$E$18+1,1))</f>
        <v>754.33260592777049</v>
      </c>
      <c r="HA19" s="62">
        <f t="shared" si="52"/>
        <v>250.97643915279005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9">
        <f t="shared" si="1"/>
        <v>183.33333333333334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550.39292625253665</v>
      </c>
      <c r="T20" s="62">
        <f t="shared" si="34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38.892188867700071</v>
      </c>
      <c r="AK20" s="14">
        <f t="shared" si="35"/>
        <v>11.704543208803392</v>
      </c>
      <c r="AL20" s="22">
        <f t="shared" si="4"/>
        <v>88.122641699910204</v>
      </c>
      <c r="AM20" s="62">
        <f t="shared" si="5"/>
        <v>297.48876601578291</v>
      </c>
      <c r="AN20" s="62">
        <f ca="1">AVERAGE(OFFSET($AM$3,0,0,'Données projet'!$E$10+1,1))-AVERAGE(OFFSET($H$3,0,0,'Données projet'!$E$10+1,1))</f>
        <v>606.55142836375308</v>
      </c>
      <c r="AO20" s="62">
        <f t="shared" si="36"/>
        <v>325.72635759450861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7.4358974358974361</v>
      </c>
      <c r="BD20" s="13">
        <f>IF('Données projet'!$A$88&gt;35,BD19+BC20-BL19,IF(A20&lt;'Données projet'!$A$88,$BA$205^A20,IF(A20='Données projet'!$A$88,'Données projet'!$B$88,BD19+BC20-BL19)))</f>
        <v>57.179487179487182</v>
      </c>
      <c r="BE20" s="14">
        <f>BD20*VLOOKUP('Données projet'!$B$11,Paramètres!$A$1:$I$89,3,0)*VLOOKUP('Données projet'!$B$11,Paramètres!$A$1:$I$89,5,0)</f>
        <v>59.76400000000001</v>
      </c>
      <c r="BF20" s="14">
        <f t="shared" si="37"/>
        <v>17.108587128719051</v>
      </c>
      <c r="BG20" s="22">
        <f t="shared" si="7"/>
        <v>133.88642258251903</v>
      </c>
      <c r="BH20" s="62">
        <f t="shared" si="8"/>
        <v>343.25254689839176</v>
      </c>
      <c r="BI20" s="62">
        <f ca="1">AVERAGE(OFFSET($BH$3,0,0,'Données projet'!$E$11+1,1))-AVERAGE(OFFSET($H$3,0,0,'Données projet'!$E$11+1,1))</f>
        <v>635.13577238794812</v>
      </c>
      <c r="BJ20" s="62">
        <f t="shared" si="38"/>
        <v>374.35810525172019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27.6</v>
      </c>
      <c r="BY20" s="13">
        <f>IF('Données projet'!$A$114&gt;35,BY19+BX20-CG19,IF(A20&lt;'Données projet'!$A$114,$BV$205^A20,IF(A20='Données projet'!$A$114,'Données projet'!$B$114,BY19+BX20-CG19)))</f>
        <v>137.19999999999999</v>
      </c>
      <c r="BZ20" s="14">
        <f>BY20*VLOOKUP('Données projet'!$B$12,Paramètres!$A$1:$I$89,3,0)*VLOOKUP('Données projet'!$B$12,Paramètres!$A$1:$I$89,5,0)</f>
        <v>60.642399999999995</v>
      </c>
      <c r="CA20" s="14">
        <f t="shared" si="39"/>
        <v>17.330587081016013</v>
      </c>
      <c r="CB20" s="22">
        <f t="shared" si="10"/>
        <v>135.8029524994362</v>
      </c>
      <c r="CC20" s="62">
        <f t="shared" si="11"/>
        <v>345.16907681530893</v>
      </c>
      <c r="CD20" s="62">
        <f ca="1">AVERAGE(OFFSET($CC$3,0,0,'Données projet'!$E$12+1,1))-AVERAGE(OFFSET($H$3,0,0,'Données projet'!$E$12+1,1))</f>
        <v>580.02817743695846</v>
      </c>
      <c r="CE20" s="62">
        <f t="shared" si="40"/>
        <v>551.23515633208865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4.9084615384615384</v>
      </c>
      <c r="CT20" s="13">
        <f>IF('Données projet'!$A$140&gt;35,CT19+CS20-DB19,IF(A20&lt;'Données projet'!$A$140,$CQ$205^A20,IF(A20='Données projet'!$A$140,'Données projet'!$B$140,CT19+CS20-DB19)))</f>
        <v>16.926653343761537</v>
      </c>
      <c r="CU20" s="18">
        <f>CT20*VLOOKUP('Données projet'!$B$13,Paramètres!$A$1:$I$89,3,0)*VLOOKUP('Données projet'!$B$13,Paramètres!$A$1:$I$89,5,0)</f>
        <v>7.9216737648803992</v>
      </c>
      <c r="CV20" s="14">
        <f t="shared" si="41"/>
        <v>2.8691068648319642</v>
      </c>
      <c r="CW20" s="22">
        <f t="shared" si="13"/>
        <v>18.793942930082366</v>
      </c>
      <c r="CX20" s="62">
        <f t="shared" si="14"/>
        <v>228.16006724595508</v>
      </c>
      <c r="CY20" s="62">
        <f ca="1">AVERAGE(OFFSET($CX$3,0,0,'Données projet'!$E$13+1,1))-AVERAGE(OFFSET($H$3,0,0,'Données projet'!$E$13+1,1))</f>
        <v>321.05795935196863</v>
      </c>
      <c r="CZ20" s="62">
        <f t="shared" si="42"/>
        <v>209.59551322748908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IF('Données projet'!$A$166&gt;35,DO19+DN20-DW19,IF(A20&lt;'Données projet'!$A$166,$DL$205^A20,IF(A20='Données projet'!$A$166,'Données projet'!$B$166,DO19+DN20-DW19)))</f>
        <v>38.355215845858055</v>
      </c>
      <c r="DP20" s="18">
        <f>DO20*VLOOKUP('Données projet'!$B$14,Paramètres!$A$1:$I$89,3,0)*VLOOKUP('Données projet'!$B$14,Paramètres!$A$1:$I$89,5,0)</f>
        <v>41.28555433648161</v>
      </c>
      <c r="DQ20" s="14">
        <f t="shared" si="43"/>
        <v>12.338753379690502</v>
      </c>
      <c r="DR20" s="22">
        <f t="shared" si="16"/>
        <v>93.39566927233308</v>
      </c>
      <c r="DS20" s="62">
        <f t="shared" si="17"/>
        <v>302.76179358820582</v>
      </c>
      <c r="DT20" s="62">
        <f ca="1">AVERAGE(OFFSET($DS$3,0,0,'Données projet'!$E$14+1,1))-AVERAGE(OFFSET($H$3,0,0,'Données projet'!$E$14+1,1))</f>
        <v>638.58602907610805</v>
      </c>
      <c r="DU20" s="62">
        <f t="shared" si="44"/>
        <v>341.9250949809848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>
        <f>VLOOKUP(A20,'Données projet'!$A$191:$I$211,2,0)</f>
        <v>103.054</v>
      </c>
      <c r="EH20" s="13">
        <f>VLOOKUP(A20,'Données projet'!$A$191:$I$211,9,0)</f>
        <v>12.367500000000007</v>
      </c>
      <c r="EI20" s="13">
        <f t="array" ref="EI20">INDEX(EH:EH,MIN(IF(ISNUMBER(EH20:EH216),ROW(EH20:EH216),"")))</f>
        <v>12.367500000000007</v>
      </c>
      <c r="EJ20" s="13">
        <f>IF('Données projet'!$A$192&gt;35,EJ19+EI20-ER19,IF(A20&lt;'Données projet'!$A$192,$EG$205^A20,IF(A20='Données projet'!$A$192,'Données projet'!$B$192,EJ19+EI20-ER19)))</f>
        <v>103.054</v>
      </c>
      <c r="EK20" s="18">
        <f>EJ20*VLOOKUP('Données projet'!$B$15,Paramètres!$A$1:$I$89,3,0)*VLOOKUP('Données projet'!$B$15,Paramètres!$A$1:$I$89,5,0)</f>
        <v>61.626291999999999</v>
      </c>
      <c r="EL20" s="14">
        <f t="shared" si="45"/>
        <v>17.578804471187219</v>
      </c>
      <c r="EM20" s="22">
        <f t="shared" si="19"/>
        <v>137.94887635398439</v>
      </c>
      <c r="EN20" s="62">
        <f t="shared" si="20"/>
        <v>347.31500066985711</v>
      </c>
      <c r="EO20" s="62">
        <f ca="1">AVERAGE(OFFSET($EN$3,0,0,'Données projet'!$E$15+1,1))-AVERAGE(OFFSET($H$3,0,0,'Données projet'!$E$15+1,1))</f>
        <v>223.57443551076992</v>
      </c>
      <c r="EP20" s="62">
        <f t="shared" si="46"/>
        <v>382.12751862619427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3.6363503539187807</v>
      </c>
      <c r="EX20" s="23">
        <f>EXP(-LN(2)/2)*EX19+(1-EXP(-LN(2)/2))/(LN(2)/2)*ER20*EU20*VLOOKUP('Données projet'!$B$15,Paramètres!$A$1:$I$89,3,0)*0.475*44/12</f>
        <v>2.6604331639843233</v>
      </c>
      <c r="EY20" s="24">
        <f t="shared" si="21"/>
        <v>6.296783517903104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1.9558333333333331</v>
      </c>
      <c r="FE20" s="13">
        <f>IF('Données projet'!$A$218&gt;35,FE19+FD20-FM19,IF(A20&lt;'Données projet'!$A$218,$FB$205^A20,IF(A20='Données projet'!$A$218,'Données projet'!$B$218,FE19+FD20-FM19)))</f>
        <v>29.032500000000006</v>
      </c>
      <c r="FF20" s="18">
        <f>FE20*VLOOKUP('Données projet'!$B$16,Paramètres!$A$1:$I$89,3,0)*VLOOKUP('Données projet'!$B$16,Paramètres!$A$1:$I$89,5,0)</f>
        <v>33.445440000000005</v>
      </c>
      <c r="FG20" s="14">
        <f t="shared" si="47"/>
        <v>10.243683743720984</v>
      </c>
      <c r="FH20" s="22">
        <f t="shared" si="22"/>
        <v>76.091890520314053</v>
      </c>
      <c r="FI20" s="62">
        <f t="shared" si="23"/>
        <v>285.45801483618675</v>
      </c>
      <c r="FJ20" s="62">
        <f ca="1">AVERAGE(OFFSET($FI$3,0,0,'Données projet'!$E$16+1,1))-AVERAGE(OFFSET($H$3,0,0,'Données projet'!$E$16+1,1))</f>
        <v>283.95543623515323</v>
      </c>
      <c r="FK20" s="62">
        <f t="shared" si="48"/>
        <v>196.96883829830929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>
        <f>VLOOKUP(A20,'Données projet'!$A$243:$I$263,2,0)</f>
        <v>103.054</v>
      </c>
      <c r="FX20" s="13">
        <f>VLOOKUP(A20,'Données projet'!$A$243:$I$263,9,0)</f>
        <v>12.367500000000007</v>
      </c>
      <c r="FY20" s="13">
        <f t="array" ref="FY20">INDEX(FX:FX,MIN(IF(ISNUMBER(FX20:FX216),ROW(FX20:FX216),"")))</f>
        <v>12.367500000000007</v>
      </c>
      <c r="FZ20" s="13">
        <f>IF('Données projet'!$A$244&gt;35,FZ19+FY20-GH19,IF(A20&lt;'Données projet'!$A$244,$FW$205^A20,IF(A20='Données projet'!$A$244,'Données projet'!$B$244,FZ19+FY20-GH19)))</f>
        <v>103.054</v>
      </c>
      <c r="GA20" s="18">
        <f>FZ20*VLOOKUP('Données projet'!$B$17,Paramètres!$A$1:$I$89,3,0)*VLOOKUP('Données projet'!$B$17,Paramètres!$A$1:$I$89,5,0)</f>
        <v>61.626291999999999</v>
      </c>
      <c r="GB20" s="14">
        <f t="shared" si="49"/>
        <v>17.578804471187219</v>
      </c>
      <c r="GC20" s="22">
        <f t="shared" si="25"/>
        <v>137.94887635398439</v>
      </c>
      <c r="GD20" s="62">
        <f t="shared" si="26"/>
        <v>347.31500066985711</v>
      </c>
      <c r="GE20" s="62">
        <f ca="1">AVERAGE(OFFSET($GD$3,0,0,'Données projet'!$E$17+1,1))-AVERAGE(OFFSET($H$3,0,0,'Données projet'!$E$17+1,1))</f>
        <v>223.57443551076992</v>
      </c>
      <c r="GF20" s="62">
        <f t="shared" si="50"/>
        <v>382.12751862619427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3.6363503539187807</v>
      </c>
      <c r="GN20" s="23">
        <f>EXP(-LN(2)/2)*GN19+(1-EXP(-LN(2)/2))/(LN(2)/2)*GH20*GK20*VLOOKUP('Données projet'!$B$17,Paramètres!$A$1:$I$89,3,0)*0.475*44/12</f>
        <v>2.6604331639843233</v>
      </c>
      <c r="GO20" s="23">
        <f t="shared" si="27"/>
        <v>6.296783517903104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2.7411833378046713</v>
      </c>
      <c r="GU20" s="13">
        <f>IF('Données projet'!$A$270&gt;35,GU19+GT20-HC19,IF(A20&lt;'Données projet'!$A$270,$GR$205^A20,IF(A20='Données projet'!$A$270,'Données projet'!$B$270,GU19+GT20-HC19)))</f>
        <v>17.717282195832059</v>
      </c>
      <c r="GV20" s="18">
        <f>GU20*VLOOKUP('Données projet'!$B$18,Paramètres!$A$1:$I$89,3,0)*VLOOKUP('Données projet'!$B$18,Paramètres!$A$1:$I$89,5,0)</f>
        <v>19.347272157848607</v>
      </c>
      <c r="GW20" s="14">
        <f t="shared" si="51"/>
        <v>6.3155222269763858</v>
      </c>
      <c r="GX20" s="22">
        <f t="shared" si="28"/>
        <v>44.696033553570196</v>
      </c>
      <c r="GY20" s="62">
        <f t="shared" si="29"/>
        <v>254.06215786944293</v>
      </c>
      <c r="GZ20" s="62">
        <f ca="1">AVERAGE(OFFSET($GY$3,0,0,'Données projet'!$E$18+1,1))-AVERAGE(OFFSET($H$3,0,0,'Données projet'!$E$18+1,1))</f>
        <v>754.33260592777049</v>
      </c>
      <c r="HA20" s="62">
        <f t="shared" si="52"/>
        <v>250.97643915279005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9">
        <f t="shared" si="1"/>
        <v>183.33333333333334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550.39292625253665</v>
      </c>
      <c r="T21" s="62">
        <f t="shared" si="34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48.197945815010499</v>
      </c>
      <c r="AK21" s="14">
        <f t="shared" si="35"/>
        <v>14.147381769152156</v>
      </c>
      <c r="AL21" s="22">
        <f t="shared" si="4"/>
        <v>108.58477887574996</v>
      </c>
      <c r="AM21" s="62">
        <f t="shared" si="5"/>
        <v>320.35413206775308</v>
      </c>
      <c r="AN21" s="62">
        <f ca="1">AVERAGE(OFFSET($AM$3,0,0,'Données projet'!$E$10+1,1))-AVERAGE(OFFSET($H$3,0,0,'Données projet'!$E$10+1,1))</f>
        <v>606.55142836375308</v>
      </c>
      <c r="AO21" s="62">
        <f t="shared" si="36"/>
        <v>325.72635759450861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7.4358974358974361</v>
      </c>
      <c r="BD21" s="13">
        <f>IF('Données projet'!$A$88&gt;35,BD20+BC21-BL20,IF(A21&lt;'Données projet'!$A$88,$BA$205^A21,IF(A21='Données projet'!$A$88,'Données projet'!$B$88,BD20+BC21-BL20)))</f>
        <v>64.615384615384613</v>
      </c>
      <c r="BE21" s="14">
        <f>BD21*VLOOKUP('Données projet'!$B$11,Paramètres!$A$1:$I$89,3,0)*VLOOKUP('Données projet'!$B$11,Paramètres!$A$1:$I$89,5,0)</f>
        <v>67.536000000000001</v>
      </c>
      <c r="BF21" s="14">
        <f t="shared" si="37"/>
        <v>19.060289237119235</v>
      </c>
      <c r="BG21" s="22">
        <f t="shared" si="7"/>
        <v>150.82187042131599</v>
      </c>
      <c r="BH21" s="62">
        <f t="shared" si="8"/>
        <v>362.59122361331913</v>
      </c>
      <c r="BI21" s="62">
        <f ca="1">AVERAGE(OFFSET($BH$3,0,0,'Données projet'!$E$11+1,1))-AVERAGE(OFFSET($H$3,0,0,'Données projet'!$E$11+1,1))</f>
        <v>635.13577238794812</v>
      </c>
      <c r="BJ21" s="62">
        <f t="shared" si="38"/>
        <v>374.35810525172019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27.6</v>
      </c>
      <c r="BY21" s="13">
        <f>IF('Données projet'!$A$114&gt;35,BY20+BX21-CG20,IF(A21&lt;'Données projet'!$A$114,$BV$205^A21,IF(A21='Données projet'!$A$114,'Données projet'!$B$114,BY20+BX21-CG20)))</f>
        <v>164.79999999999998</v>
      </c>
      <c r="BZ21" s="14">
        <f>BY21*VLOOKUP('Données projet'!$B$12,Paramètres!$A$1:$I$89,3,0)*VLOOKUP('Données projet'!$B$12,Paramètres!$A$1:$I$89,5,0)</f>
        <v>72.8416</v>
      </c>
      <c r="CA21" s="14">
        <f t="shared" si="39"/>
        <v>20.377484454214965</v>
      </c>
      <c r="CB21" s="22">
        <f t="shared" si="10"/>
        <v>162.35657209109104</v>
      </c>
      <c r="CC21" s="62">
        <f t="shared" si="11"/>
        <v>374.12592528309415</v>
      </c>
      <c r="CD21" s="62">
        <f ca="1">AVERAGE(OFFSET($CC$3,0,0,'Données projet'!$E$12+1,1))-AVERAGE(OFFSET($H$3,0,0,'Données projet'!$E$12+1,1))</f>
        <v>580.02817743695846</v>
      </c>
      <c r="CE21" s="62">
        <f t="shared" si="40"/>
        <v>551.23515633208865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4.9084615384615384</v>
      </c>
      <c r="CT21" s="13">
        <f>IF('Données projet'!$A$140&gt;35,CT20+CS21-DB20,IF(A21&lt;'Données projet'!$A$140,$CQ$205^A21,IF(A21='Données projet'!$A$140,'Données projet'!$B$140,CT20+CS21-DB20)))</f>
        <v>19.991251747746755</v>
      </c>
      <c r="CU21" s="18">
        <f>CT21*VLOOKUP('Données projet'!$B$13,Paramètres!$A$1:$I$89,3,0)*VLOOKUP('Données projet'!$B$13,Paramètres!$A$1:$I$89,5,0)</f>
        <v>9.3559058179454802</v>
      </c>
      <c r="CV21" s="14">
        <f t="shared" si="41"/>
        <v>3.3235599293549551</v>
      </c>
      <c r="CW21" s="22">
        <f t="shared" si="13"/>
        <v>22.083402843214927</v>
      </c>
      <c r="CX21" s="62">
        <f t="shared" si="14"/>
        <v>233.85275603521802</v>
      </c>
      <c r="CY21" s="62">
        <f ca="1">AVERAGE(OFFSET($CX$3,0,0,'Données projet'!$E$13+1,1))-AVERAGE(OFFSET($H$3,0,0,'Données projet'!$E$13+1,1))</f>
        <v>321.05795935196863</v>
      </c>
      <c r="CZ21" s="62">
        <f t="shared" si="42"/>
        <v>209.59551322748908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IF('Données projet'!$A$166&gt;35,DO20+DN21-DW20,IF(A21&lt;'Données projet'!$A$166,$DL$205^A21,IF(A21='Données projet'!$A$166,'Données projet'!$B$166,DO20+DN21-DW20)))</f>
        <v>47.532490941824946</v>
      </c>
      <c r="DP21" s="18">
        <f>DO21*VLOOKUP('Données projet'!$B$14,Paramètres!$A$1:$I$89,3,0)*VLOOKUP('Données projet'!$B$14,Paramètres!$A$1:$I$89,5,0)</f>
        <v>51.163973249780369</v>
      </c>
      <c r="DQ21" s="14">
        <f t="shared" si="43"/>
        <v>14.913957042476</v>
      </c>
      <c r="DR21" s="22">
        <f t="shared" si="16"/>
        <v>115.08572859234651</v>
      </c>
      <c r="DS21" s="62">
        <f t="shared" si="17"/>
        <v>326.85508178434964</v>
      </c>
      <c r="DT21" s="62">
        <f ca="1">AVERAGE(OFFSET($DS$3,0,0,'Données projet'!$E$14+1,1))-AVERAGE(OFFSET($H$3,0,0,'Données projet'!$E$14+1,1))</f>
        <v>638.58602907610805</v>
      </c>
      <c r="DU21" s="62">
        <f t="shared" si="44"/>
        <v>341.9250949809848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>
        <f>VLOOKUP(A21,'Données projet'!$A$191:$I$211,2,0)</f>
        <v>116.78149999999999</v>
      </c>
      <c r="EH21" s="13">
        <f>VLOOKUP(A21,'Données projet'!$A$191:$I$211,9,0)</f>
        <v>13.727499999999992</v>
      </c>
      <c r="EI21" s="13">
        <f t="array" ref="EI21">INDEX(EH:EH,MIN(IF(ISNUMBER(EH21:EH217),ROW(EH21:EH217),"")))</f>
        <v>13.727499999999992</v>
      </c>
      <c r="EJ21" s="13">
        <f>IF('Données projet'!$A$192&gt;35,EJ20+EI21-ER20,IF(A21&lt;'Données projet'!$A$192,$EG$205^A21,IF(A21='Données projet'!$A$192,'Données projet'!$B$192,EJ20+EI21-ER20)))</f>
        <v>116.78149999999999</v>
      </c>
      <c r="EK21" s="18">
        <f>EJ21*VLOOKUP('Données projet'!$B$15,Paramètres!$A$1:$I$89,3,0)*VLOOKUP('Données projet'!$B$15,Paramètres!$A$1:$I$89,5,0)</f>
        <v>69.83533700000001</v>
      </c>
      <c r="EL21" s="14">
        <f t="shared" si="45"/>
        <v>19.632560341829297</v>
      </c>
      <c r="EM21" s="22">
        <f t="shared" si="19"/>
        <v>155.82325453701938</v>
      </c>
      <c r="EN21" s="62">
        <f t="shared" si="20"/>
        <v>367.59260772902246</v>
      </c>
      <c r="EO21" s="62">
        <f ca="1">AVERAGE(OFFSET($EN$3,0,0,'Données projet'!$E$15+1,1))-AVERAGE(OFFSET($H$3,0,0,'Données projet'!$E$15+1,1))</f>
        <v>223.57443551076992</v>
      </c>
      <c r="EP21" s="62">
        <f t="shared" si="46"/>
        <v>382.12751862619427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3.5369141622635176</v>
      </c>
      <c r="EX21" s="23">
        <f>EXP(-LN(2)/2)*EX20+(1-EXP(-LN(2)/2))/(LN(2)/2)*ER21*EU21*VLOOKUP('Données projet'!$B$15,Paramètres!$A$1:$I$89,3,0)*0.475*44/12</f>
        <v>1.8812103311468973</v>
      </c>
      <c r="EY21" s="24">
        <f t="shared" si="21"/>
        <v>5.4181244934104154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1.9558333333333331</v>
      </c>
      <c r="FE21" s="13">
        <f>IF('Données projet'!$A$218&gt;35,FE20+FD21-FM20,IF(A21&lt;'Données projet'!$A$218,$FB$205^A21,IF(A21='Données projet'!$A$218,'Données projet'!$B$218,FE20+FD21-FM20)))</f>
        <v>30.98833333333334</v>
      </c>
      <c r="FF21" s="18">
        <f>FE21*VLOOKUP('Données projet'!$B$16,Paramètres!$A$1:$I$89,3,0)*VLOOKUP('Données projet'!$B$16,Paramètres!$A$1:$I$89,5,0)</f>
        <v>35.698560000000008</v>
      </c>
      <c r="FG21" s="14">
        <f t="shared" si="47"/>
        <v>10.851111388752232</v>
      </c>
      <c r="FH21" s="22">
        <f t="shared" si="22"/>
        <v>81.074011002076816</v>
      </c>
      <c r="FI21" s="62">
        <f t="shared" si="23"/>
        <v>292.84336419407992</v>
      </c>
      <c r="FJ21" s="62">
        <f ca="1">AVERAGE(OFFSET($FI$3,0,0,'Données projet'!$E$16+1,1))-AVERAGE(OFFSET($H$3,0,0,'Données projet'!$E$16+1,1))</f>
        <v>283.95543623515323</v>
      </c>
      <c r="FK21" s="62">
        <f t="shared" si="48"/>
        <v>196.96883829830929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>
        <f>VLOOKUP(A21,'Données projet'!$A$243:$I$263,2,0)</f>
        <v>116.78149999999999</v>
      </c>
      <c r="FX21" s="13">
        <f>VLOOKUP(A21,'Données projet'!$A$243:$I$263,9,0)</f>
        <v>13.727499999999992</v>
      </c>
      <c r="FY21" s="13">
        <f t="array" ref="FY21">INDEX(FX:FX,MIN(IF(ISNUMBER(FX21:FX217),ROW(FX21:FX217),"")))</f>
        <v>13.727499999999992</v>
      </c>
      <c r="FZ21" s="13">
        <f>IF('Données projet'!$A$244&gt;35,FZ20+FY21-GH20,IF(A21&lt;'Données projet'!$A$244,$FW$205^A21,IF(A21='Données projet'!$A$244,'Données projet'!$B$244,FZ20+FY21-GH20)))</f>
        <v>116.78149999999999</v>
      </c>
      <c r="GA21" s="18">
        <f>FZ21*VLOOKUP('Données projet'!$B$17,Paramètres!$A$1:$I$89,3,0)*VLOOKUP('Données projet'!$B$17,Paramètres!$A$1:$I$89,5,0)</f>
        <v>69.83533700000001</v>
      </c>
      <c r="GB21" s="14">
        <f t="shared" si="49"/>
        <v>19.632560341829297</v>
      </c>
      <c r="GC21" s="22">
        <f t="shared" si="25"/>
        <v>155.82325453701938</v>
      </c>
      <c r="GD21" s="62">
        <f t="shared" si="26"/>
        <v>367.59260772902246</v>
      </c>
      <c r="GE21" s="62">
        <f ca="1">AVERAGE(OFFSET($GD$3,0,0,'Données projet'!$E$17+1,1))-AVERAGE(OFFSET($H$3,0,0,'Données projet'!$E$17+1,1))</f>
        <v>223.57443551076992</v>
      </c>
      <c r="GF21" s="62">
        <f t="shared" si="50"/>
        <v>382.12751862619427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3.5369141622635176</v>
      </c>
      <c r="GN21" s="23">
        <f>EXP(-LN(2)/2)*GN20+(1-EXP(-LN(2)/2))/(LN(2)/2)*GH21*GK21*VLOOKUP('Données projet'!$B$17,Paramètres!$A$1:$I$89,3,0)*0.475*44/12</f>
        <v>1.8812103311468973</v>
      </c>
      <c r="GO21" s="23">
        <f t="shared" si="27"/>
        <v>5.4181244934104154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2.7411833378046713</v>
      </c>
      <c r="GU21" s="13">
        <f>IF('Données projet'!$A$270&gt;35,GU20+GT21-HC20,IF(A21&lt;'Données projet'!$A$270,$GR$205^A21,IF(A21='Données projet'!$A$270,'Données projet'!$B$270,GU20+GT21-HC20)))</f>
        <v>20.981291916392948</v>
      </c>
      <c r="GV21" s="18">
        <f>GU21*VLOOKUP('Données projet'!$B$18,Paramètres!$A$1:$I$89,3,0)*VLOOKUP('Données projet'!$B$18,Paramètres!$A$1:$I$89,5,0)</f>
        <v>22.911570772701097</v>
      </c>
      <c r="GW21" s="14">
        <f t="shared" si="51"/>
        <v>7.3332508833671399</v>
      </c>
      <c r="GX21" s="22">
        <f t="shared" si="28"/>
        <v>52.676397717652179</v>
      </c>
      <c r="GY21" s="62">
        <f t="shared" si="29"/>
        <v>264.44575090965532</v>
      </c>
      <c r="GZ21" s="62">
        <f ca="1">AVERAGE(OFFSET($GY$3,0,0,'Données projet'!$E$18+1,1))-AVERAGE(OFFSET($H$3,0,0,'Données projet'!$E$18+1,1))</f>
        <v>754.33260592777049</v>
      </c>
      <c r="HA21" s="62">
        <f t="shared" si="52"/>
        <v>250.97643915279005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9">
        <f t="shared" si="1"/>
        <v>183.33333333333334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550.39292625253665</v>
      </c>
      <c r="T22" s="62">
        <f t="shared" si="34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59.730296710452635</v>
      </c>
      <c r="AK22" s="14">
        <f t="shared" si="35"/>
        <v>17.100061689857345</v>
      </c>
      <c r="AL22" s="22">
        <f t="shared" si="4"/>
        <v>133.81287421387319</v>
      </c>
      <c r="AM22" s="62">
        <f t="shared" si="5"/>
        <v>347.96496845689671</v>
      </c>
      <c r="AN22" s="62">
        <f ca="1">AVERAGE(OFFSET($AM$3,0,0,'Données projet'!$E$10+1,1))-AVERAGE(OFFSET($H$3,0,0,'Données projet'!$E$10+1,1))</f>
        <v>606.55142836375308</v>
      </c>
      <c r="AO22" s="62">
        <f t="shared" si="36"/>
        <v>325.72635759450861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7.4358974358974361</v>
      </c>
      <c r="BD22" s="13">
        <f>IF('Données projet'!$A$88&gt;35,BD21+BC22-BL21,IF(A22&lt;'Données projet'!$A$88,$BA$205^A22,IF(A22='Données projet'!$A$88,'Données projet'!$B$88,BD21+BC22-BL21)))</f>
        <v>72.051282051282044</v>
      </c>
      <c r="BE22" s="14">
        <f>BD22*VLOOKUP('Données projet'!$B$11,Paramètres!$A$1:$I$89,3,0)*VLOOKUP('Données projet'!$B$11,Paramètres!$A$1:$I$89,5,0)</f>
        <v>75.308000000000007</v>
      </c>
      <c r="BF22" s="14">
        <f t="shared" si="37"/>
        <v>20.985961565400835</v>
      </c>
      <c r="BG22" s="22">
        <f t="shared" si="7"/>
        <v>167.71198305973982</v>
      </c>
      <c r="BH22" s="62">
        <f t="shared" si="8"/>
        <v>381.86407730276335</v>
      </c>
      <c r="BI22" s="62">
        <f ca="1">AVERAGE(OFFSET($BH$3,0,0,'Données projet'!$E$11+1,1))-AVERAGE(OFFSET($H$3,0,0,'Données projet'!$E$11+1,1))</f>
        <v>635.13577238794812</v>
      </c>
      <c r="BJ22" s="62">
        <f t="shared" si="38"/>
        <v>374.35810525172019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27.6</v>
      </c>
      <c r="BY22" s="13">
        <f>IF('Données projet'!$A$114&gt;35,BY21+BX22-CG21,IF(A22&lt;'Données projet'!$A$114,$BV$205^A22,IF(A22='Données projet'!$A$114,'Données projet'!$B$114,BY21+BX22-CG21)))</f>
        <v>192.39999999999998</v>
      </c>
      <c r="BZ22" s="14">
        <f>BY22*VLOOKUP('Données projet'!$B$12,Paramètres!$A$1:$I$89,3,0)*VLOOKUP('Données projet'!$B$12,Paramètres!$A$1:$I$89,5,0)</f>
        <v>85.040800000000004</v>
      </c>
      <c r="CA22" s="14">
        <f t="shared" si="39"/>
        <v>23.365268706622267</v>
      </c>
      <c r="CB22" s="22">
        <f t="shared" si="10"/>
        <v>188.80723633070045</v>
      </c>
      <c r="CC22" s="62">
        <f t="shared" si="11"/>
        <v>402.95933057372395</v>
      </c>
      <c r="CD22" s="62">
        <f ca="1">AVERAGE(OFFSET($CC$3,0,0,'Données projet'!$E$12+1,1))-AVERAGE(OFFSET($H$3,0,0,'Données projet'!$E$12+1,1))</f>
        <v>580.02817743695846</v>
      </c>
      <c r="CE22" s="62">
        <f t="shared" si="40"/>
        <v>551.23515633208865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4.9084615384615384</v>
      </c>
      <c r="CT22" s="13">
        <f>IF('Données projet'!$A$140&gt;35,CT21+CS22-DB21,IF(A22&lt;'Données projet'!$A$140,$CQ$205^A22,IF(A22='Données projet'!$A$140,'Données projet'!$B$140,CT21+CS22-DB21)))</f>
        <v>23.610700728923604</v>
      </c>
      <c r="CU22" s="18">
        <f>CT22*VLOOKUP('Données projet'!$B$13,Paramètres!$A$1:$I$89,3,0)*VLOOKUP('Données projet'!$B$13,Paramètres!$A$1:$I$89,5,0)</f>
        <v>11.049807941136248</v>
      </c>
      <c r="CV22" s="14">
        <f t="shared" si="41"/>
        <v>3.8499962268435248</v>
      </c>
      <c r="CW22" s="22">
        <f t="shared" si="13"/>
        <v>25.950492259231435</v>
      </c>
      <c r="CX22" s="62">
        <f t="shared" si="14"/>
        <v>240.10258650225495</v>
      </c>
      <c r="CY22" s="62">
        <f ca="1">AVERAGE(OFFSET($CX$3,0,0,'Données projet'!$E$13+1,1))-AVERAGE(OFFSET($H$3,0,0,'Données projet'!$E$13+1,1))</f>
        <v>321.05795935196863</v>
      </c>
      <c r="CZ22" s="62">
        <f t="shared" si="42"/>
        <v>209.59551322748908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IF('Données projet'!$A$166&gt;35,DO21+DN22-DW21,IF(A22&lt;'Données projet'!$A$166,$DL$205^A22,IF(A22='Données projet'!$A$166,'Données projet'!$B$166,DO21+DN22-DW21)))</f>
        <v>58.90561805764559</v>
      </c>
      <c r="DP22" s="18">
        <f>DO22*VLOOKUP('Données projet'!$B$14,Paramètres!$A$1:$I$89,3,0)*VLOOKUP('Données projet'!$B$14,Paramètres!$A$1:$I$89,5,0)</f>
        <v>63.406007277249707</v>
      </c>
      <c r="DQ22" s="14">
        <f t="shared" si="43"/>
        <v>18.026627797823672</v>
      </c>
      <c r="DR22" s="22">
        <f t="shared" si="16"/>
        <v>141.82850608908612</v>
      </c>
      <c r="DS22" s="62">
        <f t="shared" si="17"/>
        <v>355.98060033210965</v>
      </c>
      <c r="DT22" s="62">
        <f ca="1">AVERAGE(OFFSET($DS$3,0,0,'Données projet'!$E$14+1,1))-AVERAGE(OFFSET($H$3,0,0,'Données projet'!$E$14+1,1))</f>
        <v>638.58602907610805</v>
      </c>
      <c r="DU22" s="62">
        <f t="shared" si="44"/>
        <v>341.9250949809848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>
        <f>VLOOKUP(A22,'Données projet'!$A$191:$I$211,2,0)</f>
        <v>134.41899999999998</v>
      </c>
      <c r="EH22" s="13">
        <f>VLOOKUP(A22,'Données projet'!$A$191:$I$211,9,0)</f>
        <v>17.637499999999989</v>
      </c>
      <c r="EI22" s="13">
        <f t="array" ref="EI22">INDEX(EH:EH,MIN(IF(ISNUMBER(EH22:EH218),ROW(EH22:EH218),"")))</f>
        <v>17.637499999999989</v>
      </c>
      <c r="EJ22" s="13">
        <f>IF('Données projet'!$A$192&gt;35,EJ21+EI22-ER21,IF(A22&lt;'Données projet'!$A$192,$EG$205^A22,IF(A22='Données projet'!$A$192,'Données projet'!$B$192,EJ21+EI22-ER21)))</f>
        <v>134.41899999999998</v>
      </c>
      <c r="EK22" s="18">
        <f>EJ22*VLOOKUP('Données projet'!$B$15,Paramètres!$A$1:$I$89,3,0)*VLOOKUP('Données projet'!$B$15,Paramètres!$A$1:$I$89,5,0)</f>
        <v>80.382561999999993</v>
      </c>
      <c r="EL22" s="14">
        <f t="shared" si="45"/>
        <v>22.230696539664962</v>
      </c>
      <c r="EM22" s="22">
        <f t="shared" si="19"/>
        <v>178.71809195658315</v>
      </c>
      <c r="EN22" s="62">
        <f t="shared" si="20"/>
        <v>392.87018619960668</v>
      </c>
      <c r="EO22" s="62">
        <f ca="1">AVERAGE(OFFSET($EN$3,0,0,'Données projet'!$E$15+1,1))-AVERAGE(OFFSET($H$3,0,0,'Données projet'!$E$15+1,1))</f>
        <v>223.57443551076992</v>
      </c>
      <c r="EP22" s="62">
        <f t="shared" si="46"/>
        <v>382.12751862619427</v>
      </c>
      <c r="EQ22" s="16">
        <f>IF(ISNA(VLOOKUP(A22,'Données projet'!$A$191:$I$211,3,0)),0,VLOOKUP(A22,'Données projet'!$A$191:$I$211,3,0))</f>
        <v>2</v>
      </c>
      <c r="ER22" s="16">
        <f>IF(ISNA(VLOOKUP(A22,'Données projet'!$A$191:$I$211,4,0)),0,VLOOKUP(A22,'Données projet'!$A$191:$I$211,4,0))</f>
        <v>34.884</v>
      </c>
      <c r="ES22" s="17">
        <f>IF(ISNA(VLOOKUP(A22,'Données projet'!$A$191:$I$211,5,0)),0%,VLOOKUP(A22,'Données projet'!$A$191:$I$211,5,0)*VLOOKUP('Données projet'!$B$15,Paramètres!$A$1:$I$89,7,0))</f>
        <v>0.1125</v>
      </c>
      <c r="ET22" s="17">
        <f>IF(ISNA(VLOOKUP(A22,'Données projet'!$A$191:$I$211,6,0)),0%,VLOOKUP(A22,'Données projet'!$A$191:$I$211,6,0)*VLOOKUP('Données projet'!$B$15,Paramètres!$A$1:$I$89,7,0))</f>
        <v>0.17100000000000001</v>
      </c>
      <c r="EU22" s="17">
        <f>IF(ISNA(VLOOKUP(A22,'Données projet'!$A$191:$I$211,7,0)),0%,VLOOKUP(A22,'Données projet'!$A$191:$I$211,7,0))</f>
        <v>0.38</v>
      </c>
      <c r="EV22" s="23">
        <f>EXP(-LN(2)/35)*EV21+(1-EXP(-LN(2)/35))/(LN(2)/35)*ER22*ES22*VLOOKUP('Données projet'!$B$15,Paramètres!$A$1:$I$89,3,0)*0.475*44/12</f>
        <v>3.1132094545355229</v>
      </c>
      <c r="EW22" s="23">
        <f>EXP(-LN(2)/25)*EW21+(1-EXP(-LN(2)/25))/(LN(2)/25)*Calculateur!ER22*Calculateur!ET22*VLOOKUP('Données projet'!$B$15,Paramètres!$A$1:$I$89,3,0)*0.475*44/12</f>
        <v>8.1536434337827579</v>
      </c>
      <c r="EX22" s="23">
        <f>EXP(-LN(2)/2)*EX21+(1-EXP(-LN(2)/2))/(LN(2)/2)*ER22*EU22*VLOOKUP('Données projet'!$B$15,Paramètres!$A$1:$I$89,3,0)*0.475*44/12</f>
        <v>10.305467474933524</v>
      </c>
      <c r="EY22" s="24">
        <f t="shared" si="21"/>
        <v>21.572320363251805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1.9558333333333331</v>
      </c>
      <c r="FE22" s="13">
        <f>IF('Données projet'!$A$218&gt;35,FE21+FD22-FM21,IF(A22&lt;'Données projet'!$A$218,$FB$205^A22,IF(A22='Données projet'!$A$218,'Données projet'!$B$218,FE21+FD22-FM21)))</f>
        <v>32.944166666666675</v>
      </c>
      <c r="FF22" s="18">
        <f>FE22*VLOOKUP('Données projet'!$B$16,Paramètres!$A$1:$I$89,3,0)*VLOOKUP('Données projet'!$B$16,Paramètres!$A$1:$I$89,5,0)</f>
        <v>37.95168000000001</v>
      </c>
      <c r="FG22" s="14">
        <f t="shared" si="47"/>
        <v>11.454089738390872</v>
      </c>
      <c r="FH22" s="22">
        <f t="shared" si="22"/>
        <v>86.048382294364117</v>
      </c>
      <c r="FI22" s="62">
        <f t="shared" si="23"/>
        <v>300.20047653738766</v>
      </c>
      <c r="FJ22" s="62">
        <f ca="1">AVERAGE(OFFSET($FI$3,0,0,'Données projet'!$E$16+1,1))-AVERAGE(OFFSET($H$3,0,0,'Données projet'!$E$16+1,1))</f>
        <v>283.95543623515323</v>
      </c>
      <c r="FK22" s="62">
        <f t="shared" si="48"/>
        <v>196.96883829830929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>
        <f>VLOOKUP(A22,'Données projet'!$A$243:$I$263,2,0)</f>
        <v>134.41899999999998</v>
      </c>
      <c r="FX22" s="13">
        <f>VLOOKUP(A22,'Données projet'!$A$243:$I$263,9,0)</f>
        <v>17.637499999999989</v>
      </c>
      <c r="FY22" s="13">
        <f t="array" ref="FY22">INDEX(FX:FX,MIN(IF(ISNUMBER(FX22:FX218),ROW(FX22:FX218),"")))</f>
        <v>17.637499999999989</v>
      </c>
      <c r="FZ22" s="13">
        <f>IF('Données projet'!$A$244&gt;35,FZ21+FY22-GH21,IF(A22&lt;'Données projet'!$A$244,$FW$205^A22,IF(A22='Données projet'!$A$244,'Données projet'!$B$244,FZ21+FY22-GH21)))</f>
        <v>134.41899999999998</v>
      </c>
      <c r="GA22" s="18">
        <f>FZ22*VLOOKUP('Données projet'!$B$17,Paramètres!$A$1:$I$89,3,0)*VLOOKUP('Données projet'!$B$17,Paramètres!$A$1:$I$89,5,0)</f>
        <v>80.382561999999993</v>
      </c>
      <c r="GB22" s="14">
        <f t="shared" si="49"/>
        <v>22.230696539664962</v>
      </c>
      <c r="GC22" s="22">
        <f t="shared" si="25"/>
        <v>178.71809195658315</v>
      </c>
      <c r="GD22" s="62">
        <f t="shared" si="26"/>
        <v>392.87018619960668</v>
      </c>
      <c r="GE22" s="62">
        <f ca="1">AVERAGE(OFFSET($GD$3,0,0,'Données projet'!$E$17+1,1))-AVERAGE(OFFSET($H$3,0,0,'Données projet'!$E$17+1,1))</f>
        <v>223.57443551076992</v>
      </c>
      <c r="GF22" s="62">
        <f t="shared" si="50"/>
        <v>382.12751862619427</v>
      </c>
      <c r="GG22" s="16">
        <f>IF(ISNA(VLOOKUP(A22,'Données projet'!$A$243:$I$263,3,0)),0,VLOOKUP(A22,'Données projet'!$A$243:$I$263,3,0))</f>
        <v>2</v>
      </c>
      <c r="GH22" s="16">
        <f>IF(ISNA(VLOOKUP(A22,'Données projet'!$A$243:$I$263,4,0)),0,VLOOKUP(A22,'Données projet'!$A$243:$I$263,4,0))</f>
        <v>34.884</v>
      </c>
      <c r="GI22" s="17">
        <f>IF(ISNA(VLOOKUP(A22,'Données projet'!$A$243:$I$263,5,0)),0%,VLOOKUP(A22,'Données projet'!$A$243:$I$263,5,0)*VLOOKUP('Données projet'!$B$17,Paramètres!$A$1:$I$89,7,0))</f>
        <v>0.1125</v>
      </c>
      <c r="GJ22" s="17">
        <f>IF(ISNA(VLOOKUP(A22,'Données projet'!$A$243:$I$263,6,0)),0%,VLOOKUP(A22,'Données projet'!$A$243:$I$263,6,0)*VLOOKUP('Données projet'!$B$17,Paramètres!$A$1:$I$89,7,0))</f>
        <v>0.17100000000000001</v>
      </c>
      <c r="GK22" s="17">
        <f>IF(ISNA(VLOOKUP(A22,'Données projet'!$A$243:$I$263,7,0)),0%,VLOOKUP(A22,'Données projet'!$A$243:$I$263,7,0))</f>
        <v>0.38</v>
      </c>
      <c r="GL22" s="23">
        <f>EXP(-LN(2)/35)*GL21+(1-EXP(-LN(2)/35))/(LN(2)/35)*GH22*GI22*VLOOKUP('Données projet'!$B$17,Paramètres!$A$1:$I$89,3,0)*0.475*44/12</f>
        <v>3.1132094545355229</v>
      </c>
      <c r="GM22" s="23">
        <f>EXP(-LN(2)/25)*GM21+(1-EXP(-LN(2)/25))/(LN(2)/25)*Calculateur!GH22*Calculateur!GJ22*VLOOKUP('Données projet'!$B$17,Paramètres!$A$1:$I$89,3,0)*0.475*44/12</f>
        <v>8.1536434337827579</v>
      </c>
      <c r="GN22" s="23">
        <f>EXP(-LN(2)/2)*GN21+(1-EXP(-LN(2)/2))/(LN(2)/2)*GH22*GK22*VLOOKUP('Données projet'!$B$17,Paramètres!$A$1:$I$89,3,0)*0.475*44/12</f>
        <v>10.305467474933524</v>
      </c>
      <c r="GO22" s="23">
        <f t="shared" si="27"/>
        <v>21.572320363251805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2.7411833378046713</v>
      </c>
      <c r="GU22" s="13">
        <f>IF('Données projet'!$A$270&gt;35,GU21+GT22-HC21,IF(A22&lt;'Données projet'!$A$270,$GR$205^A22,IF(A22='Données projet'!$A$270,'Données projet'!$B$270,GU21+GT22-HC21)))</f>
        <v>24.84662182467553</v>
      </c>
      <c r="GV22" s="18">
        <f>GU22*VLOOKUP('Données projet'!$B$18,Paramètres!$A$1:$I$89,3,0)*VLOOKUP('Données projet'!$B$18,Paramètres!$A$1:$I$89,5,0)</f>
        <v>27.132511032545679</v>
      </c>
      <c r="GW22" s="14">
        <f t="shared" si="51"/>
        <v>8.5149836522942532</v>
      </c>
      <c r="GX22" s="22">
        <f t="shared" si="28"/>
        <v>62.086053242762887</v>
      </c>
      <c r="GY22" s="62">
        <f t="shared" si="29"/>
        <v>276.23814748578639</v>
      </c>
      <c r="GZ22" s="62">
        <f ca="1">AVERAGE(OFFSET($GY$3,0,0,'Données projet'!$E$18+1,1))-AVERAGE(OFFSET($H$3,0,0,'Données projet'!$E$18+1,1))</f>
        <v>754.33260592777049</v>
      </c>
      <c r="HA22" s="62">
        <f t="shared" si="52"/>
        <v>250.97643915279005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9">
        <f t="shared" si="1"/>
        <v>183.33333333333334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550.39292625253665</v>
      </c>
      <c r="T23" s="62">
        <f t="shared" si="34"/>
        <v>297.32483725004136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74.022000000000006</v>
      </c>
      <c r="AK23" s="14">
        <f t="shared" si="35"/>
        <v>20.668991235856851</v>
      </c>
      <c r="AL23" s="22">
        <f t="shared" si="4"/>
        <v>164.92014306911736</v>
      </c>
      <c r="AM23" s="62">
        <f t="shared" si="5"/>
        <v>381.43484595601308</v>
      </c>
      <c r="AN23" s="62">
        <f ca="1">AVERAGE(OFFSET($AM$3,0,0,'Données projet'!$E$10+1,1))-AVERAGE(OFFSET($H$3,0,0,'Données projet'!$E$10+1,1))</f>
        <v>606.55142836375308</v>
      </c>
      <c r="AO23" s="62">
        <f t="shared" si="36"/>
        <v>325.72635759450861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79.487179487179489</v>
      </c>
      <c r="BB23" s="13">
        <f>VLOOKUP(A23,'Données projet'!$A$87:$I$107,9,0)</f>
        <v>7.4358974358974361</v>
      </c>
      <c r="BC23" s="13">
        <f t="array" ref="BC23">INDEX(BB:BB,MIN(IF(ISNUMBER(BB23:BB219),ROW(BB23:BB219),"")))</f>
        <v>7.4358974358974361</v>
      </c>
      <c r="BD23" s="13">
        <f>IF('Données projet'!$A$88&gt;35,BD22+BC23-BL22,IF(A23&lt;'Données projet'!$A$88,$BA$205^A23,IF(A23='Données projet'!$A$88,'Données projet'!$B$88,BD22+BC23-BL22)))</f>
        <v>79.487179487179475</v>
      </c>
      <c r="BE23" s="14">
        <f>BD23*VLOOKUP('Données projet'!$B$11,Paramètres!$A$1:$I$89,3,0)*VLOOKUP('Données projet'!$B$11,Paramètres!$A$1:$I$89,5,0)</f>
        <v>83.079999999999984</v>
      </c>
      <c r="BF23" s="14">
        <f t="shared" si="37"/>
        <v>22.888596418138132</v>
      </c>
      <c r="BG23" s="22">
        <f t="shared" si="7"/>
        <v>184.5619720949239</v>
      </c>
      <c r="BH23" s="62">
        <f t="shared" si="8"/>
        <v>401.07667498181962</v>
      </c>
      <c r="BI23" s="62">
        <f ca="1">AVERAGE(OFFSET($BH$3,0,0,'Données projet'!$E$11+1,1))-AVERAGE(OFFSET($H$3,0,0,'Données projet'!$E$11+1,1))</f>
        <v>635.13577238794812</v>
      </c>
      <c r="BJ23" s="62">
        <f t="shared" si="38"/>
        <v>374.35810525172019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220</v>
      </c>
      <c r="BW23" s="13">
        <f>VLOOKUP(A23,'Données projet'!$A$113:$I$133,9,0)</f>
        <v>27.6</v>
      </c>
      <c r="BX23" s="13">
        <f t="array" ref="BX23">INDEX(BW:BW,MIN(IF(ISNUMBER(BW23:BW219),ROW(BW23:BW219),"")))</f>
        <v>27.6</v>
      </c>
      <c r="BY23" s="13">
        <f>IF('Données projet'!$A$114&gt;35,BY22+BX23-CG22,IF(A23&lt;'Données projet'!$A$114,$BV$205^A23,IF(A23='Données projet'!$A$114,'Données projet'!$B$114,BY22+BX23-CG22)))</f>
        <v>219.99999999999997</v>
      </c>
      <c r="BZ23" s="14">
        <f>BY23*VLOOKUP('Données projet'!$B$12,Paramètres!$A$1:$I$89,3,0)*VLOOKUP('Données projet'!$B$12,Paramètres!$A$1:$I$89,5,0)</f>
        <v>97.24</v>
      </c>
      <c r="CA23" s="14">
        <f t="shared" si="39"/>
        <v>26.303398391745716</v>
      </c>
      <c r="CB23" s="22">
        <f t="shared" si="10"/>
        <v>215.17141886562376</v>
      </c>
      <c r="CC23" s="62">
        <f t="shared" si="11"/>
        <v>431.68612175251951</v>
      </c>
      <c r="CD23" s="62">
        <f ca="1">AVERAGE(OFFSET($CC$3,0,0,'Données projet'!$E$12+1,1))-AVERAGE(OFFSET($H$3,0,0,'Données projet'!$E$12+1,1))</f>
        <v>580.02817743695846</v>
      </c>
      <c r="CE23" s="62">
        <f t="shared" si="40"/>
        <v>551.23515633208865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91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4.9084615384615384</v>
      </c>
      <c r="CT23" s="13">
        <f>IF('Données projet'!$A$140&gt;35,CT22+CS23-DB22,IF(A23&lt;'Données projet'!$A$140,$CQ$205^A23,IF(A23='Données projet'!$A$140,'Données projet'!$B$140,CT22+CS23-DB22)))</f>
        <v>27.885456896095882</v>
      </c>
      <c r="CU23" s="18">
        <f>CT23*VLOOKUP('Données projet'!$B$13,Paramètres!$A$1:$I$89,3,0)*VLOOKUP('Données projet'!$B$13,Paramètres!$A$1:$I$89,5,0)</f>
        <v>13.050393827372874</v>
      </c>
      <c r="CV23" s="14">
        <f t="shared" si="41"/>
        <v>4.459817563628576</v>
      </c>
      <c r="CW23" s="22">
        <f t="shared" si="13"/>
        <v>30.49695150599419</v>
      </c>
      <c r="CX23" s="62">
        <f t="shared" si="14"/>
        <v>247.01165439288991</v>
      </c>
      <c r="CY23" s="62">
        <f ca="1">AVERAGE(OFFSET($CX$3,0,0,'Données projet'!$E$13+1,1))-AVERAGE(OFFSET($H$3,0,0,'Données projet'!$E$13+1,1))</f>
        <v>321.05795935196863</v>
      </c>
      <c r="CZ23" s="62">
        <f t="shared" si="42"/>
        <v>209.59551322748908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IF('Données projet'!$A$166&gt;35,DO22+DN23-DW22,IF(A23&lt;'Données projet'!$A$166,$DL$205^A23,IF(A23='Données projet'!$A$166,'Données projet'!$B$166,DO22+DN23-DW22)))</f>
        <v>73</v>
      </c>
      <c r="DP23" s="18">
        <f>DO23*VLOOKUP('Données projet'!$B$14,Paramètres!$A$1:$I$89,3,0)*VLOOKUP('Données projet'!$B$14,Paramètres!$A$1:$I$89,5,0)</f>
        <v>78.577200000000005</v>
      </c>
      <c r="DQ23" s="14">
        <f t="shared" si="43"/>
        <v>21.788939637935243</v>
      </c>
      <c r="DR23" s="22">
        <f t="shared" si="16"/>
        <v>174.8043598694039</v>
      </c>
      <c r="DS23" s="62">
        <f t="shared" si="17"/>
        <v>391.31906275629962</v>
      </c>
      <c r="DT23" s="62">
        <f ca="1">AVERAGE(OFFSET($DS$3,0,0,'Données projet'!$E$14+1,1))-AVERAGE(OFFSET($H$3,0,0,'Données projet'!$E$14+1,1))</f>
        <v>638.58602907610805</v>
      </c>
      <c r="DU23" s="62">
        <f t="shared" si="44"/>
        <v>341.9250949809848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116.926</v>
      </c>
      <c r="EH23" s="13">
        <f>VLOOKUP(A23,'Données projet'!$A$191:$I$211,9,0)</f>
        <v>17.39100000000002</v>
      </c>
      <c r="EI23" s="13">
        <f t="array" ref="EI23">INDEX(EH:EH,MIN(IF(ISNUMBER(EH23:EH219),ROW(EH23:EH219),"")))</f>
        <v>17.39100000000002</v>
      </c>
      <c r="EJ23" s="13">
        <f>IF('Données projet'!$A$192&gt;35,EJ22+EI23-ER22,IF(A23&lt;'Données projet'!$A$192,$EG$205^A23,IF(A23='Données projet'!$A$192,'Données projet'!$B$192,EJ22+EI23-ER22)))</f>
        <v>116.926</v>
      </c>
      <c r="EK23" s="18">
        <f>EJ23*VLOOKUP('Données projet'!$B$15,Paramètres!$A$1:$I$89,3,0)*VLOOKUP('Données projet'!$B$15,Paramètres!$A$1:$I$89,5,0)</f>
        <v>69.921748000000008</v>
      </c>
      <c r="EL23" s="14">
        <f t="shared" si="45"/>
        <v>19.654023576993847</v>
      </c>
      <c r="EM23" s="22">
        <f t="shared" si="19"/>
        <v>156.01113549659763</v>
      </c>
      <c r="EN23" s="62">
        <f t="shared" si="20"/>
        <v>372.52583838349335</v>
      </c>
      <c r="EO23" s="62">
        <f ca="1">AVERAGE(OFFSET($EN$3,0,0,'Données projet'!$E$15+1,1))-AVERAGE(OFFSET($H$3,0,0,'Données projet'!$E$15+1,1))</f>
        <v>223.57443551076992</v>
      </c>
      <c r="EP23" s="62">
        <f t="shared" si="46"/>
        <v>382.12751862619427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3.0521613160023509</v>
      </c>
      <c r="EW23" s="23">
        <f>EXP(-LN(2)/25)*EW22+(1-EXP(-LN(2)/25))/(LN(2)/25)*Calculateur!ER23*Calculateur!ET23*VLOOKUP('Données projet'!$B$15,Paramètres!$A$1:$I$89,3,0)*0.475*44/12</f>
        <v>7.9306816253044961</v>
      </c>
      <c r="EX23" s="23">
        <f>EXP(-LN(2)/2)*EX22+(1-EXP(-LN(2)/2))/(LN(2)/2)*ER23*EU23*VLOOKUP('Données projet'!$B$15,Paramètres!$A$1:$I$89,3,0)*0.475*44/12</f>
        <v>7.2870659348229019</v>
      </c>
      <c r="EY23" s="24">
        <f t="shared" si="21"/>
        <v>18.269908876129747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34.9</v>
      </c>
      <c r="FC23" s="13">
        <f>VLOOKUP(A23,'Données projet'!$A$217:$I$237,9,0)</f>
        <v>1.9558333333333331</v>
      </c>
      <c r="FD23" s="13">
        <f t="array" ref="FD23">INDEX(FC:FC,MIN(IF(ISNUMBER(FC23:FC219),ROW(FC23:FC219),"")))</f>
        <v>1.9558333333333331</v>
      </c>
      <c r="FE23" s="13">
        <f>IF('Données projet'!$A$218&gt;35,FE22+FD23-FM22,IF(A23&lt;'Données projet'!$A$218,$FB$205^A23,IF(A23='Données projet'!$A$218,'Données projet'!$B$218,FE22+FD23-FM22)))</f>
        <v>34.900000000000006</v>
      </c>
      <c r="FF23" s="18">
        <f>FE23*VLOOKUP('Données projet'!$B$16,Paramètres!$A$1:$I$89,3,0)*VLOOKUP('Données projet'!$B$16,Paramètres!$A$1:$I$89,5,0)</f>
        <v>40.204800000000006</v>
      </c>
      <c r="FG23" s="14">
        <f t="shared" si="47"/>
        <v>12.052913024749227</v>
      </c>
      <c r="FH23" s="22">
        <f t="shared" si="22"/>
        <v>91.01551685143825</v>
      </c>
      <c r="FI23" s="62">
        <f t="shared" si="23"/>
        <v>307.53021973833398</v>
      </c>
      <c r="FJ23" s="62">
        <f ca="1">AVERAGE(OFFSET($FI$3,0,0,'Données projet'!$E$16+1,1))-AVERAGE(OFFSET($H$3,0,0,'Données projet'!$E$16+1,1))</f>
        <v>283.95543623515323</v>
      </c>
      <c r="FK23" s="62">
        <f t="shared" si="48"/>
        <v>196.96883829830929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116.926</v>
      </c>
      <c r="FX23" s="13">
        <f>VLOOKUP(A23,'Données projet'!$A$243:$I$263,9,0)</f>
        <v>17.39100000000002</v>
      </c>
      <c r="FY23" s="13">
        <f t="array" ref="FY23">INDEX(FX:FX,MIN(IF(ISNUMBER(FX23:FX219),ROW(FX23:FX219),"")))</f>
        <v>17.39100000000002</v>
      </c>
      <c r="FZ23" s="13">
        <f>IF('Données projet'!$A$244&gt;35,FZ22+FY23-GH22,IF(A23&lt;'Données projet'!$A$244,$FW$205^A23,IF(A23='Données projet'!$A$244,'Données projet'!$B$244,FZ22+FY23-GH22)))</f>
        <v>116.926</v>
      </c>
      <c r="GA23" s="18">
        <f>FZ23*VLOOKUP('Données projet'!$B$17,Paramètres!$A$1:$I$89,3,0)*VLOOKUP('Données projet'!$B$17,Paramètres!$A$1:$I$89,5,0)</f>
        <v>69.921748000000008</v>
      </c>
      <c r="GB23" s="14">
        <f t="shared" si="49"/>
        <v>19.654023576993847</v>
      </c>
      <c r="GC23" s="22">
        <f t="shared" si="25"/>
        <v>156.01113549659763</v>
      </c>
      <c r="GD23" s="62">
        <f t="shared" si="26"/>
        <v>372.52583838349335</v>
      </c>
      <c r="GE23" s="62">
        <f ca="1">AVERAGE(OFFSET($GD$3,0,0,'Données projet'!$E$17+1,1))-AVERAGE(OFFSET($H$3,0,0,'Données projet'!$E$17+1,1))</f>
        <v>223.57443551076992</v>
      </c>
      <c r="GF23" s="62">
        <f t="shared" si="50"/>
        <v>382.12751862619427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3.0521613160023509</v>
      </c>
      <c r="GM23" s="23">
        <f>EXP(-LN(2)/25)*GM22+(1-EXP(-LN(2)/25))/(LN(2)/25)*Calculateur!GH23*Calculateur!GJ23*VLOOKUP('Données projet'!$B$17,Paramètres!$A$1:$I$89,3,0)*0.475*44/12</f>
        <v>7.9306816253044961</v>
      </c>
      <c r="GN23" s="23">
        <f>EXP(-LN(2)/2)*GN22+(1-EXP(-LN(2)/2))/(LN(2)/2)*GH23*GK23*VLOOKUP('Données projet'!$B$17,Paramètres!$A$1:$I$89,3,0)*0.475*44/12</f>
        <v>7.2870659348229019</v>
      </c>
      <c r="GO23" s="23">
        <f t="shared" si="27"/>
        <v>18.269908876129747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2.7411833378046713</v>
      </c>
      <c r="GU23" s="13">
        <f>IF('Données projet'!$A$270&gt;35,GU22+GT23-HC22,IF(A23&lt;'Données projet'!$A$270,$GR$205^A23,IF(A23='Données projet'!$A$270,'Données projet'!$B$270,GU22+GT23-HC22)))</f>
        <v>29.424051605520795</v>
      </c>
      <c r="GV23" s="18">
        <f>GU23*VLOOKUP('Données projet'!$B$18,Paramètres!$A$1:$I$89,3,0)*VLOOKUP('Données projet'!$B$18,Paramètres!$A$1:$I$89,5,0)</f>
        <v>32.131064353228709</v>
      </c>
      <c r="GW23" s="14">
        <f t="shared" si="51"/>
        <v>9.8871493355409363</v>
      </c>
      <c r="GX23" s="22">
        <f t="shared" si="28"/>
        <v>73.181722174607145</v>
      </c>
      <c r="GY23" s="62">
        <f t="shared" si="29"/>
        <v>289.69642506150285</v>
      </c>
      <c r="GZ23" s="62">
        <f ca="1">AVERAGE(OFFSET($GY$3,0,0,'Données projet'!$E$18+1,1))-AVERAGE(OFFSET($H$3,0,0,'Données projet'!$E$18+1,1))</f>
        <v>754.33260592777049</v>
      </c>
      <c r="HA23" s="62">
        <f t="shared" si="52"/>
        <v>250.97643915279005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9">
        <f t="shared" si="1"/>
        <v>183.33333333333334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380.61316079416974</v>
      </c>
      <c r="S24" s="62">
        <f ca="1">AVERAGE(OFFSET($R$3,0,0,'Données projet'!$E$9+1,1))-AVERAGE(OFFSET($H$3,0,0,'Données projet'!$E$9+1,1))</f>
        <v>550.39292625253665</v>
      </c>
      <c r="T24" s="62">
        <f t="shared" si="34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80.2</v>
      </c>
      <c r="AJ24" s="14">
        <f>AI24*VLOOKUP('Données projet'!$B$10,Paramètres!$A$1:$I$89,3,0)*VLOOKUP('Données projet'!$B$10,Paramètres!$A$1:$I$89,5,0)</f>
        <v>81.322800000000001</v>
      </c>
      <c r="AK24" s="14">
        <f t="shared" si="35"/>
        <v>22.460306254032997</v>
      </c>
      <c r="AL24" s="22">
        <f t="shared" si="4"/>
        <v>180.75557672577415</v>
      </c>
      <c r="AM24" s="62">
        <f t="shared" si="5"/>
        <v>399.61310510164856</v>
      </c>
      <c r="AN24" s="62">
        <f ca="1">AVERAGE(OFFSET($AM$3,0,0,'Données projet'!$E$10+1,1))-AVERAGE(OFFSET($H$3,0,0,'Données projet'!$E$10+1,1))</f>
        <v>606.55142836375308</v>
      </c>
      <c r="AO24" s="62">
        <f t="shared" si="36"/>
        <v>325.72635759450861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8.2051282051282044</v>
      </c>
      <c r="BD24" s="13">
        <f>IF('Données projet'!$A$88&gt;35,BD23+BC24-BL23,IF(A24&lt;'Données projet'!$A$88,$BA$205^A24,IF(A24='Données projet'!$A$88,'Données projet'!$B$88,BD23+BC24-BL23)))</f>
        <v>87.692307692307679</v>
      </c>
      <c r="BE24" s="14">
        <f>BD24*VLOOKUP('Données projet'!$B$11,Paramètres!$A$1:$I$89,3,0)*VLOOKUP('Données projet'!$B$11,Paramètres!$A$1:$I$89,5,0)</f>
        <v>91.655999999999992</v>
      </c>
      <c r="BF24" s="14">
        <f t="shared" si="37"/>
        <v>24.964187521971716</v>
      </c>
      <c r="BG24" s="22">
        <f t="shared" si="7"/>
        <v>203.11349326743402</v>
      </c>
      <c r="BH24" s="62">
        <f t="shared" si="8"/>
        <v>421.9710216433084</v>
      </c>
      <c r="BI24" s="62">
        <f ca="1">AVERAGE(OFFSET($BH$3,0,0,'Données projet'!$E$11+1,1))-AVERAGE(OFFSET($H$3,0,0,'Données projet'!$E$11+1,1))</f>
        <v>635.13577238794812</v>
      </c>
      <c r="BJ24" s="62">
        <f t="shared" si="38"/>
        <v>374.35810525172019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37</v>
      </c>
      <c r="BY24" s="13">
        <f>IF('Données projet'!$A$114&gt;35,BY23+BX24-CG23,IF(A24&lt;'Données projet'!$A$114,$BV$205^A24,IF(A24='Données projet'!$A$114,'Données projet'!$B$114,BY23+BX24-CG23)))</f>
        <v>166</v>
      </c>
      <c r="BZ24" s="14">
        <f>BY24*VLOOKUP('Données projet'!$B$12,Paramètres!$A$1:$I$89,3,0)*VLOOKUP('Données projet'!$B$12,Paramètres!$A$1:$I$89,5,0)</f>
        <v>73.372000000000014</v>
      </c>
      <c r="CA24" s="14">
        <f t="shared" si="39"/>
        <v>20.508537381561172</v>
      </c>
      <c r="CB24" s="22">
        <f t="shared" si="10"/>
        <v>163.50860260621906</v>
      </c>
      <c r="CC24" s="62">
        <f t="shared" si="11"/>
        <v>382.36613098209341</v>
      </c>
      <c r="CD24" s="62">
        <f ca="1">AVERAGE(OFFSET($CC$3,0,0,'Données projet'!$E$12+1,1))-AVERAGE(OFFSET($H$3,0,0,'Données projet'!$E$12+1,1))</f>
        <v>580.02817743695846</v>
      </c>
      <c r="CE24" s="62">
        <f t="shared" si="40"/>
        <v>551.23515633208865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4.9084615384615384</v>
      </c>
      <c r="CT24" s="13">
        <f>IF('Données projet'!$A$140&gt;35,CT23+CS24-DB23,IF(A24&lt;'Données projet'!$A$140,$CQ$205^A24,IF(A24='Données projet'!$A$140,'Données projet'!$B$140,CT23+CS24-DB23)))</f>
        <v>32.934164692174789</v>
      </c>
      <c r="CU24" s="18">
        <f>CT24*VLOOKUP('Données projet'!$B$13,Paramètres!$A$1:$I$89,3,0)*VLOOKUP('Données projet'!$B$13,Paramètres!$A$1:$I$89,5,0)</f>
        <v>15.413189075937803</v>
      </c>
      <c r="CV24" s="14">
        <f t="shared" si="41"/>
        <v>5.166231738662507</v>
      </c>
      <c r="CW24" s="22">
        <f t="shared" si="13"/>
        <v>35.842491252095542</v>
      </c>
      <c r="CX24" s="62">
        <f t="shared" si="14"/>
        <v>254.70001962796994</v>
      </c>
      <c r="CY24" s="62">
        <f ca="1">AVERAGE(OFFSET($CX$3,0,0,'Données projet'!$E$13+1,1))-AVERAGE(OFFSET($H$3,0,0,'Données projet'!$E$13+1,1))</f>
        <v>321.05795935196863</v>
      </c>
      <c r="CZ24" s="62">
        <f t="shared" si="42"/>
        <v>209.59551322748908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IF('Données projet'!$A$166&gt;35,DO23+DN24-DW23,IF(A24&lt;'Données projet'!$A$166,$DL$205^A24,IF(A24='Données projet'!$A$166,'Données projet'!$B$166,DO23+DN24-DW23)))</f>
        <v>80.2</v>
      </c>
      <c r="DP24" s="18">
        <f>DO24*VLOOKUP('Données projet'!$B$14,Paramètres!$A$1:$I$89,3,0)*VLOOKUP('Données projet'!$B$14,Paramètres!$A$1:$I$89,5,0)</f>
        <v>86.327280000000002</v>
      </c>
      <c r="DQ24" s="14">
        <f t="shared" si="43"/>
        <v>23.677316983408026</v>
      </c>
      <c r="DR24" s="22">
        <f t="shared" si="16"/>
        <v>191.59133974610231</v>
      </c>
      <c r="DS24" s="62">
        <f t="shared" si="17"/>
        <v>410.44886812197672</v>
      </c>
      <c r="DT24" s="62">
        <f ca="1">AVERAGE(OFFSET($DS$3,0,0,'Données projet'!$E$14+1,1))-AVERAGE(OFFSET($H$3,0,0,'Données projet'!$E$14+1,1))</f>
        <v>638.58602907610805</v>
      </c>
      <c r="DU24" s="62">
        <f t="shared" si="44"/>
        <v>341.9250949809848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>
        <f>VLOOKUP(A24,'Données projet'!$A$191:$I$211,2,0)</f>
        <v>134.99699999999999</v>
      </c>
      <c r="EH24" s="13">
        <f>VLOOKUP(A24,'Données projet'!$A$191:$I$211,9,0)</f>
        <v>18.070999999999984</v>
      </c>
      <c r="EI24" s="13">
        <f t="array" ref="EI24">INDEX(EH:EH,MIN(IF(ISNUMBER(EH24:EH220),ROW(EH24:EH220),"")))</f>
        <v>18.070999999999984</v>
      </c>
      <c r="EJ24" s="13">
        <f>IF('Données projet'!$A$192&gt;35,EJ23+EI24-ER23,IF(A24&lt;'Données projet'!$A$192,$EG$205^A24,IF(A24='Données projet'!$A$192,'Données projet'!$B$192,EJ23+EI24-ER23)))</f>
        <v>134.99699999999999</v>
      </c>
      <c r="EK24" s="18">
        <f>EJ24*VLOOKUP('Données projet'!$B$15,Paramètres!$A$1:$I$89,3,0)*VLOOKUP('Données projet'!$B$15,Paramètres!$A$1:$I$89,5,0)</f>
        <v>80.728206</v>
      </c>
      <c r="EL24" s="14">
        <f t="shared" si="45"/>
        <v>22.315140273766989</v>
      </c>
      <c r="EM24" s="22">
        <f t="shared" si="19"/>
        <v>179.4671614268108</v>
      </c>
      <c r="EN24" s="62">
        <f t="shared" si="20"/>
        <v>398.32468980268516</v>
      </c>
      <c r="EO24" s="62">
        <f ca="1">AVERAGE(OFFSET($EN$3,0,0,'Données projet'!$E$15+1,1))-AVERAGE(OFFSET($H$3,0,0,'Données projet'!$E$15+1,1))</f>
        <v>223.57443551076992</v>
      </c>
      <c r="EP24" s="62">
        <f t="shared" si="46"/>
        <v>382.12751862619427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2.9923102942301263</v>
      </c>
      <c r="EW24" s="23">
        <f>EXP(-LN(2)/25)*EW23+(1-EXP(-LN(2)/25))/(LN(2)/25)*Calculateur!ER24*Calculateur!ET24*VLOOKUP('Données projet'!$B$15,Paramètres!$A$1:$I$89,3,0)*0.475*44/12</f>
        <v>7.7138167192041234</v>
      </c>
      <c r="EX24" s="23">
        <f>EXP(-LN(2)/2)*EX23+(1-EXP(-LN(2)/2))/(LN(2)/2)*ER24*EU24*VLOOKUP('Données projet'!$B$15,Paramètres!$A$1:$I$89,3,0)*0.475*44/12</f>
        <v>5.1527337374667628</v>
      </c>
      <c r="EY24" s="24">
        <f t="shared" si="21"/>
        <v>15.858860750901012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1.9887500000000002</v>
      </c>
      <c r="FE24" s="13">
        <f>IF('Données projet'!$A$218&gt;35,FE23+FD24-FM23,IF(A24&lt;'Données projet'!$A$218,$FB$205^A24,IF(A24='Données projet'!$A$218,'Données projet'!$B$218,FE23+FD24-FM23)))</f>
        <v>36.888750000000009</v>
      </c>
      <c r="FF24" s="18">
        <f>FE24*VLOOKUP('Données projet'!$B$16,Paramètres!$A$1:$I$89,3,0)*VLOOKUP('Données projet'!$B$16,Paramètres!$A$1:$I$89,5,0)</f>
        <v>42.495840000000008</v>
      </c>
      <c r="FG24" s="14">
        <f t="shared" si="47"/>
        <v>12.657821296361272</v>
      </c>
      <c r="FH24" s="22">
        <f t="shared" si="22"/>
        <v>96.059293424495877</v>
      </c>
      <c r="FI24" s="62">
        <f t="shared" si="23"/>
        <v>314.91682180037026</v>
      </c>
      <c r="FJ24" s="62">
        <f ca="1">AVERAGE(OFFSET($FI$3,0,0,'Données projet'!$E$16+1,1))-AVERAGE(OFFSET($H$3,0,0,'Données projet'!$E$16+1,1))</f>
        <v>283.95543623515323</v>
      </c>
      <c r="FK24" s="62">
        <f t="shared" si="48"/>
        <v>196.96883829830929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>
        <f>VLOOKUP(A24,'Données projet'!$A$243:$I$263,2,0)</f>
        <v>134.99699999999999</v>
      </c>
      <c r="FX24" s="13">
        <f>VLOOKUP(A24,'Données projet'!$A$243:$I$263,9,0)</f>
        <v>18.070999999999984</v>
      </c>
      <c r="FY24" s="13">
        <f t="array" ref="FY24">INDEX(FX:FX,MIN(IF(ISNUMBER(FX24:FX220),ROW(FX24:FX220),"")))</f>
        <v>18.070999999999984</v>
      </c>
      <c r="FZ24" s="13">
        <f>IF('Données projet'!$A$244&gt;35,FZ23+FY24-GH23,IF(A24&lt;'Données projet'!$A$244,$FW$205^A24,IF(A24='Données projet'!$A$244,'Données projet'!$B$244,FZ23+FY24-GH23)))</f>
        <v>134.99699999999999</v>
      </c>
      <c r="GA24" s="18">
        <f>FZ24*VLOOKUP('Données projet'!$B$17,Paramètres!$A$1:$I$89,3,0)*VLOOKUP('Données projet'!$B$17,Paramètres!$A$1:$I$89,5,0)</f>
        <v>80.728206</v>
      </c>
      <c r="GB24" s="14">
        <f t="shared" si="49"/>
        <v>22.315140273766989</v>
      </c>
      <c r="GC24" s="22">
        <f t="shared" si="25"/>
        <v>179.4671614268108</v>
      </c>
      <c r="GD24" s="62">
        <f t="shared" si="26"/>
        <v>398.32468980268516</v>
      </c>
      <c r="GE24" s="62">
        <f ca="1">AVERAGE(OFFSET($GD$3,0,0,'Données projet'!$E$17+1,1))-AVERAGE(OFFSET($H$3,0,0,'Données projet'!$E$17+1,1))</f>
        <v>223.57443551076992</v>
      </c>
      <c r="GF24" s="62">
        <f t="shared" si="50"/>
        <v>382.12751862619427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2.9923102942301263</v>
      </c>
      <c r="GM24" s="23">
        <f>EXP(-LN(2)/25)*GM23+(1-EXP(-LN(2)/25))/(LN(2)/25)*Calculateur!GH24*Calculateur!GJ24*VLOOKUP('Données projet'!$B$17,Paramètres!$A$1:$I$89,3,0)*0.475*44/12</f>
        <v>7.7138167192041234</v>
      </c>
      <c r="GN24" s="23">
        <f>EXP(-LN(2)/2)*GN23+(1-EXP(-LN(2)/2))/(LN(2)/2)*GH24*GK24*VLOOKUP('Données projet'!$B$17,Paramètres!$A$1:$I$89,3,0)*0.475*44/12</f>
        <v>5.1527337374667628</v>
      </c>
      <c r="GO24" s="23">
        <f t="shared" si="27"/>
        <v>15.858860750901012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2.7411833378046713</v>
      </c>
      <c r="GU24" s="13">
        <f>IF('Données projet'!$A$270&gt;35,GU23+GT24-HC23,IF(A24&lt;'Données projet'!$A$270,$GR$205^A24,IF(A24='Données projet'!$A$270,'Données projet'!$B$270,GU23+GT24-HC23)))</f>
        <v>34.844769602624112</v>
      </c>
      <c r="GV24" s="18">
        <f>GU24*VLOOKUP('Données projet'!$B$18,Paramètres!$A$1:$I$89,3,0)*VLOOKUP('Données projet'!$B$18,Paramètres!$A$1:$I$89,5,0)</f>
        <v>38.050488406065533</v>
      </c>
      <c r="GW24" s="14">
        <f t="shared" si="51"/>
        <v>11.480435662016626</v>
      </c>
      <c r="GX24" s="22">
        <f t="shared" si="28"/>
        <v>86.266359418576414</v>
      </c>
      <c r="GY24" s="62">
        <f t="shared" si="29"/>
        <v>305.12388779445081</v>
      </c>
      <c r="GZ24" s="62">
        <f ca="1">AVERAGE(OFFSET($GY$3,0,0,'Données projet'!$E$18+1,1))-AVERAGE(OFFSET($H$3,0,0,'Données projet'!$E$18+1,1))</f>
        <v>754.33260592777049</v>
      </c>
      <c r="HA24" s="62">
        <f t="shared" si="52"/>
        <v>250.97643915279005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9">
        <f t="shared" si="1"/>
        <v>183.33333333333334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397.07442673574354</v>
      </c>
      <c r="S25" s="62">
        <f ca="1">AVERAGE(OFFSET($R$3,0,0,'Données projet'!$E$9+1,1))-AVERAGE(OFFSET($H$3,0,0,'Données projet'!$E$9+1,1))</f>
        <v>550.39292625253665</v>
      </c>
      <c r="T25" s="62">
        <f t="shared" si="34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87.4</v>
      </c>
      <c r="AJ25" s="14">
        <f>AI25*VLOOKUP('Données projet'!$B$10,Paramètres!$A$1:$I$89,3,0)*VLOOKUP('Données projet'!$B$10,Paramètres!$A$1:$I$89,5,0)</f>
        <v>88.62360000000001</v>
      </c>
      <c r="AK25" s="14">
        <f t="shared" si="35"/>
        <v>24.232973298845781</v>
      </c>
      <c r="AL25" s="22">
        <f t="shared" si="4"/>
        <v>196.55853182882308</v>
      </c>
      <c r="AM25" s="62">
        <f t="shared" si="5"/>
        <v>417.73944573229147</v>
      </c>
      <c r="AN25" s="62">
        <f ca="1">AVERAGE(OFFSET($AM$3,0,0,'Données projet'!$E$10+1,1))-AVERAGE(OFFSET($H$3,0,0,'Données projet'!$E$10+1,1))</f>
        <v>606.55142836375308</v>
      </c>
      <c r="AO25" s="62">
        <f t="shared" si="36"/>
        <v>325.72635759450861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8.2051282051282044</v>
      </c>
      <c r="BD25" s="13">
        <f>IF('Données projet'!$A$88&gt;35,BD24+BC25-BL24,IF(A25&lt;'Données projet'!$A$88,$BA$205^A25,IF(A25='Données projet'!$A$88,'Données projet'!$B$88,BD24+BC25-BL24)))</f>
        <v>95.897435897435884</v>
      </c>
      <c r="BE25" s="14">
        <f>BD25*VLOOKUP('Données projet'!$B$11,Paramètres!$A$1:$I$89,3,0)*VLOOKUP('Données projet'!$B$11,Paramètres!$A$1:$I$89,5,0)</f>
        <v>100.232</v>
      </c>
      <c r="BF25" s="14">
        <f t="shared" si="37"/>
        <v>27.017260892699795</v>
      </c>
      <c r="BG25" s="22">
        <f t="shared" si="7"/>
        <v>221.62579605478547</v>
      </c>
      <c r="BH25" s="62">
        <f t="shared" si="8"/>
        <v>442.80670995825386</v>
      </c>
      <c r="BI25" s="62">
        <f ca="1">AVERAGE(OFFSET($BH$3,0,0,'Données projet'!$E$11+1,1))-AVERAGE(OFFSET($H$3,0,0,'Données projet'!$E$11+1,1))</f>
        <v>635.13577238794812</v>
      </c>
      <c r="BJ25" s="62">
        <f t="shared" si="38"/>
        <v>374.35810525172019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37</v>
      </c>
      <c r="BY25" s="13">
        <f>IF('Données projet'!$A$114&gt;35,BY24+BX25-CG24,IF(A25&lt;'Données projet'!$A$114,$BV$205^A25,IF(A25='Données projet'!$A$114,'Données projet'!$B$114,BY24+BX25-CG24)))</f>
        <v>203</v>
      </c>
      <c r="BZ25" s="14">
        <f>BY25*VLOOKUP('Données projet'!$B$12,Paramètres!$A$1:$I$89,3,0)*VLOOKUP('Données projet'!$B$12,Paramètres!$A$1:$I$89,5,0)</f>
        <v>89.726000000000013</v>
      </c>
      <c r="CA25" s="14">
        <f t="shared" si="39"/>
        <v>24.49913106964339</v>
      </c>
      <c r="CB25" s="22">
        <f t="shared" si="10"/>
        <v>198.9421032796289</v>
      </c>
      <c r="CC25" s="62">
        <f t="shared" si="11"/>
        <v>420.12301718309732</v>
      </c>
      <c r="CD25" s="62">
        <f ca="1">AVERAGE(OFFSET($CC$3,0,0,'Données projet'!$E$12+1,1))-AVERAGE(OFFSET($H$3,0,0,'Données projet'!$E$12+1,1))</f>
        <v>580.02817743695846</v>
      </c>
      <c r="CE25" s="62">
        <f t="shared" si="40"/>
        <v>551.23515633208865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4.9084615384615384</v>
      </c>
      <c r="CT25" s="13">
        <f>IF('Données projet'!$A$140&gt;35,CT24+CS25-DB24,IF(A25&lt;'Données projet'!$A$140,$CQ$205^A25,IF(A25='Données projet'!$A$140,'Données projet'!$B$140,CT24+CS25-DB24)))</f>
        <v>38.896949331432715</v>
      </c>
      <c r="CU25" s="18">
        <f>CT25*VLOOKUP('Données projet'!$B$13,Paramètres!$A$1:$I$89,3,0)*VLOOKUP('Données projet'!$B$13,Paramètres!$A$1:$I$89,5,0)</f>
        <v>18.20377228711051</v>
      </c>
      <c r="CV25" s="14">
        <f t="shared" si="41"/>
        <v>5.9845386042761088</v>
      </c>
      <c r="CW25" s="22">
        <f t="shared" si="13"/>
        <v>42.127974802498365</v>
      </c>
      <c r="CX25" s="62">
        <f t="shared" si="14"/>
        <v>263.30888870596675</v>
      </c>
      <c r="CY25" s="62">
        <f ca="1">AVERAGE(OFFSET($CX$3,0,0,'Données projet'!$E$13+1,1))-AVERAGE(OFFSET($H$3,0,0,'Données projet'!$E$13+1,1))</f>
        <v>321.05795935196863</v>
      </c>
      <c r="CZ25" s="62">
        <f t="shared" si="42"/>
        <v>209.59551322748908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IF('Données projet'!$A$166&gt;35,DO24+DN25-DW24,IF(A25&lt;'Données projet'!$A$166,$DL$205^A25,IF(A25='Données projet'!$A$166,'Données projet'!$B$166,DO24+DN25-DW24)))</f>
        <v>87.4</v>
      </c>
      <c r="DP25" s="18">
        <f>DO25*VLOOKUP('Données projet'!$B$14,Paramètres!$A$1:$I$89,3,0)*VLOOKUP('Données projet'!$B$14,Paramètres!$A$1:$I$89,5,0)</f>
        <v>94.077359999999999</v>
      </c>
      <c r="DQ25" s="14">
        <f t="shared" si="43"/>
        <v>25.546035915881891</v>
      </c>
      <c r="DR25" s="22">
        <f t="shared" si="16"/>
        <v>208.34408122016092</v>
      </c>
      <c r="DS25" s="62">
        <f t="shared" si="17"/>
        <v>429.52499512362931</v>
      </c>
      <c r="DT25" s="62">
        <f ca="1">AVERAGE(OFFSET($DS$3,0,0,'Données projet'!$E$14+1,1))-AVERAGE(OFFSET($H$3,0,0,'Données projet'!$E$14+1,1))</f>
        <v>638.58602907610805</v>
      </c>
      <c r="DU25" s="62">
        <f t="shared" si="44"/>
        <v>341.9250949809848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>
        <f>VLOOKUP(A25,'Données projet'!$A$191:$I$211,2,0)</f>
        <v>153.935</v>
      </c>
      <c r="EH25" s="13">
        <f>VLOOKUP(A25,'Données projet'!$A$191:$I$211,9,0)</f>
        <v>18.938000000000017</v>
      </c>
      <c r="EI25" s="13">
        <f t="array" ref="EI25">INDEX(EH:EH,MIN(IF(ISNUMBER(EH25:EH221),ROW(EH25:EH221),"")))</f>
        <v>18.938000000000017</v>
      </c>
      <c r="EJ25" s="13">
        <f>IF('Données projet'!$A$192&gt;35,EJ24+EI25-ER24,IF(A25&lt;'Données projet'!$A$192,$EG$205^A25,IF(A25='Données projet'!$A$192,'Données projet'!$B$192,EJ24+EI25-ER24)))</f>
        <v>153.935</v>
      </c>
      <c r="EK25" s="18">
        <f>EJ25*VLOOKUP('Données projet'!$B$15,Paramètres!$A$1:$I$89,3,0)*VLOOKUP('Données projet'!$B$15,Paramètres!$A$1:$I$89,5,0)</f>
        <v>92.05313000000001</v>
      </c>
      <c r="EL25" s="14">
        <f t="shared" si="45"/>
        <v>25.059738598655201</v>
      </c>
      <c r="EM25" s="22">
        <f t="shared" si="19"/>
        <v>203.97157947599115</v>
      </c>
      <c r="EN25" s="62">
        <f t="shared" si="20"/>
        <v>425.15249337945954</v>
      </c>
      <c r="EO25" s="62">
        <f ca="1">AVERAGE(OFFSET($EN$3,0,0,'Données projet'!$E$15+1,1))-AVERAGE(OFFSET($H$3,0,0,'Données projet'!$E$15+1,1))</f>
        <v>223.57443551076992</v>
      </c>
      <c r="EP25" s="62">
        <f t="shared" si="46"/>
        <v>382.12751862619427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2.9336329144893365</v>
      </c>
      <c r="EW25" s="23">
        <f>EXP(-LN(2)/25)*EW24+(1-EXP(-LN(2)/25))/(LN(2)/25)*Calculateur!ER25*Calculateur!ET25*VLOOKUP('Données projet'!$B$15,Paramètres!$A$1:$I$89,3,0)*0.475*44/12</f>
        <v>7.5028819953654953</v>
      </c>
      <c r="EX25" s="23">
        <f>EXP(-LN(2)/2)*EX24+(1-EXP(-LN(2)/2))/(LN(2)/2)*ER25*EU25*VLOOKUP('Données projet'!$B$15,Paramètres!$A$1:$I$89,3,0)*0.475*44/12</f>
        <v>3.6435329674114518</v>
      </c>
      <c r="EY25" s="24">
        <f t="shared" si="21"/>
        <v>14.080047877266285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1.9887500000000002</v>
      </c>
      <c r="FE25" s="13">
        <f>IF('Données projet'!$A$218&gt;35,FE24+FD25-FM24,IF(A25&lt;'Données projet'!$A$218,$FB$205^A25,IF(A25='Données projet'!$A$218,'Données projet'!$B$218,FE24+FD25-FM24)))</f>
        <v>38.877500000000012</v>
      </c>
      <c r="FF25" s="18">
        <f>FE25*VLOOKUP('Données projet'!$B$16,Paramètres!$A$1:$I$89,3,0)*VLOOKUP('Données projet'!$B$16,Paramètres!$A$1:$I$89,5,0)</f>
        <v>44.786880000000011</v>
      </c>
      <c r="FG25" s="14">
        <f t="shared" si="47"/>
        <v>13.258943495431026</v>
      </c>
      <c r="FH25" s="22">
        <f t="shared" si="22"/>
        <v>101.09647592120905</v>
      </c>
      <c r="FI25" s="62">
        <f t="shared" si="23"/>
        <v>322.27738982467747</v>
      </c>
      <c r="FJ25" s="62">
        <f ca="1">AVERAGE(OFFSET($FI$3,0,0,'Données projet'!$E$16+1,1))-AVERAGE(OFFSET($H$3,0,0,'Données projet'!$E$16+1,1))</f>
        <v>283.95543623515323</v>
      </c>
      <c r="FK25" s="62">
        <f t="shared" si="48"/>
        <v>196.96883829830929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>
        <f>VLOOKUP(A25,'Données projet'!$A$243:$I$263,2,0)</f>
        <v>153.935</v>
      </c>
      <c r="FX25" s="13">
        <f>VLOOKUP(A25,'Données projet'!$A$243:$I$263,9,0)</f>
        <v>18.938000000000017</v>
      </c>
      <c r="FY25" s="13">
        <f t="array" ref="FY25">INDEX(FX:FX,MIN(IF(ISNUMBER(FX25:FX221),ROW(FX25:FX221),"")))</f>
        <v>18.938000000000017</v>
      </c>
      <c r="FZ25" s="13">
        <f>IF('Données projet'!$A$244&gt;35,FZ24+FY25-GH24,IF(A25&lt;'Données projet'!$A$244,$FW$205^A25,IF(A25='Données projet'!$A$244,'Données projet'!$B$244,FZ24+FY25-GH24)))</f>
        <v>153.935</v>
      </c>
      <c r="GA25" s="18">
        <f>FZ25*VLOOKUP('Données projet'!$B$17,Paramètres!$A$1:$I$89,3,0)*VLOOKUP('Données projet'!$B$17,Paramètres!$A$1:$I$89,5,0)</f>
        <v>92.05313000000001</v>
      </c>
      <c r="GB25" s="14">
        <f t="shared" si="49"/>
        <v>25.059738598655201</v>
      </c>
      <c r="GC25" s="22">
        <f t="shared" si="25"/>
        <v>203.97157947599115</v>
      </c>
      <c r="GD25" s="62">
        <f t="shared" si="26"/>
        <v>425.15249337945954</v>
      </c>
      <c r="GE25" s="62">
        <f ca="1">AVERAGE(OFFSET($GD$3,0,0,'Données projet'!$E$17+1,1))-AVERAGE(OFFSET($H$3,0,0,'Données projet'!$E$17+1,1))</f>
        <v>223.57443551076992</v>
      </c>
      <c r="GF25" s="62">
        <f t="shared" si="50"/>
        <v>382.12751862619427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2.9336329144893365</v>
      </c>
      <c r="GM25" s="23">
        <f>EXP(-LN(2)/25)*GM24+(1-EXP(-LN(2)/25))/(LN(2)/25)*Calculateur!GH25*Calculateur!GJ25*VLOOKUP('Données projet'!$B$17,Paramètres!$A$1:$I$89,3,0)*0.475*44/12</f>
        <v>7.5028819953654953</v>
      </c>
      <c r="GN25" s="23">
        <f>EXP(-LN(2)/2)*GN24+(1-EXP(-LN(2)/2))/(LN(2)/2)*GH25*GK25*VLOOKUP('Données projet'!$B$17,Paramètres!$A$1:$I$89,3,0)*0.475*44/12</f>
        <v>3.6435329674114518</v>
      </c>
      <c r="GO25" s="23">
        <f t="shared" si="27"/>
        <v>14.080047877266285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2.7411833378046713</v>
      </c>
      <c r="GU25" s="13">
        <f>IF('Données projet'!$A$270&gt;35,GU24+GT25-HC24,IF(A25&lt;'Données projet'!$A$270,$GR$205^A25,IF(A25='Données projet'!$A$270,'Données projet'!$B$270,GU24+GT25-HC24)))</f>
        <v>41.264132653714711</v>
      </c>
      <c r="GV25" s="18">
        <f>GU25*VLOOKUP('Données projet'!$B$18,Paramètres!$A$1:$I$89,3,0)*VLOOKUP('Données projet'!$B$18,Paramètres!$A$1:$I$89,5,0)</f>
        <v>45.060432857856462</v>
      </c>
      <c r="GW25" s="14">
        <f t="shared" si="51"/>
        <v>13.330475601893212</v>
      </c>
      <c r="GX25" s="22">
        <f t="shared" si="28"/>
        <v>101.69749890073068</v>
      </c>
      <c r="GY25" s="62">
        <f t="shared" si="29"/>
        <v>322.87841280419906</v>
      </c>
      <c r="GZ25" s="62">
        <f ca="1">AVERAGE(OFFSET($GY$3,0,0,'Données projet'!$E$18+1,1))-AVERAGE(OFFSET($H$3,0,0,'Données projet'!$E$18+1,1))</f>
        <v>754.33260592777049</v>
      </c>
      <c r="HA25" s="62">
        <f t="shared" si="52"/>
        <v>250.97643915279005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9">
        <f t="shared" si="1"/>
        <v>183.33333333333334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413.48991652332273</v>
      </c>
      <c r="S26" s="62">
        <f ca="1">AVERAGE(OFFSET($R$3,0,0,'Données projet'!$E$9+1,1))-AVERAGE(OFFSET($H$3,0,0,'Données projet'!$E$9+1,1))</f>
        <v>550.39292625253665</v>
      </c>
      <c r="T26" s="62">
        <f t="shared" si="34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94.600000000000009</v>
      </c>
      <c r="AJ26" s="14">
        <f>AI26*VLOOKUP('Données projet'!$B$10,Paramètres!$A$1:$I$89,3,0)*VLOOKUP('Données projet'!$B$10,Paramètres!$A$1:$I$89,5,0)</f>
        <v>95.92440000000002</v>
      </c>
      <c r="AK26" s="14">
        <f t="shared" si="35"/>
        <v>25.988703240473907</v>
      </c>
      <c r="AL26" s="22">
        <f t="shared" si="4"/>
        <v>212.33198814382544</v>
      </c>
      <c r="AM26" s="62">
        <f t="shared" si="5"/>
        <v>435.81718485337194</v>
      </c>
      <c r="AN26" s="62">
        <f ca="1">AVERAGE(OFFSET($AM$3,0,0,'Données projet'!$E$10+1,1))-AVERAGE(OFFSET($H$3,0,0,'Données projet'!$E$10+1,1))</f>
        <v>606.55142836375308</v>
      </c>
      <c r="AO26" s="62">
        <f t="shared" si="36"/>
        <v>325.72635759450861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8.2051282051282044</v>
      </c>
      <c r="BD26" s="13">
        <f>IF('Données projet'!$A$88&gt;35,BD25+BC26-BL25,IF(A26&lt;'Données projet'!$A$88,$BA$205^A26,IF(A26='Données projet'!$A$88,'Données projet'!$B$88,BD25+BC26-BL25)))</f>
        <v>104.10256410256409</v>
      </c>
      <c r="BE26" s="14">
        <f>BD26*VLOOKUP('Données projet'!$B$11,Paramètres!$A$1:$I$89,3,0)*VLOOKUP('Données projet'!$B$11,Paramètres!$A$1:$I$89,5,0)</f>
        <v>108.80799999999999</v>
      </c>
      <c r="BF26" s="14">
        <f t="shared" si="37"/>
        <v>29.049962234935869</v>
      </c>
      <c r="BG26" s="22">
        <f t="shared" si="7"/>
        <v>240.10261755917995</v>
      </c>
      <c r="BH26" s="62">
        <f t="shared" si="8"/>
        <v>463.58781426872645</v>
      </c>
      <c r="BI26" s="62">
        <f ca="1">AVERAGE(OFFSET($BH$3,0,0,'Données projet'!$E$11+1,1))-AVERAGE(OFFSET($H$3,0,0,'Données projet'!$E$11+1,1))</f>
        <v>635.13577238794812</v>
      </c>
      <c r="BJ26" s="62">
        <f t="shared" si="38"/>
        <v>374.35810525172019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37</v>
      </c>
      <c r="BY26" s="13">
        <f>IF('Données projet'!$A$114&gt;35,BY25+BX26-CG25,IF(A26&lt;'Données projet'!$A$114,$BV$205^A26,IF(A26='Données projet'!$A$114,'Données projet'!$B$114,BY25+BX26-CG25)))</f>
        <v>240</v>
      </c>
      <c r="BZ26" s="14">
        <f>BY26*VLOOKUP('Données projet'!$B$12,Paramètres!$A$1:$I$89,3,0)*VLOOKUP('Données projet'!$B$12,Paramètres!$A$1:$I$89,5,0)</f>
        <v>106.08000000000001</v>
      </c>
      <c r="CA26" s="14">
        <f t="shared" si="39"/>
        <v>28.405460561015616</v>
      </c>
      <c r="CB26" s="22">
        <f t="shared" si="10"/>
        <v>234.22884381043556</v>
      </c>
      <c r="CC26" s="62">
        <f t="shared" si="11"/>
        <v>457.71404051998206</v>
      </c>
      <c r="CD26" s="62">
        <f ca="1">AVERAGE(OFFSET($CC$3,0,0,'Données projet'!$E$12+1,1))-AVERAGE(OFFSET($H$3,0,0,'Données projet'!$E$12+1,1))</f>
        <v>580.02817743695846</v>
      </c>
      <c r="CE26" s="62">
        <f t="shared" si="40"/>
        <v>551.23515633208865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4.9084615384615384</v>
      </c>
      <c r="CT26" s="13">
        <f>IF('Données projet'!$A$140&gt;35,CT25+CS26-DB25,IF(A26&lt;'Données projet'!$A$140,$CQ$205^A26,IF(A26='Données projet'!$A$140,'Données projet'!$B$140,CT25+CS26-DB25)))</f>
        <v>45.939305928458197</v>
      </c>
      <c r="CU26" s="18">
        <f>CT26*VLOOKUP('Données projet'!$B$13,Paramètres!$A$1:$I$89,3,0)*VLOOKUP('Données projet'!$B$13,Paramètres!$A$1:$I$89,5,0)</f>
        <v>21.499595174518436</v>
      </c>
      <c r="CV26" s="14">
        <f t="shared" si="41"/>
        <v>6.9324614376170377</v>
      </c>
      <c r="CW26" s="22">
        <f t="shared" si="13"/>
        <v>49.51916526613595</v>
      </c>
      <c r="CX26" s="62">
        <f t="shared" si="14"/>
        <v>273.00436197568246</v>
      </c>
      <c r="CY26" s="62">
        <f ca="1">AVERAGE(OFFSET($CX$3,0,0,'Données projet'!$E$13+1,1))-AVERAGE(OFFSET($H$3,0,0,'Données projet'!$E$13+1,1))</f>
        <v>321.05795935196863</v>
      </c>
      <c r="CZ26" s="62">
        <f t="shared" si="42"/>
        <v>209.59551322748908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IF('Données projet'!$A$166&gt;35,DO25+DN26-DW25,IF(A26&lt;'Données projet'!$A$166,$DL$205^A26,IF(A26='Données projet'!$A$166,'Données projet'!$B$166,DO25+DN26-DW25)))</f>
        <v>94.600000000000009</v>
      </c>
      <c r="DP26" s="18">
        <f>DO26*VLOOKUP('Données projet'!$B$14,Paramètres!$A$1:$I$89,3,0)*VLOOKUP('Données projet'!$B$14,Paramètres!$A$1:$I$89,5,0)</f>
        <v>101.82744000000001</v>
      </c>
      <c r="DQ26" s="14">
        <f t="shared" si="43"/>
        <v>27.396900008962785</v>
      </c>
      <c r="DR26" s="22">
        <f t="shared" si="16"/>
        <v>225.06572551561021</v>
      </c>
      <c r="DS26" s="62">
        <f t="shared" si="17"/>
        <v>448.55092222515668</v>
      </c>
      <c r="DT26" s="62">
        <f ca="1">AVERAGE(OFFSET($DS$3,0,0,'Données projet'!$E$14+1,1))-AVERAGE(OFFSET($H$3,0,0,'Données projet'!$E$14+1,1))</f>
        <v>638.58602907610805</v>
      </c>
      <c r="DU26" s="62">
        <f t="shared" si="44"/>
        <v>341.9250949809848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>
        <f>VLOOKUP(A26,'Données projet'!$A$191:$I$211,2,0)</f>
        <v>173.60400000000001</v>
      </c>
      <c r="EH26" s="13">
        <f>VLOOKUP(A26,'Données projet'!$A$191:$I$211,9,0)</f>
        <v>19.669000000000011</v>
      </c>
      <c r="EI26" s="13">
        <f t="array" ref="EI26">INDEX(EH:EH,MIN(IF(ISNUMBER(EH26:EH222),ROW(EH26:EH222),"")))</f>
        <v>19.669000000000011</v>
      </c>
      <c r="EJ26" s="13">
        <f>IF('Données projet'!$A$192&gt;35,EJ25+EI26-ER25,IF(A26&lt;'Données projet'!$A$192,$EG$205^A26,IF(A26='Données projet'!$A$192,'Données projet'!$B$192,EJ25+EI26-ER25)))</f>
        <v>173.60400000000001</v>
      </c>
      <c r="EK26" s="18">
        <f>EJ26*VLOOKUP('Données projet'!$B$15,Paramètres!$A$1:$I$89,3,0)*VLOOKUP('Données projet'!$B$15,Paramètres!$A$1:$I$89,5,0)</f>
        <v>103.81519200000001</v>
      </c>
      <c r="EL26" s="14">
        <f t="shared" si="45"/>
        <v>27.868924323703233</v>
      </c>
      <c r="EM26" s="22">
        <f t="shared" si="19"/>
        <v>229.34983593044981</v>
      </c>
      <c r="EN26" s="62">
        <f t="shared" si="20"/>
        <v>452.83503263999631</v>
      </c>
      <c r="EO26" s="62">
        <f ca="1">AVERAGE(OFFSET($EN$3,0,0,'Données projet'!$E$15+1,1))-AVERAGE(OFFSET($H$3,0,0,'Données projet'!$E$15+1,1))</f>
        <v>223.57443551076992</v>
      </c>
      <c r="EP26" s="62">
        <f t="shared" si="46"/>
        <v>382.12751862619427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2.8761061623755957</v>
      </c>
      <c r="EW26" s="23">
        <f>EXP(-LN(2)/25)*EW25+(1-EXP(-LN(2)/25))/(LN(2)/25)*Calculateur!ER26*Calculateur!ET26*VLOOKUP('Données projet'!$B$15,Paramètres!$A$1:$I$89,3,0)*0.475*44/12</f>
        <v>7.2977152926428097</v>
      </c>
      <c r="EX26" s="23">
        <f>EXP(-LN(2)/2)*EX25+(1-EXP(-LN(2)/2))/(LN(2)/2)*ER26*EU26*VLOOKUP('Données projet'!$B$15,Paramètres!$A$1:$I$89,3,0)*0.475*44/12</f>
        <v>2.5763668687333818</v>
      </c>
      <c r="EY26" s="24">
        <f t="shared" si="21"/>
        <v>12.750188323751788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1.9887500000000002</v>
      </c>
      <c r="FE26" s="13">
        <f>IF('Données projet'!$A$218&gt;35,FE25+FD26-FM25,IF(A26&lt;'Données projet'!$A$218,$FB$205^A26,IF(A26='Données projet'!$A$218,'Données projet'!$B$218,FE25+FD26-FM25)))</f>
        <v>40.866250000000015</v>
      </c>
      <c r="FF26" s="18">
        <f>FE26*VLOOKUP('Données projet'!$B$16,Paramètres!$A$1:$I$89,3,0)*VLOOKUP('Données projet'!$B$16,Paramètres!$A$1:$I$89,5,0)</f>
        <v>47.077920000000013</v>
      </c>
      <c r="FG26" s="14">
        <f t="shared" si="47"/>
        <v>13.856495389760431</v>
      </c>
      <c r="FH26" s="22">
        <f t="shared" si="22"/>
        <v>106.1274401371661</v>
      </c>
      <c r="FI26" s="62">
        <f t="shared" si="23"/>
        <v>329.61263684671258</v>
      </c>
      <c r="FJ26" s="62">
        <f ca="1">AVERAGE(OFFSET($FI$3,0,0,'Données projet'!$E$16+1,1))-AVERAGE(OFFSET($H$3,0,0,'Données projet'!$E$16+1,1))</f>
        <v>283.95543623515323</v>
      </c>
      <c r="FK26" s="62">
        <f t="shared" si="48"/>
        <v>196.96883829830929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>
        <f>VLOOKUP(A26,'Données projet'!$A$243:$I$263,2,0)</f>
        <v>173.60400000000001</v>
      </c>
      <c r="FX26" s="13">
        <f>VLOOKUP(A26,'Données projet'!$A$243:$I$263,9,0)</f>
        <v>19.669000000000011</v>
      </c>
      <c r="FY26" s="13">
        <f t="array" ref="FY26">INDEX(FX:FX,MIN(IF(ISNUMBER(FX26:FX222),ROW(FX26:FX222),"")))</f>
        <v>19.669000000000011</v>
      </c>
      <c r="FZ26" s="13">
        <f>IF('Données projet'!$A$244&gt;35,FZ25+FY26-GH25,IF(A26&lt;'Données projet'!$A$244,$FW$205^A26,IF(A26='Données projet'!$A$244,'Données projet'!$B$244,FZ25+FY26-GH25)))</f>
        <v>173.60400000000001</v>
      </c>
      <c r="GA26" s="18">
        <f>FZ26*VLOOKUP('Données projet'!$B$17,Paramètres!$A$1:$I$89,3,0)*VLOOKUP('Données projet'!$B$17,Paramètres!$A$1:$I$89,5,0)</f>
        <v>103.81519200000001</v>
      </c>
      <c r="GB26" s="14">
        <f t="shared" si="49"/>
        <v>27.868924323703233</v>
      </c>
      <c r="GC26" s="22">
        <f t="shared" si="25"/>
        <v>229.34983593044981</v>
      </c>
      <c r="GD26" s="62">
        <f t="shared" si="26"/>
        <v>452.83503263999631</v>
      </c>
      <c r="GE26" s="62">
        <f ca="1">AVERAGE(OFFSET($GD$3,0,0,'Données projet'!$E$17+1,1))-AVERAGE(OFFSET($H$3,0,0,'Données projet'!$E$17+1,1))</f>
        <v>223.57443551076992</v>
      </c>
      <c r="GF26" s="62">
        <f t="shared" si="50"/>
        <v>382.12751862619427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2.8761061623755957</v>
      </c>
      <c r="GM26" s="23">
        <f>EXP(-LN(2)/25)*GM25+(1-EXP(-LN(2)/25))/(LN(2)/25)*Calculateur!GH26*Calculateur!GJ26*VLOOKUP('Données projet'!$B$17,Paramètres!$A$1:$I$89,3,0)*0.475*44/12</f>
        <v>7.2977152926428097</v>
      </c>
      <c r="GN26" s="23">
        <f>EXP(-LN(2)/2)*GN25+(1-EXP(-LN(2)/2))/(LN(2)/2)*GH26*GK26*VLOOKUP('Données projet'!$B$17,Paramètres!$A$1:$I$89,3,0)*0.475*44/12</f>
        <v>2.5763668687333818</v>
      </c>
      <c r="GO26" s="23">
        <f t="shared" si="27"/>
        <v>12.750188323751788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2.7411833378046713</v>
      </c>
      <c r="GU26" s="13">
        <f>IF('Données projet'!$A$270&gt;35,GU25+GT26-HC25,IF(A26&lt;'Données projet'!$A$270,$GR$205^A26,IF(A26='Données projet'!$A$270,'Données projet'!$B$270,GU25+GT26-HC25)))</f>
        <v>48.866118590582815</v>
      </c>
      <c r="GV26" s="18">
        <f>GU26*VLOOKUP('Données projet'!$B$18,Paramètres!$A$1:$I$89,3,0)*VLOOKUP('Données projet'!$B$18,Paramètres!$A$1:$I$89,5,0)</f>
        <v>53.361801500916435</v>
      </c>
      <c r="GW26" s="14">
        <f t="shared" si="51"/>
        <v>15.478644278335308</v>
      </c>
      <c r="GX26" s="22">
        <f t="shared" si="28"/>
        <v>119.89710973219677</v>
      </c>
      <c r="GY26" s="62">
        <f t="shared" si="29"/>
        <v>343.38230644174325</v>
      </c>
      <c r="GZ26" s="62">
        <f ca="1">AVERAGE(OFFSET($GY$3,0,0,'Données projet'!$E$18+1,1))-AVERAGE(OFFSET($H$3,0,0,'Données projet'!$E$18+1,1))</f>
        <v>754.33260592777049</v>
      </c>
      <c r="HA26" s="62">
        <f t="shared" si="52"/>
        <v>250.97643915279005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9">
        <f t="shared" si="1"/>
        <v>183.33333333333334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429.86222248891397</v>
      </c>
      <c r="S27" s="62">
        <f ca="1">AVERAGE(OFFSET($R$3,0,0,'Données projet'!$E$9+1,1))-AVERAGE(OFFSET($H$3,0,0,'Données projet'!$E$9+1,1))</f>
        <v>550.39292625253665</v>
      </c>
      <c r="T27" s="62">
        <f t="shared" si="34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101.80000000000001</v>
      </c>
      <c r="AJ27" s="14">
        <f>AI27*VLOOKUP('Données projet'!$B$10,Paramètres!$A$1:$I$89,3,0)*VLOOKUP('Données projet'!$B$10,Paramètres!$A$1:$I$89,5,0)</f>
        <v>103.22520000000003</v>
      </c>
      <c r="AK27" s="14">
        <f t="shared" si="35"/>
        <v>27.728931732779014</v>
      </c>
      <c r="AL27" s="22">
        <f t="shared" si="4"/>
        <v>228.07844610125684</v>
      </c>
      <c r="AM27" s="62">
        <f t="shared" si="5"/>
        <v>453.84915428487665</v>
      </c>
      <c r="AN27" s="62">
        <f ca="1">AVERAGE(OFFSET($AM$3,0,0,'Données projet'!$E$10+1,1))-AVERAGE(OFFSET($H$3,0,0,'Données projet'!$E$10+1,1))</f>
        <v>606.55142836375308</v>
      </c>
      <c r="AO27" s="62">
        <f t="shared" si="36"/>
        <v>325.72635759450861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8.2051282051282044</v>
      </c>
      <c r="BD27" s="13">
        <f>IF('Données projet'!$A$88&gt;35,BD26+BC27-BL26,IF(A27&lt;'Données projet'!$A$88,$BA$205^A27,IF(A27='Données projet'!$A$88,'Données projet'!$B$88,BD26+BC27-BL26)))</f>
        <v>112.30769230769229</v>
      </c>
      <c r="BE27" s="14">
        <f>BD27*VLOOKUP('Données projet'!$B$11,Paramètres!$A$1:$I$89,3,0)*VLOOKUP('Données projet'!$B$11,Paramètres!$A$1:$I$89,5,0)</f>
        <v>117.384</v>
      </c>
      <c r="BF27" s="14">
        <f t="shared" si="37"/>
        <v>31.064079780221654</v>
      </c>
      <c r="BG27" s="22">
        <f t="shared" si="7"/>
        <v>258.54707228388605</v>
      </c>
      <c r="BH27" s="62">
        <f t="shared" si="8"/>
        <v>484.31778046750583</v>
      </c>
      <c r="BI27" s="62">
        <f ca="1">AVERAGE(OFFSET($BH$3,0,0,'Données projet'!$E$11+1,1))-AVERAGE(OFFSET($H$3,0,0,'Données projet'!$E$11+1,1))</f>
        <v>635.13577238794812</v>
      </c>
      <c r="BJ27" s="62">
        <f t="shared" si="38"/>
        <v>374.35810525172019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37</v>
      </c>
      <c r="BY27" s="13">
        <f>IF('Données projet'!$A$114&gt;35,BY26+BX27-CG26,IF(A27&lt;'Données projet'!$A$114,$BV$205^A27,IF(A27='Données projet'!$A$114,'Données projet'!$B$114,BY26+BX27-CG26)))</f>
        <v>277</v>
      </c>
      <c r="BZ27" s="14">
        <f>BY27*VLOOKUP('Données projet'!$B$12,Paramètres!$A$1:$I$89,3,0)*VLOOKUP('Données projet'!$B$12,Paramètres!$A$1:$I$89,5,0)</f>
        <v>122.43400000000001</v>
      </c>
      <c r="CA27" s="14">
        <f t="shared" si="39"/>
        <v>32.242024675088153</v>
      </c>
      <c r="CB27" s="22">
        <f t="shared" si="10"/>
        <v>269.39407630911188</v>
      </c>
      <c r="CC27" s="62">
        <f t="shared" si="11"/>
        <v>495.16478449273166</v>
      </c>
      <c r="CD27" s="62">
        <f ca="1">AVERAGE(OFFSET($CC$3,0,0,'Données projet'!$E$12+1,1))-AVERAGE(OFFSET($H$3,0,0,'Données projet'!$E$12+1,1))</f>
        <v>580.02817743695846</v>
      </c>
      <c r="CE27" s="62">
        <f t="shared" si="40"/>
        <v>551.23515633208865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4.9084615384615384</v>
      </c>
      <c r="CT27" s="13">
        <f>IF('Données projet'!$A$140&gt;35,CT26+CS27-DB26,IF(A27&lt;'Données projet'!$A$140,$CQ$205^A27,IF(A27='Données projet'!$A$140,'Données projet'!$B$140,CT26+CS27-DB26)))</f>
        <v>54.256692760299323</v>
      </c>
      <c r="CU27" s="18">
        <f>CT27*VLOOKUP('Données projet'!$B$13,Paramètres!$A$1:$I$89,3,0)*VLOOKUP('Données projet'!$B$13,Paramètres!$A$1:$I$89,5,0)</f>
        <v>25.392132211820083</v>
      </c>
      <c r="CV27" s="14">
        <f t="shared" si="41"/>
        <v>8.0305307997692346</v>
      </c>
      <c r="CW27" s="22">
        <f t="shared" si="13"/>
        <v>58.211138078518069</v>
      </c>
      <c r="CX27" s="62">
        <f t="shared" si="14"/>
        <v>283.98184626213788</v>
      </c>
      <c r="CY27" s="62">
        <f ca="1">AVERAGE(OFFSET($CX$3,0,0,'Données projet'!$E$13+1,1))-AVERAGE(OFFSET($H$3,0,0,'Données projet'!$E$13+1,1))</f>
        <v>321.05795935196863</v>
      </c>
      <c r="CZ27" s="62">
        <f t="shared" si="42"/>
        <v>209.59551322748908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IF('Données projet'!$A$166&gt;35,DO26+DN27-DW26,IF(A27&lt;'Données projet'!$A$166,$DL$205^A27,IF(A27='Données projet'!$A$166,'Données projet'!$B$166,DO26+DN27-DW26)))</f>
        <v>101.80000000000001</v>
      </c>
      <c r="DP27" s="18">
        <f>DO27*VLOOKUP('Données projet'!$B$14,Paramètres!$A$1:$I$89,3,0)*VLOOKUP('Données projet'!$B$14,Paramètres!$A$1:$I$89,5,0)</f>
        <v>109.57752000000001</v>
      </c>
      <c r="DQ27" s="14">
        <f t="shared" si="43"/>
        <v>29.23142270735509</v>
      </c>
      <c r="DR27" s="22">
        <f t="shared" si="16"/>
        <v>241.75890854864349</v>
      </c>
      <c r="DS27" s="62">
        <f t="shared" si="17"/>
        <v>467.52961673226332</v>
      </c>
      <c r="DT27" s="62">
        <f ca="1">AVERAGE(OFFSET($DS$3,0,0,'Données projet'!$E$14+1,1))-AVERAGE(OFFSET($H$3,0,0,'Données projet'!$E$14+1,1))</f>
        <v>638.58602907610805</v>
      </c>
      <c r="DU27" s="62">
        <f t="shared" si="44"/>
        <v>341.9250949809848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>
        <f>VLOOKUP(A27,'Données projet'!$A$191:$I$211,2,0)</f>
        <v>194.4375</v>
      </c>
      <c r="EH27" s="13">
        <f>VLOOKUP(A27,'Données projet'!$A$191:$I$211,9,0)</f>
        <v>20.833499999999987</v>
      </c>
      <c r="EI27" s="13">
        <f t="array" ref="EI27">INDEX(EH:EH,MIN(IF(ISNUMBER(EH27:EH223),ROW(EH27:EH223),"")))</f>
        <v>20.833499999999987</v>
      </c>
      <c r="EJ27" s="13">
        <f>IF('Données projet'!$A$192&gt;35,EJ26+EI27-ER26,IF(A27&lt;'Données projet'!$A$192,$EG$205^A27,IF(A27='Données projet'!$A$192,'Données projet'!$B$192,EJ26+EI27-ER26)))</f>
        <v>194.4375</v>
      </c>
      <c r="EK27" s="18">
        <f>EJ27*VLOOKUP('Données projet'!$B$15,Paramètres!$A$1:$I$89,3,0)*VLOOKUP('Données projet'!$B$15,Paramètres!$A$1:$I$89,5,0)</f>
        <v>116.27362500000002</v>
      </c>
      <c r="EL27" s="14">
        <f t="shared" si="45"/>
        <v>30.804294318003453</v>
      </c>
      <c r="EM27" s="22">
        <f t="shared" si="19"/>
        <v>256.16070947885601</v>
      </c>
      <c r="EN27" s="62">
        <f t="shared" si="20"/>
        <v>481.93141766247584</v>
      </c>
      <c r="EO27" s="62">
        <f ca="1">AVERAGE(OFFSET($EN$3,0,0,'Données projet'!$E$15+1,1))-AVERAGE(OFFSET($H$3,0,0,'Données projet'!$E$15+1,1))</f>
        <v>223.57443551076992</v>
      </c>
      <c r="EP27" s="62">
        <f t="shared" si="46"/>
        <v>382.12751862619427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2.8197074747829514</v>
      </c>
      <c r="EW27" s="23">
        <f>EXP(-LN(2)/25)*EW26+(1-EXP(-LN(2)/25))/(LN(2)/25)*Calculateur!ER27*Calculateur!ET27*VLOOKUP('Données projet'!$B$15,Paramètres!$A$1:$I$89,3,0)*0.475*44/12</f>
        <v>7.0981588841953238</v>
      </c>
      <c r="EX27" s="23">
        <f>EXP(-LN(2)/2)*EX26+(1-EXP(-LN(2)/2))/(LN(2)/2)*ER27*EU27*VLOOKUP('Données projet'!$B$15,Paramètres!$A$1:$I$89,3,0)*0.475*44/12</f>
        <v>1.8217664837057261</v>
      </c>
      <c r="EY27" s="24">
        <f t="shared" si="21"/>
        <v>11.739632842684001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1.9887500000000002</v>
      </c>
      <c r="FE27" s="13">
        <f>IF('Données projet'!$A$218&gt;35,FE26+FD27-FM26,IF(A27&lt;'Données projet'!$A$218,$FB$205^A27,IF(A27='Données projet'!$A$218,'Données projet'!$B$218,FE26+FD27-FM26)))</f>
        <v>42.855000000000018</v>
      </c>
      <c r="FF27" s="18">
        <f>FE27*VLOOKUP('Données projet'!$B$16,Paramètres!$A$1:$I$89,3,0)*VLOOKUP('Données projet'!$B$16,Paramètres!$A$1:$I$89,5,0)</f>
        <v>49.368960000000015</v>
      </c>
      <c r="FG27" s="14">
        <f t="shared" si="47"/>
        <v>14.450670560048829</v>
      </c>
      <c r="FH27" s="22">
        <f t="shared" si="22"/>
        <v>111.15252322541839</v>
      </c>
      <c r="FI27" s="62">
        <f t="shared" si="23"/>
        <v>336.92323140903818</v>
      </c>
      <c r="FJ27" s="62">
        <f ca="1">AVERAGE(OFFSET($FI$3,0,0,'Données projet'!$E$16+1,1))-AVERAGE(OFFSET($H$3,0,0,'Données projet'!$E$16+1,1))</f>
        <v>283.95543623515323</v>
      </c>
      <c r="FK27" s="62">
        <f t="shared" si="48"/>
        <v>196.96883829830929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>
        <f>VLOOKUP(A27,'Données projet'!$A$243:$I$263,2,0)</f>
        <v>194.4375</v>
      </c>
      <c r="FX27" s="13">
        <f>VLOOKUP(A27,'Données projet'!$A$243:$I$263,9,0)</f>
        <v>20.833499999999987</v>
      </c>
      <c r="FY27" s="13">
        <f t="array" ref="FY27">INDEX(FX:FX,MIN(IF(ISNUMBER(FX27:FX223),ROW(FX27:FX223),"")))</f>
        <v>20.833499999999987</v>
      </c>
      <c r="FZ27" s="13">
        <f>IF('Données projet'!$A$244&gt;35,FZ26+FY27-GH26,IF(A27&lt;'Données projet'!$A$244,$FW$205^A27,IF(A27='Données projet'!$A$244,'Données projet'!$B$244,FZ26+FY27-GH26)))</f>
        <v>194.4375</v>
      </c>
      <c r="GA27" s="18">
        <f>FZ27*VLOOKUP('Données projet'!$B$17,Paramètres!$A$1:$I$89,3,0)*VLOOKUP('Données projet'!$B$17,Paramètres!$A$1:$I$89,5,0)</f>
        <v>116.27362500000002</v>
      </c>
      <c r="GB27" s="14">
        <f t="shared" si="49"/>
        <v>30.804294318003453</v>
      </c>
      <c r="GC27" s="22">
        <f t="shared" si="25"/>
        <v>256.16070947885601</v>
      </c>
      <c r="GD27" s="62">
        <f t="shared" si="26"/>
        <v>481.93141766247584</v>
      </c>
      <c r="GE27" s="62">
        <f ca="1">AVERAGE(OFFSET($GD$3,0,0,'Données projet'!$E$17+1,1))-AVERAGE(OFFSET($H$3,0,0,'Données projet'!$E$17+1,1))</f>
        <v>223.57443551076992</v>
      </c>
      <c r="GF27" s="62">
        <f t="shared" si="50"/>
        <v>382.12751862619427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2.8197074747829514</v>
      </c>
      <c r="GM27" s="23">
        <f>EXP(-LN(2)/25)*GM26+(1-EXP(-LN(2)/25))/(LN(2)/25)*Calculateur!GH27*Calculateur!GJ27*VLOOKUP('Données projet'!$B$17,Paramètres!$A$1:$I$89,3,0)*0.475*44/12</f>
        <v>7.0981588841953238</v>
      </c>
      <c r="GN27" s="23">
        <f>EXP(-LN(2)/2)*GN26+(1-EXP(-LN(2)/2))/(LN(2)/2)*GH27*GK27*VLOOKUP('Données projet'!$B$17,Paramètres!$A$1:$I$89,3,0)*0.475*44/12</f>
        <v>1.8217664837057261</v>
      </c>
      <c r="GO27" s="23">
        <f t="shared" si="27"/>
        <v>11.739632842684001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2.7411833378046713</v>
      </c>
      <c r="GU27" s="13">
        <f>IF('Données projet'!$A$270&gt;35,GU26+GT27-HC26,IF(A27&lt;'Données projet'!$A$270,$GR$205^A27,IF(A27='Données projet'!$A$270,'Données projet'!$B$270,GU26+GT27-HC26)))</f>
        <v>57.868599011833041</v>
      </c>
      <c r="GV27" s="18">
        <f>GU27*VLOOKUP('Données projet'!$B$18,Paramètres!$A$1:$I$89,3,0)*VLOOKUP('Données projet'!$B$18,Paramètres!$A$1:$I$89,5,0)</f>
        <v>63.192510120921675</v>
      </c>
      <c r="GW27" s="14">
        <f t="shared" si="51"/>
        <v>17.972984299316042</v>
      </c>
      <c r="GX27" s="22">
        <f t="shared" si="28"/>
        <v>141.36323611524736</v>
      </c>
      <c r="GY27" s="62">
        <f t="shared" si="29"/>
        <v>367.13394429886716</v>
      </c>
      <c r="GZ27" s="62">
        <f ca="1">AVERAGE(OFFSET($GY$3,0,0,'Données projet'!$E$18+1,1))-AVERAGE(OFFSET($H$3,0,0,'Données projet'!$E$18+1,1))</f>
        <v>754.33260592777049</v>
      </c>
      <c r="HA27" s="62">
        <f t="shared" si="52"/>
        <v>250.97643915279005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9">
        <f t="shared" si="1"/>
        <v>183.33333333333334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446.19359327907785</v>
      </c>
      <c r="S28" s="62">
        <f ca="1">AVERAGE(OFFSET($R$3,0,0,'Données projet'!$E$9+1,1))-AVERAGE(OFFSET($H$3,0,0,'Données projet'!$E$9+1,1))</f>
        <v>550.39292625253665</v>
      </c>
      <c r="T28" s="62">
        <f t="shared" si="34"/>
        <v>297.32483725004136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109.00000000000001</v>
      </c>
      <c r="AJ28" s="14">
        <f>AI28*VLOOKUP('Données projet'!$B$10,Paramètres!$A$1:$I$89,3,0)*VLOOKUP('Données projet'!$B$10,Paramètres!$A$1:$I$89,5,0)</f>
        <v>110.52600000000001</v>
      </c>
      <c r="AK28" s="14">
        <f t="shared" si="35"/>
        <v>29.454879846564946</v>
      </c>
      <c r="AL28" s="22">
        <f t="shared" si="4"/>
        <v>243.80003239943395</v>
      </c>
      <c r="AM28" s="62">
        <f t="shared" si="5"/>
        <v>471.83780636576603</v>
      </c>
      <c r="AN28" s="62">
        <f ca="1">AVERAGE(OFFSET($AM$3,0,0,'Données projet'!$E$10+1,1))-AVERAGE(OFFSET($H$3,0,0,'Données projet'!$E$10+1,1))</f>
        <v>606.55142836375308</v>
      </c>
      <c r="AO28" s="62">
        <f t="shared" si="36"/>
        <v>325.72635759450861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120.51282051282051</v>
      </c>
      <c r="BB28" s="13">
        <f>VLOOKUP(A28,'Données projet'!$A$87:$I$107,9,0)</f>
        <v>8.2051282051282044</v>
      </c>
      <c r="BC28" s="13">
        <f t="array" ref="BC28">INDEX(BB:BB,MIN(IF(ISNUMBER(BB28:BB224),ROW(BB28:BB224),"")))</f>
        <v>8.2051282051282044</v>
      </c>
      <c r="BD28" s="13">
        <f>IF('Données projet'!$A$88&gt;35,BD27+BC28-BL27,IF(A28&lt;'Données projet'!$A$88,$BA$205^A28,IF(A28='Données projet'!$A$88,'Données projet'!$B$88,BD27+BC28-BL27)))</f>
        <v>120.5128205128205</v>
      </c>
      <c r="BE28" s="14">
        <f>BD28*VLOOKUP('Données projet'!$B$11,Paramètres!$A$1:$I$89,3,0)*VLOOKUP('Données projet'!$B$11,Paramètres!$A$1:$I$89,5,0)</f>
        <v>125.96</v>
      </c>
      <c r="BF28" s="14">
        <f t="shared" si="37"/>
        <v>33.061125649958811</v>
      </c>
      <c r="BG28" s="22">
        <f t="shared" si="7"/>
        <v>276.96179384034491</v>
      </c>
      <c r="BH28" s="62">
        <f t="shared" si="8"/>
        <v>504.99956780667702</v>
      </c>
      <c r="BI28" s="62">
        <f ca="1">AVERAGE(OFFSET($BH$3,0,0,'Données projet'!$E$11+1,1))-AVERAGE(OFFSET($H$3,0,0,'Données projet'!$E$11+1,1))</f>
        <v>635.13577238794812</v>
      </c>
      <c r="BJ28" s="62">
        <f t="shared" si="38"/>
        <v>374.35810525172019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23.076923076923077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314</v>
      </c>
      <c r="BW28" s="13">
        <f>VLOOKUP(A28,'Données projet'!$A$113:$I$133,9,0)</f>
        <v>37</v>
      </c>
      <c r="BX28" s="13">
        <f t="array" ref="BX28">INDEX(BW:BW,MIN(IF(ISNUMBER(BW28:BW224),ROW(BW28:BW224),"")))</f>
        <v>37</v>
      </c>
      <c r="BY28" s="13">
        <f>IF('Données projet'!$A$114&gt;35,BY27+BX28-CG27,IF(A28&lt;'Données projet'!$A$114,$BV$205^A28,IF(A28='Données projet'!$A$114,'Données projet'!$B$114,BY27+BX28-CG27)))</f>
        <v>314</v>
      </c>
      <c r="BZ28" s="14">
        <f>BY28*VLOOKUP('Données projet'!$B$12,Paramètres!$A$1:$I$89,3,0)*VLOOKUP('Données projet'!$B$12,Paramètres!$A$1:$I$89,5,0)</f>
        <v>138.78800000000001</v>
      </c>
      <c r="CA28" s="14">
        <f t="shared" si="39"/>
        <v>36.019212967850898</v>
      </c>
      <c r="CB28" s="22">
        <f t="shared" si="10"/>
        <v>304.45589591900699</v>
      </c>
      <c r="CC28" s="62">
        <f t="shared" si="11"/>
        <v>532.49366988533916</v>
      </c>
      <c r="CD28" s="62">
        <f ca="1">AVERAGE(OFFSET($CC$3,0,0,'Données projet'!$E$12+1,1))-AVERAGE(OFFSET($H$3,0,0,'Données projet'!$E$12+1,1))</f>
        <v>580.02817743695846</v>
      </c>
      <c r="CE28" s="62">
        <f t="shared" si="40"/>
        <v>551.23515633208865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4.9084615384615384</v>
      </c>
      <c r="CT28" s="13">
        <f>IF('Données projet'!$A$140&gt;35,CT27+CS28-DB27,IF(A28&lt;'Données projet'!$A$140,$CQ$205^A28,IF(A28='Données projet'!$A$140,'Données projet'!$B$140,CT27+CS28-DB27)))</f>
        <v>64.079956146266369</v>
      </c>
      <c r="CU28" s="18">
        <f>CT28*VLOOKUP('Données projet'!$B$13,Paramètres!$A$1:$I$89,3,0)*VLOOKUP('Données projet'!$B$13,Paramètres!$A$1:$I$89,5,0)</f>
        <v>29.98941947645266</v>
      </c>
      <c r="CV28" s="14">
        <f t="shared" si="41"/>
        <v>9.3025291963556676</v>
      </c>
      <c r="CW28" s="22">
        <f t="shared" si="13"/>
        <v>68.433477271807831</v>
      </c>
      <c r="CX28" s="62">
        <f t="shared" si="14"/>
        <v>296.47125123813993</v>
      </c>
      <c r="CY28" s="62">
        <f ca="1">AVERAGE(OFFSET($CX$3,0,0,'Données projet'!$E$13+1,1))-AVERAGE(OFFSET($H$3,0,0,'Données projet'!$E$13+1,1))</f>
        <v>321.05795935196863</v>
      </c>
      <c r="CZ28" s="62">
        <f t="shared" si="42"/>
        <v>209.59551322748908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109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IF('Données projet'!$A$166&gt;35,DO27+DN28-DW27,IF(A28&lt;'Données projet'!$A$166,$DL$205^A28,IF(A28='Données projet'!$A$166,'Données projet'!$B$166,DO27+DN28-DW27)))</f>
        <v>109.00000000000001</v>
      </c>
      <c r="DP28" s="18">
        <f>DO28*VLOOKUP('Données projet'!$B$14,Paramètres!$A$1:$I$89,3,0)*VLOOKUP('Données projet'!$B$14,Paramètres!$A$1:$I$89,5,0)</f>
        <v>117.32760000000002</v>
      </c>
      <c r="DQ28" s="14">
        <f t="shared" si="43"/>
        <v>31.050891245531712</v>
      </c>
      <c r="DR28" s="22">
        <f t="shared" si="16"/>
        <v>258.42587225263441</v>
      </c>
      <c r="DS28" s="62">
        <f t="shared" si="17"/>
        <v>486.46364621896652</v>
      </c>
      <c r="DT28" s="62">
        <f ca="1">AVERAGE(OFFSET($DS$3,0,0,'Données projet'!$E$14+1,1))-AVERAGE(OFFSET($H$3,0,0,'Données projet'!$E$14+1,1))</f>
        <v>638.58602907610805</v>
      </c>
      <c r="DU28" s="62">
        <f t="shared" si="44"/>
        <v>341.9250949809848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34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215.6875</v>
      </c>
      <c r="EH28" s="13">
        <f>VLOOKUP(A28,'Données projet'!$A$191:$I$211,9,0)</f>
        <v>21.25</v>
      </c>
      <c r="EI28" s="13">
        <f t="array" ref="EI28">INDEX(EH:EH,MIN(IF(ISNUMBER(EH28:EH224),ROW(EH28:EH224),"")))</f>
        <v>21.25</v>
      </c>
      <c r="EJ28" s="13">
        <f>IF('Données projet'!$A$192&gt;35,EJ27+EI28-ER27,IF(A28&lt;'Données projet'!$A$192,$EG$205^A28,IF(A28='Données projet'!$A$192,'Données projet'!$B$192,EJ27+EI28-ER27)))</f>
        <v>215.6875</v>
      </c>
      <c r="EK28" s="18">
        <f>EJ28*VLOOKUP('Données projet'!$B$15,Paramètres!$A$1:$I$89,3,0)*VLOOKUP('Données projet'!$B$15,Paramètres!$A$1:$I$89,5,0)</f>
        <v>128.98112500000002</v>
      </c>
      <c r="EL28" s="14">
        <f t="shared" si="45"/>
        <v>33.760819529650334</v>
      </c>
      <c r="EM28" s="22">
        <f t="shared" si="19"/>
        <v>283.4422200558077</v>
      </c>
      <c r="EN28" s="62">
        <f t="shared" si="20"/>
        <v>511.47999402213981</v>
      </c>
      <c r="EO28" s="62">
        <f ca="1">AVERAGE(OFFSET($EN$3,0,0,'Données projet'!$E$15+1,1))-AVERAGE(OFFSET($H$3,0,0,'Données projet'!$E$15+1,1))</f>
        <v>223.57443551076992</v>
      </c>
      <c r="EP28" s="62">
        <f t="shared" si="46"/>
        <v>382.12751862619427</v>
      </c>
      <c r="EQ28" s="16">
        <f>IF(ISNA(VLOOKUP(A28,'Données projet'!$A$191:$I$211,3,0)),0,VLOOKUP(A28,'Données projet'!$A$191:$I$211,3,0))</f>
        <v>3</v>
      </c>
      <c r="ER28" s="16">
        <f>IF(ISNA(VLOOKUP(A28,'Données projet'!$A$191:$I$211,4,0)),0,VLOOKUP(A28,'Données projet'!$A$191:$I$211,4,0))</f>
        <v>54.026000000000003</v>
      </c>
      <c r="ES28" s="17">
        <f>IF(ISNA(VLOOKUP(A28,'Données projet'!$A$191:$I$211,5,0)),0%,VLOOKUP(A28,'Données projet'!$A$191:$I$211,5,0)*VLOOKUP('Données projet'!$B$15,Paramètres!$A$1:$I$89,7,0))</f>
        <v>0.27</v>
      </c>
      <c r="ET28" s="17">
        <f>IF(ISNA(VLOOKUP(A28,'Données projet'!$A$191:$I$211,6,0)),0%,VLOOKUP(A28,'Données projet'!$A$191:$I$211,6,0)*VLOOKUP('Données projet'!$B$15,Paramètres!$A$1:$I$89,7,0))</f>
        <v>9.0000000000000011E-2</v>
      </c>
      <c r="EU28" s="17">
        <f>IF(ISNA(VLOOKUP(A28,'Données projet'!$A$191:$I$211,7,0)),0%,VLOOKUP(A28,'Données projet'!$A$191:$I$211,7,0))</f>
        <v>0.2</v>
      </c>
      <c r="EV28" s="23">
        <f>EXP(-LN(2)/35)*EV27+(1-EXP(-LN(2)/35))/(LN(2)/35)*ER28*ES28*VLOOKUP('Données projet'!$B$15,Paramètres!$A$1:$I$89,3,0)*0.475*44/12</f>
        <v>14.336086832240035</v>
      </c>
      <c r="EW28" s="23">
        <f>EXP(-LN(2)/25)*EW27+(1-EXP(-LN(2)/25))/(LN(2)/25)*Calculateur!ER28*Calculateur!ET28*VLOOKUP('Données projet'!$B$15,Paramètres!$A$1:$I$89,3,0)*0.475*44/12</f>
        <v>10.746096029221293</v>
      </c>
      <c r="EX28" s="23">
        <f>EXP(-LN(2)/2)*EX27+(1-EXP(-LN(2)/2))/(LN(2)/2)*ER28*EU28*VLOOKUP('Données projet'!$B$15,Paramètres!$A$1:$I$89,3,0)*0.475*44/12</f>
        <v>8.6041132942640068</v>
      </c>
      <c r="EY28" s="24">
        <f t="shared" si="21"/>
        <v>33.68629615572533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1.9887500000000002</v>
      </c>
      <c r="FE28" s="13">
        <f>IF('Données projet'!$A$218&gt;35,FE27+FD28-FM27,IF(A28&lt;'Données projet'!$A$218,$FB$205^A28,IF(A28='Données projet'!$A$218,'Données projet'!$B$218,FE27+FD28-FM27)))</f>
        <v>44.843750000000021</v>
      </c>
      <c r="FF28" s="18">
        <f>FE28*VLOOKUP('Données projet'!$B$16,Paramètres!$A$1:$I$89,3,0)*VLOOKUP('Données projet'!$B$16,Paramètres!$A$1:$I$89,5,0)</f>
        <v>51.660000000000018</v>
      </c>
      <c r="FG28" s="14">
        <f t="shared" si="47"/>
        <v>15.041643604774535</v>
      </c>
      <c r="FH28" s="22">
        <f t="shared" si="22"/>
        <v>116.17202927831566</v>
      </c>
      <c r="FI28" s="62">
        <f t="shared" si="23"/>
        <v>344.20980324464779</v>
      </c>
      <c r="FJ28" s="62">
        <f ca="1">AVERAGE(OFFSET($FI$3,0,0,'Données projet'!$E$16+1,1))-AVERAGE(OFFSET($H$3,0,0,'Données projet'!$E$16+1,1))</f>
        <v>283.95543623515323</v>
      </c>
      <c r="FK28" s="62">
        <f t="shared" si="48"/>
        <v>196.96883829830929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215.6875</v>
      </c>
      <c r="FX28" s="13">
        <f>VLOOKUP(A28,'Données projet'!$A$243:$I$263,9,0)</f>
        <v>21.25</v>
      </c>
      <c r="FY28" s="13">
        <f t="array" ref="FY28">INDEX(FX:FX,MIN(IF(ISNUMBER(FX28:FX224),ROW(FX28:FX224),"")))</f>
        <v>21.25</v>
      </c>
      <c r="FZ28" s="13">
        <f>IF('Données projet'!$A$244&gt;35,FZ27+FY28-GH27,IF(A28&lt;'Données projet'!$A$244,$FW$205^A28,IF(A28='Données projet'!$A$244,'Données projet'!$B$244,FZ27+FY28-GH27)))</f>
        <v>215.6875</v>
      </c>
      <c r="GA28" s="18">
        <f>FZ28*VLOOKUP('Données projet'!$B$17,Paramètres!$A$1:$I$89,3,0)*VLOOKUP('Données projet'!$B$17,Paramètres!$A$1:$I$89,5,0)</f>
        <v>128.98112500000002</v>
      </c>
      <c r="GB28" s="14">
        <f t="shared" si="49"/>
        <v>33.760819529650334</v>
      </c>
      <c r="GC28" s="22">
        <f t="shared" si="25"/>
        <v>283.4422200558077</v>
      </c>
      <c r="GD28" s="62">
        <f t="shared" si="26"/>
        <v>511.47999402213981</v>
      </c>
      <c r="GE28" s="62">
        <f ca="1">AVERAGE(OFFSET($GD$3,0,0,'Données projet'!$E$17+1,1))-AVERAGE(OFFSET($H$3,0,0,'Données projet'!$E$17+1,1))</f>
        <v>223.57443551076992</v>
      </c>
      <c r="GF28" s="62">
        <f t="shared" si="50"/>
        <v>382.12751862619427</v>
      </c>
      <c r="GG28" s="16">
        <f>IF(ISNA(VLOOKUP(A28,'Données projet'!$A$243:$I$263,3,0)),0,VLOOKUP(A28,'Données projet'!$A$243:$I$263,3,0))</f>
        <v>3</v>
      </c>
      <c r="GH28" s="16">
        <f>IF(ISNA(VLOOKUP(A28,'Données projet'!$A$243:$I$263,4,0)),0,VLOOKUP(A28,'Données projet'!$A$243:$I$263,4,0))</f>
        <v>54.026000000000003</v>
      </c>
      <c r="GI28" s="17">
        <f>IF(ISNA(VLOOKUP(A28,'Données projet'!$A$243:$I$263,5,0)),0%,VLOOKUP(A28,'Données projet'!$A$243:$I$263,5,0)*VLOOKUP('Données projet'!$B$17,Paramètres!$A$1:$I$89,7,0))</f>
        <v>0.27</v>
      </c>
      <c r="GJ28" s="17">
        <f>IF(ISNA(VLOOKUP(A28,'Données projet'!$A$243:$I$263,6,0)),0%,VLOOKUP(A28,'Données projet'!$A$243:$I$263,6,0)*VLOOKUP('Données projet'!$B$17,Paramètres!$A$1:$I$89,7,0))</f>
        <v>9.0000000000000011E-2</v>
      </c>
      <c r="GK28" s="17">
        <f>IF(ISNA(VLOOKUP(A28,'Données projet'!$A$243:$I$263,7,0)),0%,VLOOKUP(A28,'Données projet'!$A$243:$I$263,7,0))</f>
        <v>0.2</v>
      </c>
      <c r="GL28" s="23">
        <f>EXP(-LN(2)/35)*GL27+(1-EXP(-LN(2)/35))/(LN(2)/35)*GH28*GI28*VLOOKUP('Données projet'!$B$17,Paramètres!$A$1:$I$89,3,0)*0.475*44/12</f>
        <v>14.336086832240035</v>
      </c>
      <c r="GM28" s="23">
        <f>EXP(-LN(2)/25)*GM27+(1-EXP(-LN(2)/25))/(LN(2)/25)*Calculateur!GH28*Calculateur!GJ28*VLOOKUP('Données projet'!$B$17,Paramètres!$A$1:$I$89,3,0)*0.475*44/12</f>
        <v>10.746096029221293</v>
      </c>
      <c r="GN28" s="23">
        <f>EXP(-LN(2)/2)*GN27+(1-EXP(-LN(2)/2))/(LN(2)/2)*GH28*GK28*VLOOKUP('Données projet'!$B$17,Paramètres!$A$1:$I$89,3,0)*0.475*44/12</f>
        <v>8.6041132942640068</v>
      </c>
      <c r="GO28" s="23">
        <f t="shared" si="27"/>
        <v>33.68629615572533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68.529583445116785</v>
      </c>
      <c r="GS28" s="13">
        <f>VLOOKUP(A28,'Données projet'!$A$269:$I$289,9,0)</f>
        <v>2.7411833378046713</v>
      </c>
      <c r="GT28" s="13">
        <f t="array" ref="GT28">INDEX(GS:GS,MIN(IF(ISNUMBER(GS28:GS224),ROW(GS28:GS224),"")))</f>
        <v>2.7411833378046713</v>
      </c>
      <c r="GU28" s="13">
        <f>IF('Données projet'!$A$270&gt;35,GU27+GT28-HC27,IF(A28&lt;'Données projet'!$A$270,$GR$205^A28,IF(A28='Données projet'!$A$270,'Données projet'!$B$270,GU27+GT28-HC27)))</f>
        <v>68.529583445116785</v>
      </c>
      <c r="GV28" s="18">
        <f>GU28*VLOOKUP('Données projet'!$B$18,Paramètres!$A$1:$I$89,3,0)*VLOOKUP('Données projet'!$B$18,Paramètres!$A$1:$I$89,5,0)</f>
        <v>74.834305122067533</v>
      </c>
      <c r="GW28" s="14">
        <f t="shared" si="51"/>
        <v>20.869280204054242</v>
      </c>
      <c r="GX28" s="22">
        <f t="shared" si="28"/>
        <v>166.68374444299545</v>
      </c>
      <c r="GY28" s="62">
        <f t="shared" si="29"/>
        <v>394.72151840932759</v>
      </c>
      <c r="GZ28" s="62">
        <f ca="1">AVERAGE(OFFSET($GY$3,0,0,'Données projet'!$E$18+1,1))-AVERAGE(OFFSET($H$3,0,0,'Données projet'!$E$18+1,1))</f>
        <v>754.33260592777049</v>
      </c>
      <c r="HA28" s="62">
        <f t="shared" si="52"/>
        <v>250.97643915279005</v>
      </c>
      <c r="HB28" s="16">
        <f>IF(ISNA(VLOOKUP(A28,'Données projet'!$A$269:$I$289,3,0)),0,VLOOKUP(A28,'Données projet'!$A$269:$I$289,3,0))</f>
        <v>1</v>
      </c>
      <c r="HC28" s="16">
        <f>IF(ISNA(VLOOKUP(A28,'Données projet'!$A$269:$I$289,4,0)),0,VLOOKUP(A28,'Données projet'!$A$269:$I$289,4,0))</f>
        <v>7.6143981605685314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9">
        <f t="shared" si="1"/>
        <v>183.33333333333334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399.90016633808318</v>
      </c>
      <c r="S29" s="62">
        <f ca="1">AVERAGE(OFFSET($R$3,0,0,'Données projet'!$E$9+1,1))-AVERAGE(OFFSET($H$3,0,0,'Données projet'!$E$9+1,1))</f>
        <v>550.39292625253665</v>
      </c>
      <c r="T29" s="62">
        <f t="shared" si="34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85.378800000000027</v>
      </c>
      <c r="AK29" s="14">
        <f t="shared" si="35"/>
        <v>23.447306793896516</v>
      </c>
      <c r="AL29" s="22">
        <f t="shared" si="4"/>
        <v>189.53880266603645</v>
      </c>
      <c r="AM29" s="62">
        <f t="shared" si="5"/>
        <v>419.82551671522663</v>
      </c>
      <c r="AN29" s="62">
        <f ca="1">AVERAGE(OFFSET($AM$3,0,0,'Données projet'!$E$10+1,1))-AVERAGE(OFFSET($H$3,0,0,'Données projet'!$E$10+1,1))</f>
        <v>606.55142836375308</v>
      </c>
      <c r="AO29" s="62">
        <f t="shared" si="36"/>
        <v>325.72635759450861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8.3333333333333321</v>
      </c>
      <c r="BD29" s="13">
        <f>IF('Données projet'!$A$88&gt;35,BD28+BC29-BL28,IF(A29&lt;'Données projet'!$A$88,$BA$205^A29,IF(A29='Données projet'!$A$88,'Données projet'!$B$88,BD28+BC29-BL28)))</f>
        <v>105.76923076923076</v>
      </c>
      <c r="BE29" s="14">
        <f>BD29*VLOOKUP('Données projet'!$B$11,Paramètres!$A$1:$I$89,3,0)*VLOOKUP('Données projet'!$B$11,Paramètres!$A$1:$I$89,5,0)</f>
        <v>110.55</v>
      </c>
      <c r="BF29" s="14">
        <f t="shared" si="37"/>
        <v>29.460531223351133</v>
      </c>
      <c r="BG29" s="22">
        <f t="shared" si="7"/>
        <v>243.85167521400322</v>
      </c>
      <c r="BH29" s="62">
        <f t="shared" si="8"/>
        <v>474.1383892631934</v>
      </c>
      <c r="BI29" s="62">
        <f ca="1">AVERAGE(OFFSET($BH$3,0,0,'Données projet'!$E$11+1,1))-AVERAGE(OFFSET($H$3,0,0,'Données projet'!$E$11+1,1))</f>
        <v>635.13577238794812</v>
      </c>
      <c r="BJ29" s="62">
        <f t="shared" si="38"/>
        <v>374.35810525172019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40.6</v>
      </c>
      <c r="BY29" s="13">
        <f>IF('Données projet'!$A$114&gt;35,BY28+BX29-CG28,IF(A29&lt;'Données projet'!$A$114,$BV$205^A29,IF(A29='Données projet'!$A$114,'Données projet'!$B$114,BY28+BX29-CG28)))</f>
        <v>354.6</v>
      </c>
      <c r="BZ29" s="14">
        <f>BY29*VLOOKUP('Données projet'!$B$12,Paramètres!$A$1:$I$89,3,0)*VLOOKUP('Données projet'!$B$12,Paramètres!$A$1:$I$89,5,0)</f>
        <v>156.73320000000004</v>
      </c>
      <c r="CA29" s="14">
        <f t="shared" si="39"/>
        <v>40.104797241533682</v>
      </c>
      <c r="CB29" s="22">
        <f t="shared" si="10"/>
        <v>342.82617852900449</v>
      </c>
      <c r="CC29" s="62">
        <f t="shared" si="11"/>
        <v>573.11289257819465</v>
      </c>
      <c r="CD29" s="62">
        <f ca="1">AVERAGE(OFFSET($CC$3,0,0,'Données projet'!$E$12+1,1))-AVERAGE(OFFSET($H$3,0,0,'Données projet'!$E$12+1,1))</f>
        <v>580.02817743695846</v>
      </c>
      <c r="CE29" s="62">
        <f t="shared" si="40"/>
        <v>551.23515633208865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4.9084615384615384</v>
      </c>
      <c r="CT29" s="13">
        <f>IF('Données projet'!$A$140&gt;35,CT28+CS29-DB28,IF(A29&lt;'Données projet'!$A$140,$CQ$205^A29,IF(A29='Données projet'!$A$140,'Données projet'!$B$140,CT28+CS29-DB28)))</f>
        <v>75.681737511137769</v>
      </c>
      <c r="CU29" s="18">
        <f>CT29*VLOOKUP('Données projet'!$B$13,Paramètres!$A$1:$I$89,3,0)*VLOOKUP('Données projet'!$B$13,Paramètres!$A$1:$I$89,5,0)</f>
        <v>35.419053155212474</v>
      </c>
      <c r="CV29" s="14">
        <f t="shared" si="41"/>
        <v>10.776006170294048</v>
      </c>
      <c r="CW29" s="22">
        <f t="shared" si="13"/>
        <v>80.456394991923858</v>
      </c>
      <c r="CX29" s="62">
        <f t="shared" si="14"/>
        <v>310.74310904111405</v>
      </c>
      <c r="CY29" s="62">
        <f ca="1">AVERAGE(OFFSET($CX$3,0,0,'Données projet'!$E$13+1,1))-AVERAGE(OFFSET($H$3,0,0,'Données projet'!$E$13+1,1))</f>
        <v>321.05795935196863</v>
      </c>
      <c r="CZ29" s="62">
        <f t="shared" si="42"/>
        <v>209.59551322748908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84.200000000000017</v>
      </c>
      <c r="DP29" s="18">
        <f>DO29*VLOOKUP('Données projet'!$B$14,Paramètres!$A$1:$I$89,3,0)*VLOOKUP('Données projet'!$B$14,Paramètres!$A$1:$I$89,5,0)</f>
        <v>90.632880000000014</v>
      </c>
      <c r="DQ29" s="14">
        <f t="shared" si="43"/>
        <v>24.717798105117861</v>
      </c>
      <c r="DR29" s="22">
        <f t="shared" si="16"/>
        <v>200.90243103308026</v>
      </c>
      <c r="DS29" s="62">
        <f t="shared" si="17"/>
        <v>431.18914508227044</v>
      </c>
      <c r="DT29" s="62">
        <f ca="1">AVERAGE(OFFSET($DS$3,0,0,'Données projet'!$E$14+1,1))-AVERAGE(OFFSET($H$3,0,0,'Données projet'!$E$14+1,1))</f>
        <v>638.58602907610805</v>
      </c>
      <c r="DU29" s="62">
        <f t="shared" si="44"/>
        <v>341.9250949809848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17.123249999999999</v>
      </c>
      <c r="EJ29" s="13">
        <f>IF('Données projet'!$A$192&gt;35,EJ28+EI29-ER28,IF(A29&lt;'Données projet'!$A$192,$EG$205^A29,IF(A29='Données projet'!$A$192,'Données projet'!$B$192,EJ28+EI29-ER28)))</f>
        <v>178.78474999999997</v>
      </c>
      <c r="EK29" s="18">
        <f>EJ29*VLOOKUP('Données projet'!$B$15,Paramètres!$A$1:$I$89,3,0)*VLOOKUP('Données projet'!$B$15,Paramètres!$A$1:$I$89,5,0)</f>
        <v>106.9132805</v>
      </c>
      <c r="EL29" s="14">
        <f t="shared" si="45"/>
        <v>28.602529072061614</v>
      </c>
      <c r="EM29" s="22">
        <f t="shared" si="19"/>
        <v>236.02336833800732</v>
      </c>
      <c r="EN29" s="62">
        <f t="shared" si="20"/>
        <v>466.3100823871975</v>
      </c>
      <c r="EO29" s="62">
        <f ca="1">AVERAGE(OFFSET($EN$3,0,0,'Données projet'!$E$15+1,1))-AVERAGE(OFFSET($H$3,0,0,'Données projet'!$E$15+1,1))</f>
        <v>223.57443551076992</v>
      </c>
      <c r="EP29" s="62">
        <f t="shared" si="46"/>
        <v>382.12751862619427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14.054964913609362</v>
      </c>
      <c r="EW29" s="23">
        <f>EXP(-LN(2)/25)*EW28+(1-EXP(-LN(2)/25))/(LN(2)/25)*Calculateur!ER29*Calculateur!ET29*VLOOKUP('Données projet'!$B$15,Paramètres!$A$1:$I$89,3,0)*0.475*44/12</f>
        <v>10.452243468189607</v>
      </c>
      <c r="EX29" s="23">
        <f>EXP(-LN(2)/2)*EX28+(1-EXP(-LN(2)/2))/(LN(2)/2)*ER29*EU29*VLOOKUP('Données projet'!$B$15,Paramètres!$A$1:$I$89,3,0)*0.475*44/12</f>
        <v>6.0840268564714037</v>
      </c>
      <c r="EY29" s="24">
        <f t="shared" si="21"/>
        <v>30.591235238270372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1.9887500000000002</v>
      </c>
      <c r="FE29" s="13">
        <f>IF('Données projet'!$A$218&gt;35,FE28+FD29-FM28,IF(A29&lt;'Données projet'!$A$218,$FB$205^A29,IF(A29='Données projet'!$A$218,'Données projet'!$B$218,FE28+FD29-FM28)))</f>
        <v>46.832500000000024</v>
      </c>
      <c r="FF29" s="18">
        <f>FE29*VLOOKUP('Données projet'!$B$16,Paramètres!$A$1:$I$89,3,0)*VLOOKUP('Données projet'!$B$16,Paramètres!$A$1:$I$89,5,0)</f>
        <v>53.951040000000027</v>
      </c>
      <c r="FG29" s="14">
        <f t="shared" si="47"/>
        <v>15.629572760496334</v>
      </c>
      <c r="FH29" s="22">
        <f t="shared" si="22"/>
        <v>121.18623389119783</v>
      </c>
      <c r="FI29" s="62">
        <f t="shared" si="23"/>
        <v>351.472947940388</v>
      </c>
      <c r="FJ29" s="62">
        <f ca="1">AVERAGE(OFFSET($FI$3,0,0,'Données projet'!$E$16+1,1))-AVERAGE(OFFSET($H$3,0,0,'Données projet'!$E$16+1,1))</f>
        <v>283.95543623515323</v>
      </c>
      <c r="FK29" s="62">
        <f t="shared" si="48"/>
        <v>196.96883829830929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17.123249999999999</v>
      </c>
      <c r="FZ29" s="13">
        <f>IF('Données projet'!$A$244&gt;35,FZ28+FY29-GH28,IF(A29&lt;'Données projet'!$A$244,$FW$205^A29,IF(A29='Données projet'!$A$244,'Données projet'!$B$244,FZ28+FY29-GH28)))</f>
        <v>178.78474999999997</v>
      </c>
      <c r="GA29" s="18">
        <f>FZ29*VLOOKUP('Données projet'!$B$17,Paramètres!$A$1:$I$89,3,0)*VLOOKUP('Données projet'!$B$17,Paramètres!$A$1:$I$89,5,0)</f>
        <v>106.9132805</v>
      </c>
      <c r="GB29" s="14">
        <f t="shared" si="49"/>
        <v>28.602529072061614</v>
      </c>
      <c r="GC29" s="22">
        <f t="shared" si="25"/>
        <v>236.02336833800732</v>
      </c>
      <c r="GD29" s="62">
        <f t="shared" si="26"/>
        <v>466.3100823871975</v>
      </c>
      <c r="GE29" s="62">
        <f ca="1">AVERAGE(OFFSET($GD$3,0,0,'Données projet'!$E$17+1,1))-AVERAGE(OFFSET($H$3,0,0,'Données projet'!$E$17+1,1))</f>
        <v>223.57443551076992</v>
      </c>
      <c r="GF29" s="62">
        <f t="shared" si="50"/>
        <v>382.12751862619427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14.054964913609362</v>
      </c>
      <c r="GM29" s="23">
        <f>EXP(-LN(2)/25)*GM28+(1-EXP(-LN(2)/25))/(LN(2)/25)*Calculateur!GH29*Calculateur!GJ29*VLOOKUP('Données projet'!$B$17,Paramètres!$A$1:$I$89,3,0)*0.475*44/12</f>
        <v>10.452243468189607</v>
      </c>
      <c r="GN29" s="23">
        <f>EXP(-LN(2)/2)*GN28+(1-EXP(-LN(2)/2))/(LN(2)/2)*GH29*GK29*VLOOKUP('Données projet'!$B$17,Paramètres!$A$1:$I$89,3,0)*0.475*44/12</f>
        <v>6.0840268564714037</v>
      </c>
      <c r="GO29" s="23">
        <f t="shared" si="27"/>
        <v>30.591235238270372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3.9335387924944567</v>
      </c>
      <c r="GU29" s="13">
        <f>IF('Données projet'!$A$270&gt;35,GU28+GT29-HC28,IF(A29&lt;'Données projet'!$A$270,$GR$205^A29,IF(A29='Données projet'!$A$270,'Données projet'!$B$270,GU28+GT29-HC28)))</f>
        <v>64.848724077042718</v>
      </c>
      <c r="GV29" s="18">
        <f>GU29*VLOOKUP('Données projet'!$B$18,Paramètres!$A$1:$I$89,3,0)*VLOOKUP('Données projet'!$B$18,Paramètres!$A$1:$I$89,5,0)</f>
        <v>70.814806692130645</v>
      </c>
      <c r="GW29" s="14">
        <f t="shared" si="51"/>
        <v>19.875666301094469</v>
      </c>
      <c r="GX29" s="22">
        <f t="shared" si="28"/>
        <v>157.95257379653376</v>
      </c>
      <c r="GY29" s="62">
        <f t="shared" si="29"/>
        <v>388.23928784572394</v>
      </c>
      <c r="GZ29" s="62">
        <f ca="1">AVERAGE(OFFSET($GY$3,0,0,'Données projet'!$E$18+1,1))-AVERAGE(OFFSET($H$3,0,0,'Données projet'!$E$18+1,1))</f>
        <v>754.33260592777049</v>
      </c>
      <c r="HA29" s="62">
        <f t="shared" si="52"/>
        <v>250.97643915279005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9">
        <f t="shared" si="1"/>
        <v>183.33333333333334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420.17244660972904</v>
      </c>
      <c r="S30" s="62">
        <f ca="1">AVERAGE(OFFSET($R$3,0,0,'Données projet'!$E$9+1,1))-AVERAGE(OFFSET($H$3,0,0,'Données projet'!$E$9+1,1))</f>
        <v>550.39292625253665</v>
      </c>
      <c r="T30" s="62">
        <f t="shared" si="34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94.707600000000028</v>
      </c>
      <c r="AK30" s="14">
        <f t="shared" si="35"/>
        <v>25.697193912523566</v>
      </c>
      <c r="AL30" s="22">
        <f t="shared" si="4"/>
        <v>209.70501606431188</v>
      </c>
      <c r="AM30" s="62">
        <f t="shared" si="5"/>
        <v>442.22285893687535</v>
      </c>
      <c r="AN30" s="62">
        <f ca="1">AVERAGE(OFFSET($AM$3,0,0,'Données projet'!$E$10+1,1))-AVERAGE(OFFSET($H$3,0,0,'Données projet'!$E$10+1,1))</f>
        <v>606.55142836375308</v>
      </c>
      <c r="AO30" s="62">
        <f t="shared" si="36"/>
        <v>325.72635759450861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8.3333333333333321</v>
      </c>
      <c r="BD30" s="13">
        <f>IF('Données projet'!$A$88&gt;35,BD29+BC30-BL29,IF(A30&lt;'Données projet'!$A$88,$BA$205^A30,IF(A30='Données projet'!$A$88,'Données projet'!$B$88,BD29+BC30-BL29)))</f>
        <v>114.10256410256409</v>
      </c>
      <c r="BE30" s="14">
        <f>BD30*VLOOKUP('Données projet'!$B$11,Paramètres!$A$1:$I$89,3,0)*VLOOKUP('Données projet'!$B$11,Paramètres!$A$1:$I$89,5,0)</f>
        <v>119.25999999999999</v>
      </c>
      <c r="BF30" s="14">
        <f t="shared" si="37"/>
        <v>31.50234436011446</v>
      </c>
      <c r="BG30" s="22">
        <f t="shared" si="7"/>
        <v>262.57774976053264</v>
      </c>
      <c r="BH30" s="62">
        <f t="shared" si="8"/>
        <v>495.09559263309615</v>
      </c>
      <c r="BI30" s="62">
        <f ca="1">AVERAGE(OFFSET($BH$3,0,0,'Données projet'!$E$11+1,1))-AVERAGE(OFFSET($H$3,0,0,'Données projet'!$E$11+1,1))</f>
        <v>635.13577238794812</v>
      </c>
      <c r="BJ30" s="62">
        <f t="shared" si="38"/>
        <v>374.35810525172019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40.6</v>
      </c>
      <c r="BY30" s="13">
        <f>IF('Données projet'!$A$114&gt;35,BY29+BX30-CG29,IF(A30&lt;'Données projet'!$A$114,$BV$205^A30,IF(A30='Données projet'!$A$114,'Données projet'!$B$114,BY29+BX30-CG29)))</f>
        <v>395.20000000000005</v>
      </c>
      <c r="BZ30" s="14">
        <f>BY30*VLOOKUP('Données projet'!$B$12,Paramètres!$A$1:$I$89,3,0)*VLOOKUP('Données projet'!$B$12,Paramètres!$A$1:$I$89,5,0)</f>
        <v>174.67840000000004</v>
      </c>
      <c r="CA30" s="14">
        <f t="shared" si="39"/>
        <v>44.136168263132554</v>
      </c>
      <c r="CB30" s="22">
        <f t="shared" si="10"/>
        <v>381.10203972495589</v>
      </c>
      <c r="CC30" s="62">
        <f t="shared" si="11"/>
        <v>613.61988259751934</v>
      </c>
      <c r="CD30" s="62">
        <f ca="1">AVERAGE(OFFSET($CC$3,0,0,'Données projet'!$E$12+1,1))-AVERAGE(OFFSET($H$3,0,0,'Données projet'!$E$12+1,1))</f>
        <v>580.02817743695846</v>
      </c>
      <c r="CE30" s="62">
        <f t="shared" si="40"/>
        <v>551.23515633208865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4.9084615384615384</v>
      </c>
      <c r="CT30" s="13">
        <f>IF('Données projet'!$A$140&gt;35,CT29+CS30-DB29,IF(A30&lt;'Données projet'!$A$140,$CQ$205^A30,IF(A30='Données projet'!$A$140,'Données projet'!$B$140,CT29+CS30-DB29)))</f>
        <v>89.384040457688172</v>
      </c>
      <c r="CU30" s="18">
        <f>CT30*VLOOKUP('Données projet'!$B$13,Paramètres!$A$1:$I$89,3,0)*VLOOKUP('Données projet'!$B$13,Paramètres!$A$1:$I$89,5,0)</f>
        <v>41.831730934198063</v>
      </c>
      <c r="CV30" s="14">
        <f t="shared" si="41"/>
        <v>12.482874982828019</v>
      </c>
      <c r="CW30" s="22">
        <f t="shared" si="13"/>
        <v>94.597938638820423</v>
      </c>
      <c r="CX30" s="62">
        <f t="shared" si="14"/>
        <v>327.11578151138394</v>
      </c>
      <c r="CY30" s="62">
        <f ca="1">AVERAGE(OFFSET($CX$3,0,0,'Données projet'!$E$13+1,1))-AVERAGE(OFFSET($H$3,0,0,'Données projet'!$E$13+1,1))</f>
        <v>321.05795935196863</v>
      </c>
      <c r="CZ30" s="62">
        <f t="shared" si="42"/>
        <v>209.59551322748908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93.40000000000002</v>
      </c>
      <c r="DP30" s="18">
        <f>DO30*VLOOKUP('Données projet'!$B$14,Paramètres!$A$1:$I$89,3,0)*VLOOKUP('Données projet'!$B$14,Paramètres!$A$1:$I$89,5,0)</f>
        <v>100.53576000000002</v>
      </c>
      <c r="DQ30" s="14">
        <f t="shared" si="43"/>
        <v>27.08959526060206</v>
      </c>
      <c r="DR30" s="22">
        <f t="shared" si="16"/>
        <v>222.28082707888197</v>
      </c>
      <c r="DS30" s="62">
        <f t="shared" si="17"/>
        <v>454.7986699514455</v>
      </c>
      <c r="DT30" s="62">
        <f ca="1">AVERAGE(OFFSET($DS$3,0,0,'Données projet'!$E$14+1,1))-AVERAGE(OFFSET($H$3,0,0,'Données projet'!$E$14+1,1))</f>
        <v>638.58602907610805</v>
      </c>
      <c r="DU30" s="62">
        <f t="shared" si="44"/>
        <v>341.9250949809848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>
        <f>VLOOKUP(A30,'Données projet'!$A$191:$I$211,2,0)</f>
        <v>195.90799999999999</v>
      </c>
      <c r="EH30" s="13">
        <f>VLOOKUP(A30,'Données projet'!$A$191:$I$211,9,0)</f>
        <v>17.123249999999999</v>
      </c>
      <c r="EI30" s="13">
        <f t="array" ref="EI30">INDEX(EH:EH,MIN(IF(ISNUMBER(EH30:EH226),ROW(EH30:EH226),"")))</f>
        <v>17.123249999999999</v>
      </c>
      <c r="EJ30" s="13">
        <f>IF('Données projet'!$A$192&gt;35,EJ29+EI30-ER29,IF(A30&lt;'Données projet'!$A$192,$EG$205^A30,IF(A30='Données projet'!$A$192,'Données projet'!$B$192,EJ29+EI30-ER29)))</f>
        <v>195.90799999999996</v>
      </c>
      <c r="EK30" s="18">
        <f>EJ30*VLOOKUP('Données projet'!$B$15,Paramètres!$A$1:$I$89,3,0)*VLOOKUP('Données projet'!$B$15,Paramètres!$A$1:$I$89,5,0)</f>
        <v>117.15298399999998</v>
      </c>
      <c r="EL30" s="14">
        <f t="shared" si="45"/>
        <v>31.010054486958655</v>
      </c>
      <c r="EM30" s="22">
        <f t="shared" si="19"/>
        <v>258.0506253647863</v>
      </c>
      <c r="EN30" s="62">
        <f t="shared" si="20"/>
        <v>490.5684682373498</v>
      </c>
      <c r="EO30" s="62">
        <f ca="1">AVERAGE(OFFSET($EN$3,0,0,'Données projet'!$E$15+1,1))-AVERAGE(OFFSET($H$3,0,0,'Données projet'!$E$15+1,1))</f>
        <v>223.57443551076992</v>
      </c>
      <c r="EP30" s="62">
        <f t="shared" si="46"/>
        <v>382.12751862619427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13.779355624335597</v>
      </c>
      <c r="EW30" s="23">
        <f>EXP(-LN(2)/25)*EW29+(1-EXP(-LN(2)/25))/(LN(2)/25)*Calculateur!ER30*Calculateur!ET30*VLOOKUP('Données projet'!$B$15,Paramètres!$A$1:$I$89,3,0)*0.475*44/12</f>
        <v>10.166426320892368</v>
      </c>
      <c r="EX30" s="23">
        <f>EXP(-LN(2)/2)*EX29+(1-EXP(-LN(2)/2))/(LN(2)/2)*ER30*EU30*VLOOKUP('Données projet'!$B$15,Paramètres!$A$1:$I$89,3,0)*0.475*44/12</f>
        <v>4.3020566471320034</v>
      </c>
      <c r="EY30" s="24">
        <f t="shared" si="21"/>
        <v>28.247838592359969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1.9887500000000002</v>
      </c>
      <c r="FE30" s="13">
        <f>IF('Données projet'!$A$218&gt;35,FE29+FD30-FM29,IF(A30&lt;'Données projet'!$A$218,$FB$205^A30,IF(A30='Données projet'!$A$218,'Données projet'!$B$218,FE29+FD30-FM29)))</f>
        <v>48.821250000000028</v>
      </c>
      <c r="FF30" s="18">
        <f>FE30*VLOOKUP('Données projet'!$B$16,Paramètres!$A$1:$I$89,3,0)*VLOOKUP('Données projet'!$B$16,Paramètres!$A$1:$I$89,5,0)</f>
        <v>56.242080000000023</v>
      </c>
      <c r="FG30" s="14">
        <f t="shared" si="47"/>
        <v>16.214602064519848</v>
      </c>
      <c r="FH30" s="22">
        <f t="shared" si="22"/>
        <v>126.19538792903876</v>
      </c>
      <c r="FI30" s="62">
        <f t="shared" si="23"/>
        <v>358.71323080160226</v>
      </c>
      <c r="FJ30" s="62">
        <f ca="1">AVERAGE(OFFSET($FI$3,0,0,'Données projet'!$E$16+1,1))-AVERAGE(OFFSET($H$3,0,0,'Données projet'!$E$16+1,1))</f>
        <v>283.95543623515323</v>
      </c>
      <c r="FK30" s="62">
        <f t="shared" si="48"/>
        <v>196.96883829830929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>
        <f>VLOOKUP(A30,'Données projet'!$A$243:$I$263,2,0)</f>
        <v>195.90799999999999</v>
      </c>
      <c r="FX30" s="13">
        <f>VLOOKUP(A30,'Données projet'!$A$243:$I$263,9,0)</f>
        <v>17.123249999999999</v>
      </c>
      <c r="FY30" s="13">
        <f t="array" ref="FY30">INDEX(FX:FX,MIN(IF(ISNUMBER(FX30:FX226),ROW(FX30:FX226),"")))</f>
        <v>17.123249999999999</v>
      </c>
      <c r="FZ30" s="13">
        <f>IF('Données projet'!$A$244&gt;35,FZ29+FY30-GH29,IF(A30&lt;'Données projet'!$A$244,$FW$205^A30,IF(A30='Données projet'!$A$244,'Données projet'!$B$244,FZ29+FY30-GH29)))</f>
        <v>195.90799999999996</v>
      </c>
      <c r="GA30" s="18">
        <f>FZ30*VLOOKUP('Données projet'!$B$17,Paramètres!$A$1:$I$89,3,0)*VLOOKUP('Données projet'!$B$17,Paramètres!$A$1:$I$89,5,0)</f>
        <v>117.15298399999998</v>
      </c>
      <c r="GB30" s="14">
        <f t="shared" si="49"/>
        <v>31.010054486958655</v>
      </c>
      <c r="GC30" s="22">
        <f t="shared" si="25"/>
        <v>258.0506253647863</v>
      </c>
      <c r="GD30" s="62">
        <f t="shared" si="26"/>
        <v>490.5684682373498</v>
      </c>
      <c r="GE30" s="62">
        <f ca="1">AVERAGE(OFFSET($GD$3,0,0,'Données projet'!$E$17+1,1))-AVERAGE(OFFSET($H$3,0,0,'Données projet'!$E$17+1,1))</f>
        <v>223.57443551076992</v>
      </c>
      <c r="GF30" s="62">
        <f t="shared" si="50"/>
        <v>382.12751862619427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13.779355624335597</v>
      </c>
      <c r="GM30" s="23">
        <f>EXP(-LN(2)/25)*GM29+(1-EXP(-LN(2)/25))/(LN(2)/25)*Calculateur!GH30*Calculateur!GJ30*VLOOKUP('Données projet'!$B$17,Paramètres!$A$1:$I$89,3,0)*0.475*44/12</f>
        <v>10.166426320892368</v>
      </c>
      <c r="GN30" s="23">
        <f>EXP(-LN(2)/2)*GN29+(1-EXP(-LN(2)/2))/(LN(2)/2)*GH30*GK30*VLOOKUP('Données projet'!$B$17,Paramètres!$A$1:$I$89,3,0)*0.475*44/12</f>
        <v>4.3020566471320034</v>
      </c>
      <c r="GO30" s="23">
        <f t="shared" si="27"/>
        <v>28.247838592359969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3.9335387924944567</v>
      </c>
      <c r="GU30" s="13">
        <f>IF('Données projet'!$A$270&gt;35,GU29+GT30-HC29,IF(A30&lt;'Données projet'!$A$270,$GR$205^A30,IF(A30='Données projet'!$A$270,'Données projet'!$B$270,GU29+GT30-HC29)))</f>
        <v>68.782262869537178</v>
      </c>
      <c r="GV30" s="18">
        <f>GU30*VLOOKUP('Données projet'!$B$18,Paramètres!$A$1:$I$89,3,0)*VLOOKUP('Données projet'!$B$18,Paramètres!$A$1:$I$89,5,0)</f>
        <v>75.110231053534591</v>
      </c>
      <c r="GW30" s="14">
        <f t="shared" si="51"/>
        <v>20.937257187070852</v>
      </c>
      <c r="GX30" s="22">
        <f t="shared" si="28"/>
        <v>167.28270868572113</v>
      </c>
      <c r="GY30" s="62">
        <f t="shared" si="29"/>
        <v>399.80055155828461</v>
      </c>
      <c r="GZ30" s="62">
        <f ca="1">AVERAGE(OFFSET($GY$3,0,0,'Données projet'!$E$18+1,1))-AVERAGE(OFFSET($H$3,0,0,'Données projet'!$E$18+1,1))</f>
        <v>754.33260592777049</v>
      </c>
      <c r="HA30" s="62">
        <f t="shared" si="52"/>
        <v>250.97643915279005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9">
        <f t="shared" si="1"/>
        <v>183.33333333333334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440.3867625099287</v>
      </c>
      <c r="S31" s="62">
        <f ca="1">AVERAGE(OFFSET($R$3,0,0,'Données projet'!$E$9+1,1))-AVERAGE(OFFSET($H$3,0,0,'Données projet'!$E$9+1,1))</f>
        <v>550.39292625253665</v>
      </c>
      <c r="T31" s="62">
        <f t="shared" si="34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104.03640000000003</v>
      </c>
      <c r="AK31" s="14">
        <f t="shared" si="35"/>
        <v>27.921388397820998</v>
      </c>
      <c r="AL31" s="22">
        <f t="shared" si="4"/>
        <v>229.82648145953826</v>
      </c>
      <c r="AM31" s="62">
        <f t="shared" si="5"/>
        <v>464.55795088152234</v>
      </c>
      <c r="AN31" s="62">
        <f ca="1">AVERAGE(OFFSET($AM$3,0,0,'Données projet'!$E$10+1,1))-AVERAGE(OFFSET($H$3,0,0,'Données projet'!$E$10+1,1))</f>
        <v>606.55142836375308</v>
      </c>
      <c r="AO31" s="62">
        <f t="shared" si="36"/>
        <v>325.72635759450861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8.3333333333333321</v>
      </c>
      <c r="BD31" s="13">
        <f>IF('Données projet'!$A$88&gt;35,BD30+BC31-BL30,IF(A31&lt;'Données projet'!$A$88,$BA$205^A31,IF(A31='Données projet'!$A$88,'Données projet'!$B$88,BD30+BC31-BL30)))</f>
        <v>122.43589743589742</v>
      </c>
      <c r="BE31" s="14">
        <f>BD31*VLOOKUP('Données projet'!$B$11,Paramètres!$A$1:$I$89,3,0)*VLOOKUP('Données projet'!$B$11,Paramètres!$A$1:$I$89,5,0)</f>
        <v>127.96999999999998</v>
      </c>
      <c r="BF31" s="14">
        <f t="shared" si="37"/>
        <v>33.526857135589701</v>
      </c>
      <c r="BG31" s="22">
        <f t="shared" si="7"/>
        <v>281.27369284448537</v>
      </c>
      <c r="BH31" s="62">
        <f t="shared" si="8"/>
        <v>516.00516226646948</v>
      </c>
      <c r="BI31" s="62">
        <f ca="1">AVERAGE(OFFSET($BH$3,0,0,'Données projet'!$E$11+1,1))-AVERAGE(OFFSET($H$3,0,0,'Données projet'!$E$11+1,1))</f>
        <v>635.13577238794812</v>
      </c>
      <c r="BJ31" s="62">
        <f t="shared" si="38"/>
        <v>374.35810525172019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40.6</v>
      </c>
      <c r="BY31" s="13">
        <f>IF('Données projet'!$A$114&gt;35,BY30+BX31-CG30,IF(A31&lt;'Données projet'!$A$114,$BV$205^A31,IF(A31='Données projet'!$A$114,'Données projet'!$B$114,BY30+BX31-CG30)))</f>
        <v>435.80000000000007</v>
      </c>
      <c r="BZ31" s="14">
        <f>BY31*VLOOKUP('Données projet'!$B$12,Paramètres!$A$1:$I$89,3,0)*VLOOKUP('Données projet'!$B$12,Paramètres!$A$1:$I$89,5,0)</f>
        <v>192.62360000000004</v>
      </c>
      <c r="CA31" s="14">
        <f t="shared" si="39"/>
        <v>48.119529789010301</v>
      </c>
      <c r="CB31" s="22">
        <f t="shared" si="10"/>
        <v>419.29428438252631</v>
      </c>
      <c r="CC31" s="62">
        <f t="shared" si="11"/>
        <v>654.02575380451037</v>
      </c>
      <c r="CD31" s="62">
        <f ca="1">AVERAGE(OFFSET($CC$3,0,0,'Données projet'!$E$12+1,1))-AVERAGE(OFFSET($H$3,0,0,'Données projet'!$E$12+1,1))</f>
        <v>580.02817743695846</v>
      </c>
      <c r="CE31" s="62">
        <f t="shared" si="40"/>
        <v>551.23515633208865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4.9084615384615384</v>
      </c>
      <c r="CT31" s="13">
        <f>IF('Données projet'!$A$140&gt;35,CT30+CS31-DB30,IF(A31&lt;'Données projet'!$A$140,$CQ$205^A31,IF(A31='Données projet'!$A$140,'Données projet'!$B$140,CT30+CS31-DB30)))</f>
        <v>105.56716787013318</v>
      </c>
      <c r="CU31" s="18">
        <f>CT31*VLOOKUP('Données projet'!$B$13,Paramètres!$A$1:$I$89,3,0)*VLOOKUP('Données projet'!$B$13,Paramètres!$A$1:$I$89,5,0)</f>
        <v>49.405434563222322</v>
      </c>
      <c r="CV31" s="14">
        <f t="shared" si="41"/>
        <v>14.46010380603388</v>
      </c>
      <c r="CW31" s="22">
        <f t="shared" si="13"/>
        <v>111.23247932645454</v>
      </c>
      <c r="CX31" s="62">
        <f t="shared" si="14"/>
        <v>345.96394874843861</v>
      </c>
      <c r="CY31" s="62">
        <f ca="1">AVERAGE(OFFSET($CX$3,0,0,'Données projet'!$E$13+1,1))-AVERAGE(OFFSET($H$3,0,0,'Données projet'!$E$13+1,1))</f>
        <v>321.05795935196863</v>
      </c>
      <c r="CZ31" s="62">
        <f t="shared" si="42"/>
        <v>209.59551322748908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102.60000000000002</v>
      </c>
      <c r="DP31" s="18">
        <f>DO31*VLOOKUP('Données projet'!$B$14,Paramètres!$A$1:$I$89,3,0)*VLOOKUP('Données projet'!$B$14,Paramètres!$A$1:$I$89,5,0)</f>
        <v>110.43864000000002</v>
      </c>
      <c r="DQ31" s="14">
        <f t="shared" si="43"/>
        <v>29.434307628523538</v>
      </c>
      <c r="DR31" s="22">
        <f t="shared" si="16"/>
        <v>243.61205045301185</v>
      </c>
      <c r="DS31" s="62">
        <f t="shared" si="17"/>
        <v>478.34351987499593</v>
      </c>
      <c r="DT31" s="62">
        <f ca="1">AVERAGE(OFFSET($DS$3,0,0,'Données projet'!$E$14+1,1))-AVERAGE(OFFSET($H$3,0,0,'Données projet'!$E$14+1,1))</f>
        <v>638.58602907610805</v>
      </c>
      <c r="DU31" s="62">
        <f t="shared" si="44"/>
        <v>341.9250949809848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17.765000000000004</v>
      </c>
      <c r="EJ31" s="13">
        <f>IF('Données projet'!$A$192&gt;35,EJ30+EI31-ER30,IF(A31&lt;'Données projet'!$A$192,$EG$205^A31,IF(A31='Données projet'!$A$192,'Données projet'!$B$192,EJ30+EI31-ER30)))</f>
        <v>213.67299999999997</v>
      </c>
      <c r="EK31" s="18">
        <f>EJ31*VLOOKUP('Données projet'!$B$15,Paramètres!$A$1:$I$89,3,0)*VLOOKUP('Données projet'!$B$15,Paramètres!$A$1:$I$89,5,0)</f>
        <v>127.77645399999999</v>
      </c>
      <c r="EL31" s="14">
        <f t="shared" si="45"/>
        <v>33.48204838554318</v>
      </c>
      <c r="EM31" s="22">
        <f t="shared" si="19"/>
        <v>280.85855832148769</v>
      </c>
      <c r="EN31" s="62">
        <f t="shared" si="20"/>
        <v>515.59002774347175</v>
      </c>
      <c r="EO31" s="62">
        <f ca="1">AVERAGE(OFFSET($EN$3,0,0,'Données projet'!$E$15+1,1))-AVERAGE(OFFSET($H$3,0,0,'Données projet'!$E$15+1,1))</f>
        <v>223.57443551076992</v>
      </c>
      <c r="EP31" s="62">
        <f t="shared" si="46"/>
        <v>382.12751862619427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13.509150865119423</v>
      </c>
      <c r="EW31" s="23">
        <f>EXP(-LN(2)/25)*EW30+(1-EXP(-LN(2)/25))/(LN(2)/25)*Calculateur!ER31*Calculateur!ET31*VLOOKUP('Données projet'!$B$15,Paramètres!$A$1:$I$89,3,0)*0.475*44/12</f>
        <v>9.8884248585184427</v>
      </c>
      <c r="EX31" s="23">
        <f>EXP(-LN(2)/2)*EX30+(1-EXP(-LN(2)/2))/(LN(2)/2)*ER31*EU31*VLOOKUP('Données projet'!$B$15,Paramètres!$A$1:$I$89,3,0)*0.475*44/12</f>
        <v>3.0420134282357019</v>
      </c>
      <c r="EY31" s="24">
        <f t="shared" si="21"/>
        <v>26.439589151873566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1.9887500000000002</v>
      </c>
      <c r="FE31" s="13">
        <f>IF('Données projet'!$A$218&gt;35,FE30+FD31-FM30,IF(A31&lt;'Données projet'!$A$218,$FB$205^A31,IF(A31='Données projet'!$A$218,'Données projet'!$B$218,FE30+FD31-FM30)))</f>
        <v>50.810000000000031</v>
      </c>
      <c r="FF31" s="18">
        <f>FE31*VLOOKUP('Données projet'!$B$16,Paramètres!$A$1:$I$89,3,0)*VLOOKUP('Données projet'!$B$16,Paramètres!$A$1:$I$89,5,0)</f>
        <v>58.533120000000032</v>
      </c>
      <c r="FG31" s="14">
        <f t="shared" si="47"/>
        <v>16.79686315525263</v>
      </c>
      <c r="FH31" s="22">
        <f t="shared" si="22"/>
        <v>131.19972066206506</v>
      </c>
      <c r="FI31" s="62">
        <f t="shared" si="23"/>
        <v>365.93119008404915</v>
      </c>
      <c r="FJ31" s="62">
        <f ca="1">AVERAGE(OFFSET($FI$3,0,0,'Données projet'!$E$16+1,1))-AVERAGE(OFFSET($H$3,0,0,'Données projet'!$E$16+1,1))</f>
        <v>283.95543623515323</v>
      </c>
      <c r="FK31" s="62">
        <f t="shared" si="48"/>
        <v>196.96883829830929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17.765000000000004</v>
      </c>
      <c r="FZ31" s="13">
        <f>IF('Données projet'!$A$244&gt;35,FZ30+FY31-GH30,IF(A31&lt;'Données projet'!$A$244,$FW$205^A31,IF(A31='Données projet'!$A$244,'Données projet'!$B$244,FZ30+FY31-GH30)))</f>
        <v>213.67299999999997</v>
      </c>
      <c r="GA31" s="18">
        <f>FZ31*VLOOKUP('Données projet'!$B$17,Paramètres!$A$1:$I$89,3,0)*VLOOKUP('Données projet'!$B$17,Paramètres!$A$1:$I$89,5,0)</f>
        <v>127.77645399999999</v>
      </c>
      <c r="GB31" s="14">
        <f t="shared" si="49"/>
        <v>33.48204838554318</v>
      </c>
      <c r="GC31" s="22">
        <f t="shared" si="25"/>
        <v>280.85855832148769</v>
      </c>
      <c r="GD31" s="62">
        <f t="shared" si="26"/>
        <v>515.59002774347175</v>
      </c>
      <c r="GE31" s="62">
        <f ca="1">AVERAGE(OFFSET($GD$3,0,0,'Données projet'!$E$17+1,1))-AVERAGE(OFFSET($H$3,0,0,'Données projet'!$E$17+1,1))</f>
        <v>223.57443551076992</v>
      </c>
      <c r="GF31" s="62">
        <f t="shared" si="50"/>
        <v>382.12751862619427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13.509150865119423</v>
      </c>
      <c r="GM31" s="23">
        <f>EXP(-LN(2)/25)*GM30+(1-EXP(-LN(2)/25))/(LN(2)/25)*Calculateur!GH31*Calculateur!GJ31*VLOOKUP('Données projet'!$B$17,Paramètres!$A$1:$I$89,3,0)*0.475*44/12</f>
        <v>9.8884248585184427</v>
      </c>
      <c r="GN31" s="23">
        <f>EXP(-LN(2)/2)*GN30+(1-EXP(-LN(2)/2))/(LN(2)/2)*GH31*GK31*VLOOKUP('Données projet'!$B$17,Paramètres!$A$1:$I$89,3,0)*0.475*44/12</f>
        <v>3.0420134282357019</v>
      </c>
      <c r="GO31" s="23">
        <f t="shared" si="27"/>
        <v>26.439589151873566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3.9335387924944567</v>
      </c>
      <c r="GU31" s="13">
        <f>IF('Données projet'!$A$270&gt;35,GU30+GT31-HC30,IF(A31&lt;'Données projet'!$A$270,$GR$205^A31,IF(A31='Données projet'!$A$270,'Données projet'!$B$270,GU30+GT31-HC30)))</f>
        <v>72.715801662031637</v>
      </c>
      <c r="GV31" s="18">
        <f>GU31*VLOOKUP('Données projet'!$B$18,Paramètres!$A$1:$I$89,3,0)*VLOOKUP('Données projet'!$B$18,Paramètres!$A$1:$I$89,5,0)</f>
        <v>79.405655414938551</v>
      </c>
      <c r="GW31" s="14">
        <f t="shared" si="51"/>
        <v>21.991800778954815</v>
      </c>
      <c r="GX31" s="22">
        <f t="shared" si="28"/>
        <v>176.60056953769762</v>
      </c>
      <c r="GY31" s="62">
        <f t="shared" si="29"/>
        <v>411.33203895968171</v>
      </c>
      <c r="GZ31" s="62">
        <f ca="1">AVERAGE(OFFSET($GY$3,0,0,'Données projet'!$E$18+1,1))-AVERAGE(OFFSET($H$3,0,0,'Données projet'!$E$18+1,1))</f>
        <v>754.33260592777049</v>
      </c>
      <c r="HA31" s="62">
        <f t="shared" si="52"/>
        <v>250.97643915279005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9">
        <f t="shared" si="1"/>
        <v>183.33333333333334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460.54745843353226</v>
      </c>
      <c r="S32" s="62">
        <f ca="1">AVERAGE(OFFSET($R$3,0,0,'Données projet'!$E$9+1,1))-AVERAGE(OFFSET($H$3,0,0,'Données projet'!$E$9+1,1))</f>
        <v>550.39292625253665</v>
      </c>
      <c r="T32" s="62">
        <f t="shared" si="34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113.36520000000003</v>
      </c>
      <c r="AK32" s="14">
        <f t="shared" si="35"/>
        <v>30.122456058687614</v>
      </c>
      <c r="AL32" s="22">
        <f t="shared" si="4"/>
        <v>249.9076676355476</v>
      </c>
      <c r="AM32" s="62">
        <f t="shared" si="5"/>
        <v>486.8355649583234</v>
      </c>
      <c r="AN32" s="62">
        <f ca="1">AVERAGE(OFFSET($AM$3,0,0,'Données projet'!$E$10+1,1))-AVERAGE(OFFSET($H$3,0,0,'Données projet'!$E$10+1,1))</f>
        <v>606.55142836375308</v>
      </c>
      <c r="AO32" s="62">
        <f t="shared" si="36"/>
        <v>325.72635759450861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8.3333333333333321</v>
      </c>
      <c r="BD32" s="13">
        <f>IF('Données projet'!$A$88&gt;35,BD31+BC32-BL31,IF(A32&lt;'Données projet'!$A$88,$BA$205^A32,IF(A32='Données projet'!$A$88,'Données projet'!$B$88,BD31+BC32-BL31)))</f>
        <v>130.76923076923075</v>
      </c>
      <c r="BE32" s="14">
        <f>BD32*VLOOKUP('Données projet'!$B$11,Paramètres!$A$1:$I$89,3,0)*VLOOKUP('Données projet'!$B$11,Paramètres!$A$1:$I$89,5,0)</f>
        <v>136.67999999999998</v>
      </c>
      <c r="BF32" s="14">
        <f t="shared" si="37"/>
        <v>35.535381023829849</v>
      </c>
      <c r="BG32" s="22">
        <f t="shared" si="7"/>
        <v>299.94178861650357</v>
      </c>
      <c r="BH32" s="62">
        <f t="shared" si="8"/>
        <v>536.86968593927941</v>
      </c>
      <c r="BI32" s="62">
        <f ca="1">AVERAGE(OFFSET($BH$3,0,0,'Données projet'!$E$11+1,1))-AVERAGE(OFFSET($H$3,0,0,'Données projet'!$E$11+1,1))</f>
        <v>635.13577238794812</v>
      </c>
      <c r="BJ32" s="62">
        <f t="shared" si="38"/>
        <v>374.35810525172019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40.6</v>
      </c>
      <c r="BY32" s="13">
        <f>IF('Données projet'!$A$114&gt;35,BY31+BX32-CG31,IF(A32&lt;'Données projet'!$A$114,$BV$205^A32,IF(A32='Données projet'!$A$114,'Données projet'!$B$114,BY31+BX32-CG31)))</f>
        <v>476.40000000000009</v>
      </c>
      <c r="BZ32" s="14">
        <f>BY32*VLOOKUP('Données projet'!$B$12,Paramètres!$A$1:$I$89,3,0)*VLOOKUP('Données projet'!$B$12,Paramètres!$A$1:$I$89,5,0)</f>
        <v>210.56880000000007</v>
      </c>
      <c r="CA32" s="14">
        <f t="shared" si="39"/>
        <v>52.059863234767519</v>
      </c>
      <c r="CB32" s="22">
        <f t="shared" si="10"/>
        <v>457.41158846722027</v>
      </c>
      <c r="CC32" s="62">
        <f t="shared" si="11"/>
        <v>694.33948578999616</v>
      </c>
      <c r="CD32" s="62">
        <f ca="1">AVERAGE(OFFSET($CC$3,0,0,'Données projet'!$E$12+1,1))-AVERAGE(OFFSET($H$3,0,0,'Données projet'!$E$12+1,1))</f>
        <v>580.02817743695846</v>
      </c>
      <c r="CE32" s="62">
        <f t="shared" si="40"/>
        <v>551.23515633208865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4.9084615384615384</v>
      </c>
      <c r="CT32" s="13">
        <f>IF('Données projet'!$A$140&gt;35,CT31+CS32-DB31,IF(A32&lt;'Données projet'!$A$140,$CQ$205^A32,IF(A32='Données projet'!$A$140,'Données projet'!$B$140,CT31+CS32-DB31)))</f>
        <v>124.68027709483918</v>
      </c>
      <c r="CU32" s="18">
        <f>CT32*VLOOKUP('Données projet'!$B$13,Paramètres!$A$1:$I$89,3,0)*VLOOKUP('Données projet'!$B$13,Paramètres!$A$1:$I$89,5,0)</f>
        <v>58.350369680384738</v>
      </c>
      <c r="CV32" s="14">
        <f t="shared" si="41"/>
        <v>16.750516396977062</v>
      </c>
      <c r="CW32" s="22">
        <f t="shared" si="13"/>
        <v>130.80070991807179</v>
      </c>
      <c r="CX32" s="62">
        <f t="shared" si="14"/>
        <v>367.72860724084762</v>
      </c>
      <c r="CY32" s="62">
        <f ca="1">AVERAGE(OFFSET($CX$3,0,0,'Données projet'!$E$13+1,1))-AVERAGE(OFFSET($H$3,0,0,'Données projet'!$E$13+1,1))</f>
        <v>321.05795935196863</v>
      </c>
      <c r="CZ32" s="62">
        <f t="shared" si="42"/>
        <v>209.59551322748908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111.80000000000003</v>
      </c>
      <c r="DP32" s="18">
        <f>DO32*VLOOKUP('Données projet'!$B$14,Paramètres!$A$1:$I$89,3,0)*VLOOKUP('Données projet'!$B$14,Paramètres!$A$1:$I$89,5,0)</f>
        <v>120.34152000000002</v>
      </c>
      <c r="DQ32" s="14">
        <f t="shared" si="43"/>
        <v>31.754640046026051</v>
      </c>
      <c r="DR32" s="22">
        <f t="shared" si="16"/>
        <v>264.90081208016204</v>
      </c>
      <c r="DS32" s="62">
        <f t="shared" si="17"/>
        <v>501.82870940293787</v>
      </c>
      <c r="DT32" s="62">
        <f ca="1">AVERAGE(OFFSET($DS$3,0,0,'Données projet'!$E$14+1,1))-AVERAGE(OFFSET($H$3,0,0,'Données projet'!$E$14+1,1))</f>
        <v>638.58602907610805</v>
      </c>
      <c r="DU32" s="62">
        <f t="shared" si="44"/>
        <v>341.9250949809848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17.765000000000004</v>
      </c>
      <c r="EJ32" s="13">
        <f>IF('Données projet'!$A$192&gt;35,EJ31+EI32-ER31,IF(A32&lt;'Données projet'!$A$192,$EG$205^A32,IF(A32='Données projet'!$A$192,'Données projet'!$B$192,EJ31+EI32-ER31)))</f>
        <v>231.43799999999999</v>
      </c>
      <c r="EK32" s="18">
        <f>EJ32*VLOOKUP('Données projet'!$B$15,Paramètres!$A$1:$I$89,3,0)*VLOOKUP('Données projet'!$B$15,Paramètres!$A$1:$I$89,5,0)</f>
        <v>138.399924</v>
      </c>
      <c r="EL32" s="14">
        <f t="shared" si="45"/>
        <v>35.930205686097963</v>
      </c>
      <c r="EM32" s="22">
        <f t="shared" si="19"/>
        <v>303.62497586995391</v>
      </c>
      <c r="EN32" s="62">
        <f t="shared" si="20"/>
        <v>540.55287319272975</v>
      </c>
      <c r="EO32" s="62">
        <f ca="1">AVERAGE(OFFSET($EN$3,0,0,'Données projet'!$E$15+1,1))-AVERAGE(OFFSET($H$3,0,0,'Données projet'!$E$15+1,1))</f>
        <v>223.57443551076992</v>
      </c>
      <c r="EP32" s="62">
        <f t="shared" si="46"/>
        <v>382.12751862619427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13.244244656422849</v>
      </c>
      <c r="EW32" s="23">
        <f>EXP(-LN(2)/25)*EW31+(1-EXP(-LN(2)/25))/(LN(2)/25)*Calculateur!ER32*Calculateur!ET32*VLOOKUP('Données projet'!$B$15,Paramètres!$A$1:$I$89,3,0)*0.475*44/12</f>
        <v>9.6180253607525934</v>
      </c>
      <c r="EX32" s="23">
        <f>EXP(-LN(2)/2)*EX31+(1-EXP(-LN(2)/2))/(LN(2)/2)*ER32*EU32*VLOOKUP('Données projet'!$B$15,Paramètres!$A$1:$I$89,3,0)*0.475*44/12</f>
        <v>2.1510283235660017</v>
      </c>
      <c r="EY32" s="24">
        <f t="shared" si="21"/>
        <v>25.013298340741443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1.9887500000000002</v>
      </c>
      <c r="FE32" s="13">
        <f>IF('Données projet'!$A$218&gt;35,FE31+FD32-FM31,IF(A32&lt;'Données projet'!$A$218,$FB$205^A32,IF(A32='Données projet'!$A$218,'Données projet'!$B$218,FE31+FD32-FM31)))</f>
        <v>52.798750000000034</v>
      </c>
      <c r="FF32" s="18">
        <f>FE32*VLOOKUP('Données projet'!$B$16,Paramètres!$A$1:$I$89,3,0)*VLOOKUP('Données projet'!$B$16,Paramètres!$A$1:$I$89,5,0)</f>
        <v>60.824160000000035</v>
      </c>
      <c r="FG32" s="14">
        <f t="shared" si="47"/>
        <v>17.376476782758175</v>
      </c>
      <c r="FH32" s="22">
        <f t="shared" si="22"/>
        <v>136.19944239663721</v>
      </c>
      <c r="FI32" s="62">
        <f t="shared" si="23"/>
        <v>373.12733971941304</v>
      </c>
      <c r="FJ32" s="62">
        <f ca="1">AVERAGE(OFFSET($FI$3,0,0,'Données projet'!$E$16+1,1))-AVERAGE(OFFSET($H$3,0,0,'Données projet'!$E$16+1,1))</f>
        <v>283.95543623515323</v>
      </c>
      <c r="FK32" s="62">
        <f t="shared" si="48"/>
        <v>196.96883829830929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17.765000000000004</v>
      </c>
      <c r="FZ32" s="13">
        <f>IF('Données projet'!$A$244&gt;35,FZ31+FY32-GH31,IF(A32&lt;'Données projet'!$A$244,$FW$205^A32,IF(A32='Données projet'!$A$244,'Données projet'!$B$244,FZ31+FY32-GH31)))</f>
        <v>231.43799999999999</v>
      </c>
      <c r="GA32" s="18">
        <f>FZ32*VLOOKUP('Données projet'!$B$17,Paramètres!$A$1:$I$89,3,0)*VLOOKUP('Données projet'!$B$17,Paramètres!$A$1:$I$89,5,0)</f>
        <v>138.399924</v>
      </c>
      <c r="GB32" s="14">
        <f t="shared" si="49"/>
        <v>35.930205686097963</v>
      </c>
      <c r="GC32" s="22">
        <f t="shared" si="25"/>
        <v>303.62497586995391</v>
      </c>
      <c r="GD32" s="62">
        <f t="shared" si="26"/>
        <v>540.55287319272975</v>
      </c>
      <c r="GE32" s="62">
        <f ca="1">AVERAGE(OFFSET($GD$3,0,0,'Données projet'!$E$17+1,1))-AVERAGE(OFFSET($H$3,0,0,'Données projet'!$E$17+1,1))</f>
        <v>223.57443551076992</v>
      </c>
      <c r="GF32" s="62">
        <f t="shared" si="50"/>
        <v>382.12751862619427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13.244244656422849</v>
      </c>
      <c r="GM32" s="23">
        <f>EXP(-LN(2)/25)*GM31+(1-EXP(-LN(2)/25))/(LN(2)/25)*Calculateur!GH32*Calculateur!GJ32*VLOOKUP('Données projet'!$B$17,Paramètres!$A$1:$I$89,3,0)*0.475*44/12</f>
        <v>9.6180253607525934</v>
      </c>
      <c r="GN32" s="23">
        <f>EXP(-LN(2)/2)*GN31+(1-EXP(-LN(2)/2))/(LN(2)/2)*GH32*GK32*VLOOKUP('Données projet'!$B$17,Paramètres!$A$1:$I$89,3,0)*0.475*44/12</f>
        <v>2.1510283235660017</v>
      </c>
      <c r="GO32" s="23">
        <f t="shared" si="27"/>
        <v>25.013298340741443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3.9335387924944567</v>
      </c>
      <c r="GU32" s="13">
        <f>IF('Données projet'!$A$270&gt;35,GU31+GT32-HC31,IF(A32&lt;'Données projet'!$A$270,$GR$205^A32,IF(A32='Données projet'!$A$270,'Données projet'!$B$270,GU31+GT32-HC31)))</f>
        <v>76.649340454526097</v>
      </c>
      <c r="GV32" s="18">
        <f>GU32*VLOOKUP('Données projet'!$B$18,Paramètres!$A$1:$I$89,3,0)*VLOOKUP('Données projet'!$B$18,Paramètres!$A$1:$I$89,5,0)</f>
        <v>83.701079776342496</v>
      </c>
      <c r="GW32" s="14">
        <f t="shared" si="51"/>
        <v>23.039721760110151</v>
      </c>
      <c r="GX32" s="22">
        <f t="shared" si="28"/>
        <v>185.90689600932171</v>
      </c>
      <c r="GY32" s="62">
        <f t="shared" si="29"/>
        <v>422.83479333209755</v>
      </c>
      <c r="GZ32" s="62">
        <f ca="1">AVERAGE(OFFSET($GY$3,0,0,'Données projet'!$E$18+1,1))-AVERAGE(OFFSET($H$3,0,0,'Données projet'!$E$18+1,1))</f>
        <v>754.33260592777049</v>
      </c>
      <c r="HA32" s="62">
        <f t="shared" si="52"/>
        <v>250.97643915279005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9">
        <f t="shared" si="1"/>
        <v>183.33333333333334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480.65817058337467</v>
      </c>
      <c r="S33" s="62">
        <f ca="1">AVERAGE(OFFSET($R$3,0,0,'Données projet'!$E$9+1,1))-AVERAGE(OFFSET($H$3,0,0,'Données projet'!$E$9+1,1))</f>
        <v>550.39292625253665</v>
      </c>
      <c r="T33" s="62">
        <f t="shared" si="34"/>
        <v>297.32483725004136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122.69400000000003</v>
      </c>
      <c r="AK33" s="14">
        <f t="shared" si="35"/>
        <v>32.302516360650685</v>
      </c>
      <c r="AL33" s="22">
        <f t="shared" si="4"/>
        <v>269.95226599480003</v>
      </c>
      <c r="AM33" s="62">
        <f t="shared" si="5"/>
        <v>509.05969092784198</v>
      </c>
      <c r="AN33" s="62">
        <f ca="1">AVERAGE(OFFSET($AM$3,0,0,'Données projet'!$E$10+1,1))-AVERAGE(OFFSET($H$3,0,0,'Données projet'!$E$10+1,1))</f>
        <v>606.55142836375308</v>
      </c>
      <c r="AO33" s="62">
        <f t="shared" si="36"/>
        <v>325.72635759450861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139.10256410256409</v>
      </c>
      <c r="BB33" s="13">
        <f>VLOOKUP(A33,'Données projet'!$A$87:$I$107,9,0)</f>
        <v>8.3333333333333321</v>
      </c>
      <c r="BC33" s="13">
        <f t="array" ref="BC33">INDEX(BB:BB,MIN(IF(ISNUMBER(BB33:BB229),ROW(BB33:BB229),"")))</f>
        <v>8.3333333333333321</v>
      </c>
      <c r="BD33" s="13">
        <f>IF('Données projet'!$A$88&gt;35,BD32+BC33-BL32,IF(A33&lt;'Données projet'!$A$88,$BA$205^A33,IF(A33='Données projet'!$A$88,'Données projet'!$B$88,BD32+BC33-BL32)))</f>
        <v>139.10256410256409</v>
      </c>
      <c r="BE33" s="14">
        <f>BD33*VLOOKUP('Données projet'!$B$11,Paramètres!$A$1:$I$89,3,0)*VLOOKUP('Données projet'!$B$11,Paramètres!$A$1:$I$89,5,0)</f>
        <v>145.38999999999999</v>
      </c>
      <c r="BF33" s="14">
        <f t="shared" si="37"/>
        <v>37.529050900676538</v>
      </c>
      <c r="BG33" s="22">
        <f t="shared" si="7"/>
        <v>318.58401365201161</v>
      </c>
      <c r="BH33" s="62">
        <f t="shared" si="8"/>
        <v>557.69143858505356</v>
      </c>
      <c r="BI33" s="62">
        <f ca="1">AVERAGE(OFFSET($BH$3,0,0,'Données projet'!$E$11+1,1))-AVERAGE(OFFSET($H$3,0,0,'Données projet'!$E$11+1,1))</f>
        <v>635.13577238794812</v>
      </c>
      <c r="BJ33" s="62">
        <f t="shared" si="38"/>
        <v>374.35810525172019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517</v>
      </c>
      <c r="BW33" s="13">
        <f>VLOOKUP(A33,'Données projet'!$A$113:$I$133,9,0)</f>
        <v>40.6</v>
      </c>
      <c r="BX33" s="13">
        <f t="array" ref="BX33">INDEX(BW:BW,MIN(IF(ISNUMBER(BW33:BW229),ROW(BW33:BW229),"")))</f>
        <v>40.6</v>
      </c>
      <c r="BY33" s="13">
        <f>IF('Données projet'!$A$114&gt;35,BY32+BX33-CG32,IF(A33&lt;'Données projet'!$A$114,$BV$205^A33,IF(A33='Données projet'!$A$114,'Données projet'!$B$114,BY32+BX33-CG32)))</f>
        <v>517.00000000000011</v>
      </c>
      <c r="BZ33" s="14">
        <f>BY33*VLOOKUP('Données projet'!$B$12,Paramètres!$A$1:$I$89,3,0)*VLOOKUP('Données projet'!$B$12,Paramètres!$A$1:$I$89,5,0)</f>
        <v>228.5140000000001</v>
      </c>
      <c r="CA33" s="14">
        <f t="shared" si="39"/>
        <v>55.961252477921462</v>
      </c>
      <c r="CB33" s="22">
        <f t="shared" si="10"/>
        <v>495.46106473238001</v>
      </c>
      <c r="CC33" s="62">
        <f t="shared" si="11"/>
        <v>734.56848966542202</v>
      </c>
      <c r="CD33" s="62">
        <f ca="1">AVERAGE(OFFSET($CC$3,0,0,'Données projet'!$E$12+1,1))-AVERAGE(OFFSET($H$3,0,0,'Données projet'!$E$12+1,1))</f>
        <v>580.02817743695846</v>
      </c>
      <c r="CE33" s="62">
        <f t="shared" si="40"/>
        <v>551.23515633208865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182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147.25384615384615</v>
      </c>
      <c r="CR33" s="13">
        <f>VLOOKUP(A33,'Données projet'!$A$139:$I$159,9,0)</f>
        <v>4.9084615384615384</v>
      </c>
      <c r="CS33" s="13">
        <f t="array" ref="CS33">INDEX(CR:CR,MIN(IF(ISNUMBER(CR33:CR229),ROW(CR33:CR229),"")))</f>
        <v>4.9084615384615384</v>
      </c>
      <c r="CT33" s="13">
        <f>IF('Données projet'!$A$140&gt;35,CT32+CS33-DB32,IF(A33&lt;'Données projet'!$A$140,$CQ$205^A33,IF(A33='Données projet'!$A$140,'Données projet'!$B$140,CT32+CS33-DB32)))</f>
        <v>147.25384615384615</v>
      </c>
      <c r="CU33" s="18">
        <f>CT33*VLOOKUP('Données projet'!$B$13,Paramètres!$A$1:$I$89,3,0)*VLOOKUP('Données projet'!$B$13,Paramètres!$A$1:$I$89,5,0)</f>
        <v>68.9148</v>
      </c>
      <c r="CV33" s="14">
        <f t="shared" si="41"/>
        <v>19.403719594897876</v>
      </c>
      <c r="CW33" s="22">
        <f t="shared" si="13"/>
        <v>153.82142162778047</v>
      </c>
      <c r="CX33" s="62">
        <f t="shared" si="14"/>
        <v>392.92884656082242</v>
      </c>
      <c r="CY33" s="62">
        <f ca="1">AVERAGE(OFFSET($CX$3,0,0,'Données projet'!$E$13+1,1))-AVERAGE(OFFSET($H$3,0,0,'Données projet'!$E$13+1,1))</f>
        <v>321.05795935196863</v>
      </c>
      <c r="CZ33" s="62">
        <f t="shared" si="42"/>
        <v>209.59551322748908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121.00000000000003</v>
      </c>
      <c r="DP33" s="18">
        <f>DO33*VLOOKUP('Données projet'!$B$14,Paramètres!$A$1:$I$89,3,0)*VLOOKUP('Données projet'!$B$14,Paramètres!$A$1:$I$89,5,0)</f>
        <v>130.24440000000001</v>
      </c>
      <c r="DQ33" s="14">
        <f t="shared" si="43"/>
        <v>34.052826821785409</v>
      </c>
      <c r="DR33" s="22">
        <f t="shared" si="16"/>
        <v>286.15100338127621</v>
      </c>
      <c r="DS33" s="62">
        <f t="shared" si="17"/>
        <v>525.25842831431817</v>
      </c>
      <c r="DT33" s="62">
        <f ca="1">AVERAGE(OFFSET($DS$3,0,0,'Données projet'!$E$14+1,1))-AVERAGE(OFFSET($H$3,0,0,'Données projet'!$E$14+1,1))</f>
        <v>638.58602907610805</v>
      </c>
      <c r="DU33" s="62">
        <f t="shared" si="44"/>
        <v>341.9250949809848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249.203</v>
      </c>
      <c r="EH33" s="13">
        <f>VLOOKUP(A33,'Données projet'!$A$191:$I$211,9,0)</f>
        <v>17.765000000000004</v>
      </c>
      <c r="EI33" s="13">
        <f t="array" ref="EI33">INDEX(EH:EH,MIN(IF(ISNUMBER(EH33:EH229),ROW(EH33:EH229),"")))</f>
        <v>17.765000000000004</v>
      </c>
      <c r="EJ33" s="13">
        <f>IF('Données projet'!$A$192&gt;35,EJ32+EI33-ER32,IF(A33&lt;'Données projet'!$A$192,$EG$205^A33,IF(A33='Données projet'!$A$192,'Données projet'!$B$192,EJ32+EI33-ER32)))</f>
        <v>249.203</v>
      </c>
      <c r="EK33" s="18">
        <f>EJ33*VLOOKUP('Données projet'!$B$15,Paramètres!$A$1:$I$89,3,0)*VLOOKUP('Données projet'!$B$15,Paramètres!$A$1:$I$89,5,0)</f>
        <v>149.023394</v>
      </c>
      <c r="EL33" s="14">
        <f t="shared" si="45"/>
        <v>38.356564101331521</v>
      </c>
      <c r="EM33" s="22">
        <f t="shared" si="19"/>
        <v>326.35342702648569</v>
      </c>
      <c r="EN33" s="62">
        <f t="shared" si="20"/>
        <v>565.46085195952764</v>
      </c>
      <c r="EO33" s="62">
        <f ca="1">AVERAGE(OFFSET($EN$3,0,0,'Données projet'!$E$15+1,1))-AVERAGE(OFFSET($H$3,0,0,'Données projet'!$E$15+1,1))</f>
        <v>223.57443551076992</v>
      </c>
      <c r="EP33" s="62">
        <f t="shared" si="46"/>
        <v>382.12751862619427</v>
      </c>
      <c r="EQ33" s="16">
        <f>IF(ISNA(VLOOKUP(A33,'Données projet'!$A$191:$I$211,3,0)),0,VLOOKUP(A33,'Données projet'!$A$191:$I$211,3,0))</f>
        <v>4</v>
      </c>
      <c r="ER33" s="16">
        <f>IF(ISNA(VLOOKUP(A33,'Données projet'!$A$191:$I$211,4,0)),0,VLOOKUP(A33,'Données projet'!$A$191:$I$211,4,0))</f>
        <v>63.631</v>
      </c>
      <c r="ES33" s="17">
        <f>IF(ISNA(VLOOKUP(A33,'Données projet'!$A$191:$I$211,5,0)),0%,VLOOKUP(A33,'Données projet'!$A$191:$I$211,5,0)*VLOOKUP('Données projet'!$B$15,Paramètres!$A$1:$I$89,7,0))</f>
        <v>0.27</v>
      </c>
      <c r="ET33" s="17">
        <f>IF(ISNA(VLOOKUP(A33,'Données projet'!$A$191:$I$211,6,0)),0%,VLOOKUP(A33,'Données projet'!$A$191:$I$211,6,0)*VLOOKUP('Données projet'!$B$15,Paramètres!$A$1:$I$89,7,0))</f>
        <v>9.0000000000000011E-2</v>
      </c>
      <c r="EU33" s="17">
        <f>IF(ISNA(VLOOKUP(A33,'Données projet'!$A$191:$I$211,7,0)),0%,VLOOKUP(A33,'Données projet'!$A$191:$I$211,7,0))</f>
        <v>0.2</v>
      </c>
      <c r="EV33" s="23">
        <f>EXP(-LN(2)/35)*EV32+(1-EXP(-LN(2)/35))/(LN(2)/35)*ER33*ES33*VLOOKUP('Données projet'!$B$15,Paramètres!$A$1:$I$89,3,0)*0.475*44/12</f>
        <v>26.613472264535272</v>
      </c>
      <c r="EW33" s="23">
        <f>EXP(-LN(2)/25)*EW32+(1-EXP(-LN(2)/25))/(LN(2)/25)*Calculateur!ER33*Calculateur!ET33*VLOOKUP('Données projet'!$B$15,Paramètres!$A$1:$I$89,3,0)*0.475*44/12</f>
        <v>13.880112231838631</v>
      </c>
      <c r="EX33" s="23">
        <f>EXP(-LN(2)/2)*EX32+(1-EXP(-LN(2)/2))/(LN(2)/2)*ER33*EU33*VLOOKUP('Données projet'!$B$15,Paramètres!$A$1:$I$89,3,0)*0.475*44/12</f>
        <v>10.137597483657075</v>
      </c>
      <c r="EY33" s="24">
        <f t="shared" si="21"/>
        <v>50.631181980030973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54.787500000000001</v>
      </c>
      <c r="FC33" s="13">
        <f>VLOOKUP(A33,'Données projet'!$A$217:$I$237,9,0)</f>
        <v>1.9887500000000002</v>
      </c>
      <c r="FD33" s="13">
        <f t="array" ref="FD33">INDEX(FC:FC,MIN(IF(ISNUMBER(FC33:FC229),ROW(FC33:FC229),"")))</f>
        <v>1.9887500000000002</v>
      </c>
      <c r="FE33" s="13">
        <f>IF('Données projet'!$A$218&gt;35,FE32+FD33-FM32,IF(A33&lt;'Données projet'!$A$218,$FB$205^A33,IF(A33='Données projet'!$A$218,'Données projet'!$B$218,FE32+FD33-FM32)))</f>
        <v>54.787500000000037</v>
      </c>
      <c r="FF33" s="18">
        <f>FE33*VLOOKUP('Données projet'!$B$16,Paramètres!$A$1:$I$89,3,0)*VLOOKUP('Données projet'!$B$16,Paramètres!$A$1:$I$89,5,0)</f>
        <v>63.115200000000037</v>
      </c>
      <c r="FG33" s="14">
        <f t="shared" si="47"/>
        <v>17.953554085320896</v>
      </c>
      <c r="FH33" s="22">
        <f t="shared" si="22"/>
        <v>141.19474669860062</v>
      </c>
      <c r="FI33" s="62">
        <f t="shared" si="23"/>
        <v>380.30217163164264</v>
      </c>
      <c r="FJ33" s="62">
        <f ca="1">AVERAGE(OFFSET($FI$3,0,0,'Données projet'!$E$16+1,1))-AVERAGE(OFFSET($H$3,0,0,'Données projet'!$E$16+1,1))</f>
        <v>283.95543623515323</v>
      </c>
      <c r="FK33" s="62">
        <f t="shared" si="48"/>
        <v>196.96883829830929</v>
      </c>
      <c r="FL33" s="16">
        <f>IF(ISNA(VLOOKUP(A33,'Données projet'!$A$217:$I$237,3,0)),0,VLOOKUP(A33,'Données projet'!$A$217:$I$237,3,0))</f>
        <v>1</v>
      </c>
      <c r="FM33" s="16">
        <f>IF(ISNA(VLOOKUP(A33,'Données projet'!$A$217:$I$237,4,0)),0,VLOOKUP(A33,'Données projet'!$A$217:$I$237,4,0))</f>
        <v>11.375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249.203</v>
      </c>
      <c r="FX33" s="13">
        <f>VLOOKUP(A33,'Données projet'!$A$243:$I$263,9,0)</f>
        <v>17.765000000000004</v>
      </c>
      <c r="FY33" s="13">
        <f t="array" ref="FY33">INDEX(FX:FX,MIN(IF(ISNUMBER(FX33:FX229),ROW(FX33:FX229),"")))</f>
        <v>17.765000000000004</v>
      </c>
      <c r="FZ33" s="13">
        <f>IF('Données projet'!$A$244&gt;35,FZ32+FY33-GH32,IF(A33&lt;'Données projet'!$A$244,$FW$205^A33,IF(A33='Données projet'!$A$244,'Données projet'!$B$244,FZ32+FY33-GH32)))</f>
        <v>249.203</v>
      </c>
      <c r="GA33" s="18">
        <f>FZ33*VLOOKUP('Données projet'!$B$17,Paramètres!$A$1:$I$89,3,0)*VLOOKUP('Données projet'!$B$17,Paramètres!$A$1:$I$89,5,0)</f>
        <v>149.023394</v>
      </c>
      <c r="GB33" s="14">
        <f t="shared" si="49"/>
        <v>38.356564101331521</v>
      </c>
      <c r="GC33" s="22">
        <f t="shared" si="25"/>
        <v>326.35342702648569</v>
      </c>
      <c r="GD33" s="62">
        <f t="shared" si="26"/>
        <v>565.46085195952764</v>
      </c>
      <c r="GE33" s="62">
        <f ca="1">AVERAGE(OFFSET($GD$3,0,0,'Données projet'!$E$17+1,1))-AVERAGE(OFFSET($H$3,0,0,'Données projet'!$E$17+1,1))</f>
        <v>223.57443551076992</v>
      </c>
      <c r="GF33" s="62">
        <f t="shared" si="50"/>
        <v>382.12751862619427</v>
      </c>
      <c r="GG33" s="16">
        <f>IF(ISNA(VLOOKUP(A33,'Données projet'!$A$243:$I$263,3,0)),0,VLOOKUP(A33,'Données projet'!$A$243:$I$263,3,0))</f>
        <v>4</v>
      </c>
      <c r="GH33" s="16">
        <f>IF(ISNA(VLOOKUP(A33,'Données projet'!$A$243:$I$263,4,0)),0,VLOOKUP(A33,'Données projet'!$A$243:$I$263,4,0))</f>
        <v>63.631</v>
      </c>
      <c r="GI33" s="17">
        <f>IF(ISNA(VLOOKUP(A33,'Données projet'!$A$243:$I$263,5,0)),0%,VLOOKUP(A33,'Données projet'!$A$243:$I$263,5,0)*VLOOKUP('Données projet'!$B$17,Paramètres!$A$1:$I$89,7,0))</f>
        <v>0.27</v>
      </c>
      <c r="GJ33" s="17">
        <f>IF(ISNA(VLOOKUP(A33,'Données projet'!$A$243:$I$263,6,0)),0%,VLOOKUP(A33,'Données projet'!$A$243:$I$263,6,0)*VLOOKUP('Données projet'!$B$17,Paramètres!$A$1:$I$89,7,0))</f>
        <v>9.0000000000000011E-2</v>
      </c>
      <c r="GK33" s="17">
        <f>IF(ISNA(VLOOKUP(A33,'Données projet'!$A$243:$I$263,7,0)),0%,VLOOKUP(A33,'Données projet'!$A$243:$I$263,7,0))</f>
        <v>0.2</v>
      </c>
      <c r="GL33" s="23">
        <f>EXP(-LN(2)/35)*GL32+(1-EXP(-LN(2)/35))/(LN(2)/35)*GH33*GI33*VLOOKUP('Données projet'!$B$17,Paramètres!$A$1:$I$89,3,0)*0.475*44/12</f>
        <v>26.613472264535272</v>
      </c>
      <c r="GM33" s="23">
        <f>EXP(-LN(2)/25)*GM32+(1-EXP(-LN(2)/25))/(LN(2)/25)*Calculateur!GH33*Calculateur!GJ33*VLOOKUP('Données projet'!$B$17,Paramètres!$A$1:$I$89,3,0)*0.475*44/12</f>
        <v>13.880112231838631</v>
      </c>
      <c r="GN33" s="23">
        <f>EXP(-LN(2)/2)*GN32+(1-EXP(-LN(2)/2))/(LN(2)/2)*GH33*GK33*VLOOKUP('Données projet'!$B$17,Paramètres!$A$1:$I$89,3,0)*0.475*44/12</f>
        <v>10.137597483657075</v>
      </c>
      <c r="GO33" s="23">
        <f t="shared" si="27"/>
        <v>50.631181980030973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3.9335387924944567</v>
      </c>
      <c r="GU33" s="13">
        <f>IF('Données projet'!$A$270&gt;35,GU32+GT33-HC32,IF(A33&lt;'Données projet'!$A$270,$GR$205^A33,IF(A33='Données projet'!$A$270,'Données projet'!$B$270,GU32+GT33-HC32)))</f>
        <v>80.582879247020557</v>
      </c>
      <c r="GV33" s="18">
        <f>GU33*VLOOKUP('Données projet'!$B$18,Paramètres!$A$1:$I$89,3,0)*VLOOKUP('Données projet'!$B$18,Paramètres!$A$1:$I$89,5,0)</f>
        <v>87.996504137746442</v>
      </c>
      <c r="GW33" s="14">
        <f t="shared" si="51"/>
        <v>24.081398763544335</v>
      </c>
      <c r="GX33" s="22">
        <f t="shared" si="28"/>
        <v>195.20234755308141</v>
      </c>
      <c r="GY33" s="62">
        <f t="shared" si="29"/>
        <v>434.30977248612339</v>
      </c>
      <c r="GZ33" s="62">
        <f ca="1">AVERAGE(OFFSET($GY$3,0,0,'Données projet'!$E$18+1,1))-AVERAGE(OFFSET($H$3,0,0,'Données projet'!$E$18+1,1))</f>
        <v>754.33260592777049</v>
      </c>
      <c r="HA33" s="62">
        <f t="shared" si="52"/>
        <v>250.97643915279005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9">
        <f t="shared" si="1"/>
        <v>183.33333333333334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502.61006239898632</v>
      </c>
      <c r="S34" s="62">
        <f ca="1">AVERAGE(OFFSET($R$3,0,0,'Données projet'!$E$9+1,1))-AVERAGE(OFFSET($H$3,0,0,'Données projet'!$E$9+1,1))</f>
        <v>550.39292625253665</v>
      </c>
      <c r="T34" s="62">
        <f t="shared" si="34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131.80000000000004</v>
      </c>
      <c r="AJ34" s="14">
        <f>AI34*VLOOKUP('Données projet'!$B$10,Paramètres!$A$1:$I$89,3,0)*VLOOKUP('Données projet'!$B$10,Paramètres!$A$1:$I$89,5,0)</f>
        <v>133.64520000000005</v>
      </c>
      <c r="AK34" s="14">
        <f t="shared" si="35"/>
        <v>34.837297589797402</v>
      </c>
      <c r="AL34" s="22">
        <f t="shared" si="4"/>
        <v>293.44034996889724</v>
      </c>
      <c r="AM34" s="62">
        <f t="shared" si="5"/>
        <v>533.48847318171477</v>
      </c>
      <c r="AN34" s="62">
        <f ca="1">AVERAGE(OFFSET($AM$3,0,0,'Données projet'!$E$10+1,1))-AVERAGE(OFFSET($H$3,0,0,'Données projet'!$E$10+1,1))</f>
        <v>606.55142836375308</v>
      </c>
      <c r="AO34" s="62">
        <f t="shared" si="36"/>
        <v>325.72635759450861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8.3333333333333375</v>
      </c>
      <c r="BD34" s="13">
        <f>IF('Données projet'!$A$88&gt;35,BD33+BC34-BL33,IF(A34&lt;'Données projet'!$A$88,$BA$205^A34,IF(A34='Données projet'!$A$88,'Données projet'!$B$88,BD33+BC34-BL33)))</f>
        <v>147.43589743589743</v>
      </c>
      <c r="BE34" s="14">
        <f>BD34*VLOOKUP('Données projet'!$B$11,Paramètres!$A$1:$I$89,3,0)*VLOOKUP('Données projet'!$B$11,Paramètres!$A$1:$I$89,5,0)</f>
        <v>154.10000000000002</v>
      </c>
      <c r="BF34" s="14">
        <f t="shared" si="37"/>
        <v>39.508857983748619</v>
      </c>
      <c r="BG34" s="22">
        <f t="shared" si="7"/>
        <v>337.20209432169548</v>
      </c>
      <c r="BH34" s="62">
        <f t="shared" si="8"/>
        <v>577.25021753451301</v>
      </c>
      <c r="BI34" s="62">
        <f ca="1">AVERAGE(OFFSET($BH$3,0,0,'Données projet'!$E$11+1,1))-AVERAGE(OFFSET($H$3,0,0,'Données projet'!$E$11+1,1))</f>
        <v>635.13577238794812</v>
      </c>
      <c r="BJ34" s="62">
        <f t="shared" si="38"/>
        <v>374.35810525172019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39.6</v>
      </c>
      <c r="BY34" s="13">
        <f>IF('Données projet'!$A$114&gt;35,BY33+BX34-CG33,IF(A34&lt;'Données projet'!$A$114,$BV$205^A34,IF(A34='Données projet'!$A$114,'Données projet'!$B$114,BY33+BX34-CG33)))</f>
        <v>374.60000000000014</v>
      </c>
      <c r="BZ34" s="14">
        <f>BY34*VLOOKUP('Données projet'!$B$12,Paramètres!$A$1:$I$89,3,0)*VLOOKUP('Données projet'!$B$12,Paramètres!$A$1:$I$89,5,0)</f>
        <v>165.57320000000007</v>
      </c>
      <c r="CA34" s="14">
        <f t="shared" si="39"/>
        <v>42.097050301993342</v>
      </c>
      <c r="CB34" s="22">
        <f t="shared" si="10"/>
        <v>361.69235260930515</v>
      </c>
      <c r="CC34" s="62">
        <f t="shared" si="11"/>
        <v>601.74047582212268</v>
      </c>
      <c r="CD34" s="62">
        <f ca="1">AVERAGE(OFFSET($CC$3,0,0,'Données projet'!$E$12+1,1))-AVERAGE(OFFSET($H$3,0,0,'Données projet'!$E$12+1,1))</f>
        <v>580.02817743695846</v>
      </c>
      <c r="CE34" s="62">
        <f t="shared" si="40"/>
        <v>551.23515633208865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11.443589743589742</v>
      </c>
      <c r="CT34" s="13">
        <f>IF('Données projet'!$A$140&gt;35,CT33+CS34-DB33,IF(A34&lt;'Données projet'!$A$140,$CQ$205^A34,IF(A34='Données projet'!$A$140,'Données projet'!$B$140,CT33+CS34-DB33)))</f>
        <v>158.69743589743589</v>
      </c>
      <c r="CU34" s="18">
        <f>CT34*VLOOKUP('Données projet'!$B$13,Paramètres!$A$1:$I$89,3,0)*VLOOKUP('Données projet'!$B$13,Paramètres!$A$1:$I$89,5,0)</f>
        <v>74.270399999999995</v>
      </c>
      <c r="CV34" s="14">
        <f t="shared" si="41"/>
        <v>20.730265914492005</v>
      </c>
      <c r="CW34" s="22">
        <f t="shared" si="13"/>
        <v>165.4594931344069</v>
      </c>
      <c r="CX34" s="62">
        <f t="shared" si="14"/>
        <v>405.50761634722448</v>
      </c>
      <c r="CY34" s="62">
        <f ca="1">AVERAGE(OFFSET($CX$3,0,0,'Données projet'!$E$13+1,1))-AVERAGE(OFFSET($H$3,0,0,'Données projet'!$E$13+1,1))</f>
        <v>321.05795935196863</v>
      </c>
      <c r="CZ34" s="62">
        <f t="shared" si="42"/>
        <v>209.59551322748908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131.80000000000004</v>
      </c>
      <c r="DP34" s="18">
        <f>DO34*VLOOKUP('Données projet'!$B$14,Paramètres!$A$1:$I$89,3,0)*VLOOKUP('Données projet'!$B$14,Paramètres!$A$1:$I$89,5,0)</f>
        <v>141.86952000000005</v>
      </c>
      <c r="DQ34" s="14">
        <f t="shared" si="43"/>
        <v>36.724955062927386</v>
      </c>
      <c r="DR34" s="22">
        <f t="shared" si="16"/>
        <v>311.05204406793194</v>
      </c>
      <c r="DS34" s="62">
        <f t="shared" si="17"/>
        <v>551.10016728074947</v>
      </c>
      <c r="DT34" s="62">
        <f ca="1">AVERAGE(OFFSET($DS$3,0,0,'Données projet'!$E$14+1,1))-AVERAGE(OFFSET($H$3,0,0,'Données projet'!$E$14+1,1))</f>
        <v>638.58602907610805</v>
      </c>
      <c r="DU34" s="62">
        <f t="shared" si="44"/>
        <v>341.9250949809848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14.190750000000008</v>
      </c>
      <c r="EJ34" s="13">
        <f>IF('Données projet'!$A$192&gt;35,EJ33+EI34-ER33,IF(A34&lt;'Données projet'!$A$192,$EG$205^A34,IF(A34='Données projet'!$A$192,'Données projet'!$B$192,EJ33+EI34-ER33)))</f>
        <v>199.76275000000001</v>
      </c>
      <c r="EK34" s="18">
        <f>EJ34*VLOOKUP('Données projet'!$B$15,Paramètres!$A$1:$I$89,3,0)*VLOOKUP('Données projet'!$B$15,Paramètres!$A$1:$I$89,5,0)</f>
        <v>119.45812450000001</v>
      </c>
      <c r="EL34" s="14">
        <f t="shared" si="45"/>
        <v>31.548582461590005</v>
      </c>
      <c r="EM34" s="22">
        <f t="shared" si="19"/>
        <v>263.00334795810267</v>
      </c>
      <c r="EN34" s="62">
        <f t="shared" si="20"/>
        <v>503.05147117092019</v>
      </c>
      <c r="EO34" s="62">
        <f ca="1">AVERAGE(OFFSET($EN$3,0,0,'Données projet'!$E$15+1,1))-AVERAGE(OFFSET($H$3,0,0,'Données projet'!$E$15+1,1))</f>
        <v>223.57443551076992</v>
      </c>
      <c r="EP34" s="62">
        <f t="shared" si="46"/>
        <v>382.12751862619427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26.091598306042979</v>
      </c>
      <c r="EW34" s="23">
        <f>EXP(-LN(2)/25)*EW33+(1-EXP(-LN(2)/25))/(LN(2)/25)*Calculateur!ER34*Calculateur!ET34*VLOOKUP('Données projet'!$B$15,Paramètres!$A$1:$I$89,3,0)*0.475*44/12</f>
        <v>13.500559832935624</v>
      </c>
      <c r="EX34" s="23">
        <f>EXP(-LN(2)/2)*EX33+(1-EXP(-LN(2)/2))/(LN(2)/2)*ER34*EU34*VLOOKUP('Données projet'!$B$15,Paramètres!$A$1:$I$89,3,0)*0.475*44/12</f>
        <v>7.1683639256335985</v>
      </c>
      <c r="EY34" s="24">
        <f t="shared" si="21"/>
        <v>46.760522064612204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1.925416666666667</v>
      </c>
      <c r="FE34" s="13">
        <f>IF('Données projet'!$A$218&gt;35,FE33+FD34-FM33,IF(A34&lt;'Données projet'!$A$218,$FB$205^A34,IF(A34='Données projet'!$A$218,'Données projet'!$B$218,FE33+FD34-FM33)))</f>
        <v>45.3379166666667</v>
      </c>
      <c r="FF34" s="18">
        <f>FE34*VLOOKUP('Données projet'!$B$16,Paramètres!$A$1:$I$89,3,0)*VLOOKUP('Données projet'!$B$16,Paramètres!$A$1:$I$89,5,0)</f>
        <v>52.229280000000031</v>
      </c>
      <c r="FG34" s="14">
        <f t="shared" si="47"/>
        <v>15.188011234079523</v>
      </c>
      <c r="FH34" s="22">
        <f t="shared" si="22"/>
        <v>117.41844889935521</v>
      </c>
      <c r="FI34" s="62">
        <f t="shared" si="23"/>
        <v>357.4665721121728</v>
      </c>
      <c r="FJ34" s="62">
        <f ca="1">AVERAGE(OFFSET($FI$3,0,0,'Données projet'!$E$16+1,1))-AVERAGE(OFFSET($H$3,0,0,'Données projet'!$E$16+1,1))</f>
        <v>283.95543623515323</v>
      </c>
      <c r="FK34" s="62">
        <f t="shared" si="48"/>
        <v>196.96883829830929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14.190750000000008</v>
      </c>
      <c r="FZ34" s="13">
        <f>IF('Données projet'!$A$244&gt;35,FZ33+FY34-GH33,IF(A34&lt;'Données projet'!$A$244,$FW$205^A34,IF(A34='Données projet'!$A$244,'Données projet'!$B$244,FZ33+FY34-GH33)))</f>
        <v>199.76275000000001</v>
      </c>
      <c r="GA34" s="18">
        <f>FZ34*VLOOKUP('Données projet'!$B$17,Paramètres!$A$1:$I$89,3,0)*VLOOKUP('Données projet'!$B$17,Paramètres!$A$1:$I$89,5,0)</f>
        <v>119.45812450000001</v>
      </c>
      <c r="GB34" s="14">
        <f t="shared" si="49"/>
        <v>31.548582461590005</v>
      </c>
      <c r="GC34" s="22">
        <f t="shared" si="25"/>
        <v>263.00334795810267</v>
      </c>
      <c r="GD34" s="62">
        <f t="shared" si="26"/>
        <v>503.05147117092019</v>
      </c>
      <c r="GE34" s="62">
        <f ca="1">AVERAGE(OFFSET($GD$3,0,0,'Données projet'!$E$17+1,1))-AVERAGE(OFFSET($H$3,0,0,'Données projet'!$E$17+1,1))</f>
        <v>223.57443551076992</v>
      </c>
      <c r="GF34" s="62">
        <f t="shared" si="50"/>
        <v>382.12751862619427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26.091598306042979</v>
      </c>
      <c r="GM34" s="23">
        <f>EXP(-LN(2)/25)*GM33+(1-EXP(-LN(2)/25))/(LN(2)/25)*Calculateur!GH34*Calculateur!GJ34*VLOOKUP('Données projet'!$B$17,Paramètres!$A$1:$I$89,3,0)*0.475*44/12</f>
        <v>13.500559832935624</v>
      </c>
      <c r="GN34" s="23">
        <f>EXP(-LN(2)/2)*GN33+(1-EXP(-LN(2)/2))/(LN(2)/2)*GH34*GK34*VLOOKUP('Données projet'!$B$17,Paramètres!$A$1:$I$89,3,0)*0.475*44/12</f>
        <v>7.1683639256335985</v>
      </c>
      <c r="GO34" s="23">
        <f t="shared" si="27"/>
        <v>46.760522064612204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3.9335387924944567</v>
      </c>
      <c r="GU34" s="13">
        <f>IF('Données projet'!$A$270&gt;35,GU33+GT34-HC33,IF(A34&lt;'Données projet'!$A$270,$GR$205^A34,IF(A34='Données projet'!$A$270,'Données projet'!$B$270,GU33+GT34-HC33)))</f>
        <v>84.516418039515017</v>
      </c>
      <c r="GV34" s="18">
        <f>GU34*VLOOKUP('Données projet'!$B$18,Paramètres!$A$1:$I$89,3,0)*VLOOKUP('Données projet'!$B$18,Paramètres!$A$1:$I$89,5,0)</f>
        <v>92.291928499150401</v>
      </c>
      <c r="GW34" s="14">
        <f t="shared" si="51"/>
        <v>25.11717136900808</v>
      </c>
      <c r="GX34" s="22">
        <f t="shared" si="28"/>
        <v>204.48751560370934</v>
      </c>
      <c r="GY34" s="62">
        <f t="shared" si="29"/>
        <v>444.5356388165269</v>
      </c>
      <c r="GZ34" s="62">
        <f ca="1">AVERAGE(OFFSET($GY$3,0,0,'Données projet'!$E$18+1,1))-AVERAGE(OFFSET($H$3,0,0,'Données projet'!$E$18+1,1))</f>
        <v>754.33260592777049</v>
      </c>
      <c r="HA34" s="62">
        <f t="shared" si="52"/>
        <v>250.97643915279005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9">
        <f t="shared" si="1"/>
        <v>183.33333333333334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524.50769627509874</v>
      </c>
      <c r="S35" s="62">
        <f ca="1">AVERAGE(OFFSET($R$3,0,0,'Données projet'!$E$9+1,1))-AVERAGE(OFFSET($H$3,0,0,'Données projet'!$E$9+1,1))</f>
        <v>550.39292625253665</v>
      </c>
      <c r="T35" s="62">
        <f t="shared" si="34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142.60000000000005</v>
      </c>
      <c r="AJ35" s="14">
        <f>AI35*VLOOKUP('Données projet'!$B$10,Paramètres!$A$1:$I$89,3,0)*VLOOKUP('Données projet'!$B$10,Paramètres!$A$1:$I$89,5,0)</f>
        <v>144.59640000000007</v>
      </c>
      <c r="AK35" s="14">
        <f t="shared" si="35"/>
        <v>37.347988348805558</v>
      </c>
      <c r="AL35" s="22">
        <f t="shared" si="4"/>
        <v>316.88647637416977</v>
      </c>
      <c r="AM35" s="62">
        <f t="shared" si="5"/>
        <v>557.85897885469512</v>
      </c>
      <c r="AN35" s="62">
        <f ca="1">AVERAGE(OFFSET($AM$3,0,0,'Données projet'!$E$10+1,1))-AVERAGE(OFFSET($H$3,0,0,'Données projet'!$E$10+1,1))</f>
        <v>606.55142836375308</v>
      </c>
      <c r="AO35" s="62">
        <f t="shared" si="36"/>
        <v>325.72635759450861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8.3333333333333375</v>
      </c>
      <c r="BD35" s="13">
        <f>IF('Données projet'!$A$88&gt;35,BD34+BC35-BL34,IF(A35&lt;'Données projet'!$A$88,$BA$205^A35,IF(A35='Données projet'!$A$88,'Données projet'!$B$88,BD34+BC35-BL34)))</f>
        <v>155.76923076923077</v>
      </c>
      <c r="BE35" s="14">
        <f>BD35*VLOOKUP('Données projet'!$B$11,Paramètres!$A$1:$I$89,3,0)*VLOOKUP('Données projet'!$B$11,Paramètres!$A$1:$I$89,5,0)</f>
        <v>162.81000000000003</v>
      </c>
      <c r="BF35" s="14">
        <f t="shared" si="37"/>
        <v>41.475675111239354</v>
      </c>
      <c r="BG35" s="22">
        <f t="shared" si="7"/>
        <v>355.79755081874191</v>
      </c>
      <c r="BH35" s="62">
        <f t="shared" si="8"/>
        <v>596.77005329926726</v>
      </c>
      <c r="BI35" s="62">
        <f ca="1">AVERAGE(OFFSET($BH$3,0,0,'Données projet'!$E$11+1,1))-AVERAGE(OFFSET($H$3,0,0,'Données projet'!$E$11+1,1))</f>
        <v>635.13577238794812</v>
      </c>
      <c r="BJ35" s="62">
        <f t="shared" si="38"/>
        <v>374.35810525172019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39.6</v>
      </c>
      <c r="BY35" s="13">
        <f>IF('Données projet'!$A$114&gt;35,BY34+BX35-CG34,IF(A35&lt;'Données projet'!$A$114,$BV$205^A35,IF(A35='Données projet'!$A$114,'Données projet'!$B$114,BY34+BX35-CG34)))</f>
        <v>414.20000000000016</v>
      </c>
      <c r="BZ35" s="14">
        <f>BY35*VLOOKUP('Données projet'!$B$12,Paramètres!$A$1:$I$89,3,0)*VLOOKUP('Données projet'!$B$12,Paramètres!$A$1:$I$89,5,0)</f>
        <v>183.07640000000009</v>
      </c>
      <c r="CA35" s="14">
        <f t="shared" si="39"/>
        <v>46.005951962021875</v>
      </c>
      <c r="CB35" s="22">
        <f t="shared" si="10"/>
        <v>398.98509633385493</v>
      </c>
      <c r="CC35" s="62">
        <f t="shared" si="11"/>
        <v>639.95759881438028</v>
      </c>
      <c r="CD35" s="62">
        <f ca="1">AVERAGE(OFFSET($CC$3,0,0,'Données projet'!$E$12+1,1))-AVERAGE(OFFSET($H$3,0,0,'Données projet'!$E$12+1,1))</f>
        <v>580.02817743695846</v>
      </c>
      <c r="CE35" s="62">
        <f t="shared" si="40"/>
        <v>551.23515633208865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11.443589743589742</v>
      </c>
      <c r="CT35" s="13">
        <f>IF('Données projet'!$A$140&gt;35,CT34+CS35-DB34,IF(A35&lt;'Données projet'!$A$140,$CQ$205^A35,IF(A35='Données projet'!$A$140,'Données projet'!$B$140,CT34+CS35-DB34)))</f>
        <v>170.14102564102564</v>
      </c>
      <c r="CU35" s="18">
        <f>CT35*VLOOKUP('Données projet'!$B$13,Paramètres!$A$1:$I$89,3,0)*VLOOKUP('Données projet'!$B$13,Paramètres!$A$1:$I$89,5,0)</f>
        <v>79.626000000000005</v>
      </c>
      <c r="CV35" s="14">
        <f t="shared" si="41"/>
        <v>22.045714260156384</v>
      </c>
      <c r="CW35" s="22">
        <f t="shared" si="13"/>
        <v>177.0782356697724</v>
      </c>
      <c r="CX35" s="62">
        <f t="shared" si="14"/>
        <v>418.05073815029772</v>
      </c>
      <c r="CY35" s="62">
        <f ca="1">AVERAGE(OFFSET($CX$3,0,0,'Données projet'!$E$13+1,1))-AVERAGE(OFFSET($H$3,0,0,'Données projet'!$E$13+1,1))</f>
        <v>321.05795935196863</v>
      </c>
      <c r="CZ35" s="62">
        <f t="shared" si="42"/>
        <v>209.59551322748908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142.60000000000005</v>
      </c>
      <c r="DP35" s="18">
        <f>DO35*VLOOKUP('Données projet'!$B$14,Paramètres!$A$1:$I$89,3,0)*VLOOKUP('Données projet'!$B$14,Paramètres!$A$1:$I$89,5,0)</f>
        <v>153.49464000000006</v>
      </c>
      <c r="DQ35" s="14">
        <f t="shared" si="43"/>
        <v>39.371687492841382</v>
      </c>
      <c r="DR35" s="22">
        <f t="shared" si="16"/>
        <v>335.90885371669884</v>
      </c>
      <c r="DS35" s="62">
        <f t="shared" si="17"/>
        <v>576.88135619722414</v>
      </c>
      <c r="DT35" s="62">
        <f ca="1">AVERAGE(OFFSET($DS$3,0,0,'Données projet'!$E$14+1,1))-AVERAGE(OFFSET($H$3,0,0,'Données projet'!$E$14+1,1))</f>
        <v>638.58602907610805</v>
      </c>
      <c r="DU35" s="62">
        <f t="shared" si="44"/>
        <v>341.9250949809848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>
        <f>VLOOKUP(A35,'Données projet'!$A$191:$I$211,2,0)</f>
        <v>213.95350000000002</v>
      </c>
      <c r="EH35" s="13">
        <f>VLOOKUP(A35,'Données projet'!$A$191:$I$211,9,0)</f>
        <v>14.190750000000008</v>
      </c>
      <c r="EI35" s="13">
        <f t="array" ref="EI35">INDEX(EH:EH,MIN(IF(ISNUMBER(EH35:EH231),ROW(EH35:EH231),"")))</f>
        <v>14.190750000000008</v>
      </c>
      <c r="EJ35" s="13">
        <f>IF('Données projet'!$A$192&gt;35,EJ34+EI35-ER34,IF(A35&lt;'Données projet'!$A$192,$EG$205^A35,IF(A35='Données projet'!$A$192,'Données projet'!$B$192,EJ34+EI35-ER34)))</f>
        <v>213.95350000000002</v>
      </c>
      <c r="EK35" s="18">
        <f>EJ35*VLOOKUP('Données projet'!$B$15,Paramètres!$A$1:$I$89,3,0)*VLOOKUP('Données projet'!$B$15,Paramètres!$A$1:$I$89,5,0)</f>
        <v>127.94419300000003</v>
      </c>
      <c r="EL35" s="14">
        <f t="shared" si="45"/>
        <v>33.520882890978427</v>
      </c>
      <c r="EM35" s="22">
        <f t="shared" si="19"/>
        <v>281.21834051012081</v>
      </c>
      <c r="EN35" s="62">
        <f t="shared" si="20"/>
        <v>522.19084299064616</v>
      </c>
      <c r="EO35" s="62">
        <f ca="1">AVERAGE(OFFSET($EN$3,0,0,'Données projet'!$E$15+1,1))-AVERAGE(OFFSET($H$3,0,0,'Données projet'!$E$15+1,1))</f>
        <v>223.57443551076992</v>
      </c>
      <c r="EP35" s="62">
        <f t="shared" si="46"/>
        <v>382.12751862619427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25.579957977565037</v>
      </c>
      <c r="EW35" s="23">
        <f>EXP(-LN(2)/25)*EW34+(1-EXP(-LN(2)/25))/(LN(2)/25)*Calculateur!ER35*Calculateur!ET35*VLOOKUP('Données projet'!$B$15,Paramètres!$A$1:$I$89,3,0)*0.475*44/12</f>
        <v>13.131386314340414</v>
      </c>
      <c r="EX35" s="23">
        <f>EXP(-LN(2)/2)*EX34+(1-EXP(-LN(2)/2))/(LN(2)/2)*ER35*EU35*VLOOKUP('Données projet'!$B$15,Paramètres!$A$1:$I$89,3,0)*0.475*44/12</f>
        <v>5.0687987418285383</v>
      </c>
      <c r="EY35" s="24">
        <f t="shared" si="21"/>
        <v>43.780143033733985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1.925416666666667</v>
      </c>
      <c r="FE35" s="13">
        <f>IF('Données projet'!$A$218&gt;35,FE34+FD35-FM34,IF(A35&lt;'Données projet'!$A$218,$FB$205^A35,IF(A35='Données projet'!$A$218,'Données projet'!$B$218,FE34+FD35-FM34)))</f>
        <v>47.263333333333364</v>
      </c>
      <c r="FF35" s="18">
        <f>FE35*VLOOKUP('Données projet'!$B$16,Paramètres!$A$1:$I$89,3,0)*VLOOKUP('Données projet'!$B$16,Paramètres!$A$1:$I$89,5,0)</f>
        <v>54.447360000000032</v>
      </c>
      <c r="FG35" s="14">
        <f t="shared" si="47"/>
        <v>15.756552073943871</v>
      </c>
      <c r="FH35" s="22">
        <f t="shared" si="22"/>
        <v>122.27181352878561</v>
      </c>
      <c r="FI35" s="62">
        <f t="shared" si="23"/>
        <v>363.24431600931092</v>
      </c>
      <c r="FJ35" s="62">
        <f ca="1">AVERAGE(OFFSET($FI$3,0,0,'Données projet'!$E$16+1,1))-AVERAGE(OFFSET($H$3,0,0,'Données projet'!$E$16+1,1))</f>
        <v>283.95543623515323</v>
      </c>
      <c r="FK35" s="62">
        <f t="shared" si="48"/>
        <v>196.96883829830929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>
        <f>VLOOKUP(A35,'Données projet'!$A$243:$I$263,2,0)</f>
        <v>213.95350000000002</v>
      </c>
      <c r="FX35" s="13">
        <f>VLOOKUP(A35,'Données projet'!$A$243:$I$263,9,0)</f>
        <v>14.190750000000008</v>
      </c>
      <c r="FY35" s="13">
        <f t="array" ref="FY35">INDEX(FX:FX,MIN(IF(ISNUMBER(FX35:FX231),ROW(FX35:FX231),"")))</f>
        <v>14.190750000000008</v>
      </c>
      <c r="FZ35" s="13">
        <f>IF('Données projet'!$A$244&gt;35,FZ34+FY35-GH34,IF(A35&lt;'Données projet'!$A$244,$FW$205^A35,IF(A35='Données projet'!$A$244,'Données projet'!$B$244,FZ34+FY35-GH34)))</f>
        <v>213.95350000000002</v>
      </c>
      <c r="GA35" s="18">
        <f>FZ35*VLOOKUP('Données projet'!$B$17,Paramètres!$A$1:$I$89,3,0)*VLOOKUP('Données projet'!$B$17,Paramètres!$A$1:$I$89,5,0)</f>
        <v>127.94419300000003</v>
      </c>
      <c r="GB35" s="14">
        <f t="shared" si="49"/>
        <v>33.520882890978427</v>
      </c>
      <c r="GC35" s="22">
        <f t="shared" si="25"/>
        <v>281.21834051012081</v>
      </c>
      <c r="GD35" s="62">
        <f t="shared" si="26"/>
        <v>522.19084299064616</v>
      </c>
      <c r="GE35" s="62">
        <f ca="1">AVERAGE(OFFSET($GD$3,0,0,'Données projet'!$E$17+1,1))-AVERAGE(OFFSET($H$3,0,0,'Données projet'!$E$17+1,1))</f>
        <v>223.57443551076992</v>
      </c>
      <c r="GF35" s="62">
        <f t="shared" si="50"/>
        <v>382.12751862619427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25.579957977565037</v>
      </c>
      <c r="GM35" s="23">
        <f>EXP(-LN(2)/25)*GM34+(1-EXP(-LN(2)/25))/(LN(2)/25)*Calculateur!GH35*Calculateur!GJ35*VLOOKUP('Données projet'!$B$17,Paramètres!$A$1:$I$89,3,0)*0.475*44/12</f>
        <v>13.131386314340414</v>
      </c>
      <c r="GN35" s="23">
        <f>EXP(-LN(2)/2)*GN34+(1-EXP(-LN(2)/2))/(LN(2)/2)*GH35*GK35*VLOOKUP('Données projet'!$B$17,Paramètres!$A$1:$I$89,3,0)*0.475*44/12</f>
        <v>5.0687987418285383</v>
      </c>
      <c r="GO35" s="23">
        <f t="shared" si="27"/>
        <v>43.780143033733985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3.9335387924944567</v>
      </c>
      <c r="GU35" s="13">
        <f>IF('Données projet'!$A$270&gt;35,GU34+GT35-HC34,IF(A35&lt;'Données projet'!$A$270,$GR$205^A35,IF(A35='Données projet'!$A$270,'Données projet'!$B$270,GU34+GT35-HC34)))</f>
        <v>88.449956832009477</v>
      </c>
      <c r="GV35" s="18">
        <f>GU35*VLOOKUP('Données projet'!$B$18,Paramètres!$A$1:$I$89,3,0)*VLOOKUP('Données projet'!$B$18,Paramètres!$A$1:$I$89,5,0)</f>
        <v>96.587352860554347</v>
      </c>
      <c r="GW35" s="14">
        <f t="shared" si="51"/>
        <v>26.147345760603425</v>
      </c>
      <c r="GX35" s="22">
        <f t="shared" si="28"/>
        <v>213.7629334318498</v>
      </c>
      <c r="GY35" s="62">
        <f t="shared" si="29"/>
        <v>454.73543591237512</v>
      </c>
      <c r="GZ35" s="62">
        <f ca="1">AVERAGE(OFFSET($GY$3,0,0,'Données projet'!$E$18+1,1))-AVERAGE(OFFSET($H$3,0,0,'Données projet'!$E$18+1,1))</f>
        <v>754.33260592777049</v>
      </c>
      <c r="HA35" s="62">
        <f t="shared" si="52"/>
        <v>250.97643915279005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9">
        <f t="shared" si="1"/>
        <v>183.33333333333334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546.35455537827511</v>
      </c>
      <c r="S36" s="62">
        <f ca="1">AVERAGE(OFFSET($R$3,0,0,'Données projet'!$E$9+1,1))-AVERAGE(OFFSET($H$3,0,0,'Données projet'!$E$9+1,1))</f>
        <v>550.39292625253665</v>
      </c>
      <c r="T36" s="62">
        <f t="shared" si="34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153.40000000000006</v>
      </c>
      <c r="AJ36" s="14">
        <f>AI36*VLOOKUP('Données projet'!$B$10,Paramètres!$A$1:$I$89,3,0)*VLOOKUP('Données projet'!$B$10,Paramètres!$A$1:$I$89,5,0)</f>
        <v>155.54760000000007</v>
      </c>
      <c r="AK36" s="14">
        <f t="shared" si="35"/>
        <v>39.836620617816237</v>
      </c>
      <c r="AL36" s="22">
        <f t="shared" si="4"/>
        <v>340.2941842426967</v>
      </c>
      <c r="AM36" s="62">
        <f t="shared" si="5"/>
        <v>582.17503007723747</v>
      </c>
      <c r="AN36" s="62">
        <f ca="1">AVERAGE(OFFSET($AM$3,0,0,'Données projet'!$E$10+1,1))-AVERAGE(OFFSET($H$3,0,0,'Données projet'!$E$10+1,1))</f>
        <v>606.55142836375308</v>
      </c>
      <c r="AO36" s="62">
        <f t="shared" si="36"/>
        <v>325.72635759450861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8.3333333333333375</v>
      </c>
      <c r="BD36" s="13">
        <f>IF('Données projet'!$A$88&gt;35,BD35+BC36-BL35,IF(A36&lt;'Données projet'!$A$88,$BA$205^A36,IF(A36='Données projet'!$A$88,'Données projet'!$B$88,BD35+BC36-BL35)))</f>
        <v>164.10256410256412</v>
      </c>
      <c r="BE36" s="14">
        <f>BD36*VLOOKUP('Données projet'!$B$11,Paramètres!$A$1:$I$89,3,0)*VLOOKUP('Données projet'!$B$11,Paramètres!$A$1:$I$89,5,0)</f>
        <v>171.52000000000004</v>
      </c>
      <c r="BF36" s="14">
        <f t="shared" si="37"/>
        <v>43.430276456724698</v>
      </c>
      <c r="BG36" s="22">
        <f t="shared" si="7"/>
        <v>374.3717314954622</v>
      </c>
      <c r="BH36" s="62">
        <f t="shared" si="8"/>
        <v>616.25257733000296</v>
      </c>
      <c r="BI36" s="62">
        <f ca="1">AVERAGE(OFFSET($BH$3,0,0,'Données projet'!$E$11+1,1))-AVERAGE(OFFSET($H$3,0,0,'Données projet'!$E$11+1,1))</f>
        <v>635.13577238794812</v>
      </c>
      <c r="BJ36" s="62">
        <f t="shared" si="38"/>
        <v>374.35810525172019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39.6</v>
      </c>
      <c r="BY36" s="13">
        <f>IF('Données projet'!$A$114&gt;35,BY35+BX36-CG35,IF(A36&lt;'Données projet'!$A$114,$BV$205^A36,IF(A36='Données projet'!$A$114,'Données projet'!$B$114,BY35+BX36-CG35)))</f>
        <v>453.80000000000018</v>
      </c>
      <c r="BZ36" s="14">
        <f>BY36*VLOOKUP('Données projet'!$B$12,Paramètres!$A$1:$I$89,3,0)*VLOOKUP('Données projet'!$B$12,Paramètres!$A$1:$I$89,5,0)</f>
        <v>200.57960000000011</v>
      </c>
      <c r="CA36" s="14">
        <f t="shared" si="39"/>
        <v>49.871524801647475</v>
      </c>
      <c r="CB36" s="22">
        <f t="shared" si="10"/>
        <v>436.20237569620281</v>
      </c>
      <c r="CC36" s="62">
        <f t="shared" si="11"/>
        <v>678.08322153074357</v>
      </c>
      <c r="CD36" s="62">
        <f ca="1">AVERAGE(OFFSET($CC$3,0,0,'Données projet'!$E$12+1,1))-AVERAGE(OFFSET($H$3,0,0,'Données projet'!$E$12+1,1))</f>
        <v>580.02817743695846</v>
      </c>
      <c r="CE36" s="62">
        <f t="shared" si="40"/>
        <v>551.23515633208865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11.443589743589742</v>
      </c>
      <c r="CT36" s="13">
        <f>IF('Données projet'!$A$140&gt;35,CT35+CS36-DB35,IF(A36&lt;'Données projet'!$A$140,$CQ$205^A36,IF(A36='Données projet'!$A$140,'Données projet'!$B$140,CT35+CS36-DB35)))</f>
        <v>181.58461538461538</v>
      </c>
      <c r="CU36" s="18">
        <f>CT36*VLOOKUP('Données projet'!$B$13,Paramètres!$A$1:$I$89,3,0)*VLOOKUP('Données projet'!$B$13,Paramètres!$A$1:$I$89,5,0)</f>
        <v>84.981599999999986</v>
      </c>
      <c r="CV36" s="14">
        <f t="shared" si="41"/>
        <v>23.350896003452508</v>
      </c>
      <c r="CW36" s="22">
        <f t="shared" si="13"/>
        <v>188.6790972060131</v>
      </c>
      <c r="CX36" s="62">
        <f t="shared" si="14"/>
        <v>430.55994304055383</v>
      </c>
      <c r="CY36" s="62">
        <f ca="1">AVERAGE(OFFSET($CX$3,0,0,'Données projet'!$E$13+1,1))-AVERAGE(OFFSET($H$3,0,0,'Données projet'!$E$13+1,1))</f>
        <v>321.05795935196863</v>
      </c>
      <c r="CZ36" s="62">
        <f t="shared" si="42"/>
        <v>209.59551322748908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153.40000000000006</v>
      </c>
      <c r="DP36" s="18">
        <f>DO36*VLOOKUP('Données projet'!$B$14,Paramètres!$A$1:$I$89,3,0)*VLOOKUP('Données projet'!$B$14,Paramètres!$A$1:$I$89,5,0)</f>
        <v>165.11976000000004</v>
      </c>
      <c r="DQ36" s="14">
        <f t="shared" si="43"/>
        <v>41.995166194425131</v>
      </c>
      <c r="DR36" s="22">
        <f t="shared" si="16"/>
        <v>360.72516312195717</v>
      </c>
      <c r="DS36" s="62">
        <f t="shared" si="17"/>
        <v>602.60600895649793</v>
      </c>
      <c r="DT36" s="62">
        <f ca="1">AVERAGE(OFFSET($DS$3,0,0,'Données projet'!$E$14+1,1))-AVERAGE(OFFSET($H$3,0,0,'Données projet'!$E$14+1,1))</f>
        <v>638.58602907610805</v>
      </c>
      <c r="DU36" s="62">
        <f t="shared" si="44"/>
        <v>341.9250949809848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14.522249999999985</v>
      </c>
      <c r="EJ36" s="13">
        <f>IF('Données projet'!$A$192&gt;35,EJ35+EI36-ER35,IF(A36&lt;'Données projet'!$A$192,$EG$205^A36,IF(A36='Données projet'!$A$192,'Données projet'!$B$192,EJ35+EI36-ER35)))</f>
        <v>228.47575000000001</v>
      </c>
      <c r="EK36" s="18">
        <f>EJ36*VLOOKUP('Données projet'!$B$15,Paramètres!$A$1:$I$89,3,0)*VLOOKUP('Données projet'!$B$15,Paramètres!$A$1:$I$89,5,0)</f>
        <v>136.62849850000001</v>
      </c>
      <c r="EL36" s="14">
        <f t="shared" si="45"/>
        <v>35.52354948816901</v>
      </c>
      <c r="EM36" s="22">
        <f t="shared" si="19"/>
        <v>299.83148357939439</v>
      </c>
      <c r="EN36" s="62">
        <f t="shared" si="20"/>
        <v>541.71232941393509</v>
      </c>
      <c r="EO36" s="62">
        <f ca="1">AVERAGE(OFFSET($EN$3,0,0,'Données projet'!$E$15+1,1))-AVERAGE(OFFSET($H$3,0,0,'Données projet'!$E$15+1,1))</f>
        <v>223.57443551076992</v>
      </c>
      <c r="EP36" s="62">
        <f t="shared" si="46"/>
        <v>382.12751862619427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25.078350603858759</v>
      </c>
      <c r="EW36" s="23">
        <f>EXP(-LN(2)/25)*EW35+(1-EXP(-LN(2)/25))/(LN(2)/25)*Calculateur!ER36*Calculateur!ET36*VLOOKUP('Données projet'!$B$15,Paramètres!$A$1:$I$89,3,0)*0.475*44/12</f>
        <v>12.772307865025182</v>
      </c>
      <c r="EX36" s="23">
        <f>EXP(-LN(2)/2)*EX35+(1-EXP(-LN(2)/2))/(LN(2)/2)*ER36*EU36*VLOOKUP('Données projet'!$B$15,Paramètres!$A$1:$I$89,3,0)*0.475*44/12</f>
        <v>3.5841819628167997</v>
      </c>
      <c r="EY36" s="24">
        <f t="shared" si="21"/>
        <v>41.434840431700742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1.925416666666667</v>
      </c>
      <c r="FE36" s="13">
        <f>IF('Données projet'!$A$218&gt;35,FE35+FD36-FM35,IF(A36&lt;'Données projet'!$A$218,$FB$205^A36,IF(A36='Données projet'!$A$218,'Données projet'!$B$218,FE35+FD36-FM35)))</f>
        <v>49.188750000000027</v>
      </c>
      <c r="FF36" s="18">
        <f>FE36*VLOOKUP('Données projet'!$B$16,Paramètres!$A$1:$I$89,3,0)*VLOOKUP('Données projet'!$B$16,Paramètres!$A$1:$I$89,5,0)</f>
        <v>56.665440000000025</v>
      </c>
      <c r="FG36" s="14">
        <f t="shared" si="47"/>
        <v>16.322402540008241</v>
      </c>
      <c r="FH36" s="22">
        <f t="shared" si="22"/>
        <v>127.12049242384775</v>
      </c>
      <c r="FI36" s="62">
        <f t="shared" si="23"/>
        <v>369.0013382583885</v>
      </c>
      <c r="FJ36" s="62">
        <f ca="1">AVERAGE(OFFSET($FI$3,0,0,'Données projet'!$E$16+1,1))-AVERAGE(OFFSET($H$3,0,0,'Données projet'!$E$16+1,1))</f>
        <v>283.95543623515323</v>
      </c>
      <c r="FK36" s="62">
        <f t="shared" si="48"/>
        <v>196.96883829830929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14.522249999999985</v>
      </c>
      <c r="FZ36" s="13">
        <f>IF('Données projet'!$A$244&gt;35,FZ35+FY36-GH35,IF(A36&lt;'Données projet'!$A$244,$FW$205^A36,IF(A36='Données projet'!$A$244,'Données projet'!$B$244,FZ35+FY36-GH35)))</f>
        <v>228.47575000000001</v>
      </c>
      <c r="GA36" s="18">
        <f>FZ36*VLOOKUP('Données projet'!$B$17,Paramètres!$A$1:$I$89,3,0)*VLOOKUP('Données projet'!$B$17,Paramètres!$A$1:$I$89,5,0)</f>
        <v>136.62849850000001</v>
      </c>
      <c r="GB36" s="14">
        <f t="shared" si="49"/>
        <v>35.52354948816901</v>
      </c>
      <c r="GC36" s="22">
        <f t="shared" si="25"/>
        <v>299.83148357939439</v>
      </c>
      <c r="GD36" s="62">
        <f t="shared" si="26"/>
        <v>541.71232941393509</v>
      </c>
      <c r="GE36" s="62">
        <f ca="1">AVERAGE(OFFSET($GD$3,0,0,'Données projet'!$E$17+1,1))-AVERAGE(OFFSET($H$3,0,0,'Données projet'!$E$17+1,1))</f>
        <v>223.57443551076992</v>
      </c>
      <c r="GF36" s="62">
        <f t="shared" si="50"/>
        <v>382.12751862619427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25.078350603858759</v>
      </c>
      <c r="GM36" s="23">
        <f>EXP(-LN(2)/25)*GM35+(1-EXP(-LN(2)/25))/(LN(2)/25)*Calculateur!GH36*Calculateur!GJ36*VLOOKUP('Données projet'!$B$17,Paramètres!$A$1:$I$89,3,0)*0.475*44/12</f>
        <v>12.772307865025182</v>
      </c>
      <c r="GN36" s="23">
        <f>EXP(-LN(2)/2)*GN35+(1-EXP(-LN(2)/2))/(LN(2)/2)*GH36*GK36*VLOOKUP('Données projet'!$B$17,Paramètres!$A$1:$I$89,3,0)*0.475*44/12</f>
        <v>3.5841819628167997</v>
      </c>
      <c r="GO36" s="23">
        <f t="shared" si="27"/>
        <v>41.434840431700742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3.9335387924944567</v>
      </c>
      <c r="GU36" s="13">
        <f>IF('Données projet'!$A$270&gt;35,GU35+GT36-HC35,IF(A36&lt;'Données projet'!$A$270,$GR$205^A36,IF(A36='Données projet'!$A$270,'Données projet'!$B$270,GU35+GT36-HC35)))</f>
        <v>92.383495624503936</v>
      </c>
      <c r="GV36" s="18">
        <f>GU36*VLOOKUP('Données projet'!$B$18,Paramètres!$A$1:$I$89,3,0)*VLOOKUP('Données projet'!$B$18,Paramètres!$A$1:$I$89,5,0)</f>
        <v>100.88277722195829</v>
      </c>
      <c r="GW36" s="14">
        <f t="shared" si="51"/>
        <v>27.172199349550326</v>
      </c>
      <c r="GX36" s="22">
        <f t="shared" si="28"/>
        <v>223.02908419537752</v>
      </c>
      <c r="GY36" s="62">
        <f t="shared" si="29"/>
        <v>464.90993002991826</v>
      </c>
      <c r="GZ36" s="62">
        <f ca="1">AVERAGE(OFFSET($GY$3,0,0,'Données projet'!$E$18+1,1))-AVERAGE(OFFSET($H$3,0,0,'Données projet'!$E$18+1,1))</f>
        <v>754.33260592777049</v>
      </c>
      <c r="HA36" s="62">
        <f t="shared" si="52"/>
        <v>250.97643915279005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9">
        <f t="shared" si="1"/>
        <v>183.33333333333334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568.15364184461873</v>
      </c>
      <c r="S37" s="62">
        <f ca="1">AVERAGE(OFFSET($R$3,0,0,'Données projet'!$E$9+1,1))-AVERAGE(OFFSET($H$3,0,0,'Données projet'!$E$9+1,1))</f>
        <v>550.39292625253665</v>
      </c>
      <c r="T37" s="62">
        <f t="shared" si="34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164.20000000000007</v>
      </c>
      <c r="AJ37" s="14">
        <f>AI37*VLOOKUP('Données projet'!$B$10,Paramètres!$A$1:$I$89,3,0)*VLOOKUP('Données projet'!$B$10,Paramètres!$A$1:$I$89,5,0)</f>
        <v>166.49880000000007</v>
      </c>
      <c r="AK37" s="14">
        <f t="shared" si="35"/>
        <v>42.304924050589179</v>
      </c>
      <c r="AL37" s="22">
        <f t="shared" si="4"/>
        <v>363.66648605477627</v>
      </c>
      <c r="AM37" s="62">
        <f t="shared" si="5"/>
        <v>606.43991751689191</v>
      </c>
      <c r="AN37" s="62">
        <f ca="1">AVERAGE(OFFSET($AM$3,0,0,'Données projet'!$E$10+1,1))-AVERAGE(OFFSET($H$3,0,0,'Données projet'!$E$10+1,1))</f>
        <v>606.55142836375308</v>
      </c>
      <c r="AO37" s="62">
        <f t="shared" si="36"/>
        <v>325.72635759450861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8.3333333333333375</v>
      </c>
      <c r="BD37" s="13">
        <f>IF('Données projet'!$A$88&gt;35,BD36+BC37-BL36,IF(A37&lt;'Données projet'!$A$88,$BA$205^A37,IF(A37='Données projet'!$A$88,'Données projet'!$B$88,BD36+BC37-BL36)))</f>
        <v>172.43589743589746</v>
      </c>
      <c r="BE37" s="14">
        <f>BD37*VLOOKUP('Données projet'!$B$11,Paramètres!$A$1:$I$89,3,0)*VLOOKUP('Données projet'!$B$11,Paramètres!$A$1:$I$89,5,0)</f>
        <v>180.23000000000002</v>
      </c>
      <c r="BF37" s="14">
        <f t="shared" si="37"/>
        <v>45.373353125474658</v>
      </c>
      <c r="BG37" s="22">
        <f t="shared" si="7"/>
        <v>392.9258400268684</v>
      </c>
      <c r="BH37" s="62">
        <f t="shared" si="8"/>
        <v>635.69927148898398</v>
      </c>
      <c r="BI37" s="62">
        <f ca="1">AVERAGE(OFFSET($BH$3,0,0,'Données projet'!$E$11+1,1))-AVERAGE(OFFSET($H$3,0,0,'Données projet'!$E$11+1,1))</f>
        <v>635.13577238794812</v>
      </c>
      <c r="BJ37" s="62">
        <f t="shared" si="38"/>
        <v>374.35810525172019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39.6</v>
      </c>
      <c r="BY37" s="13">
        <f>IF('Données projet'!$A$114&gt;35,BY36+BX37-CG36,IF(A37&lt;'Données projet'!$A$114,$BV$205^A37,IF(A37='Données projet'!$A$114,'Données projet'!$B$114,BY36+BX37-CG36)))</f>
        <v>493.4000000000002</v>
      </c>
      <c r="BZ37" s="14">
        <f>BY37*VLOOKUP('Données projet'!$B$12,Paramètres!$A$1:$I$89,3,0)*VLOOKUP('Données projet'!$B$12,Paramètres!$A$1:$I$89,5,0)</f>
        <v>218.08280000000011</v>
      </c>
      <c r="CA37" s="14">
        <f t="shared" si="39"/>
        <v>53.697979742992814</v>
      </c>
      <c r="CB37" s="22">
        <f t="shared" si="10"/>
        <v>473.35152471904604</v>
      </c>
      <c r="CC37" s="62">
        <f t="shared" si="11"/>
        <v>716.12495618116168</v>
      </c>
      <c r="CD37" s="62">
        <f ca="1">AVERAGE(OFFSET($CC$3,0,0,'Données projet'!$E$12+1,1))-AVERAGE(OFFSET($H$3,0,0,'Données projet'!$E$12+1,1))</f>
        <v>580.02817743695846</v>
      </c>
      <c r="CE37" s="62">
        <f t="shared" si="40"/>
        <v>551.23515633208865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11.443589743589742</v>
      </c>
      <c r="CT37" s="13">
        <f>IF('Données projet'!$A$140&gt;35,CT36+CS37-DB36,IF(A37&lt;'Données projet'!$A$140,$CQ$205^A37,IF(A37='Données projet'!$A$140,'Données projet'!$B$140,CT36+CS37-DB36)))</f>
        <v>193.02820512820512</v>
      </c>
      <c r="CU37" s="18">
        <f>CT37*VLOOKUP('Données projet'!$B$13,Paramètres!$A$1:$I$89,3,0)*VLOOKUP('Données projet'!$B$13,Paramètres!$A$1:$I$89,5,0)</f>
        <v>90.337199999999996</v>
      </c>
      <c r="CV37" s="14">
        <f t="shared" si="41"/>
        <v>24.646531805527069</v>
      </c>
      <c r="CW37" s="22">
        <f t="shared" si="13"/>
        <v>200.2633328946263</v>
      </c>
      <c r="CX37" s="62">
        <f t="shared" si="14"/>
        <v>443.03676435674186</v>
      </c>
      <c r="CY37" s="62">
        <f ca="1">AVERAGE(OFFSET($CX$3,0,0,'Données projet'!$E$13+1,1))-AVERAGE(OFFSET($H$3,0,0,'Données projet'!$E$13+1,1))</f>
        <v>321.05795935196863</v>
      </c>
      <c r="CZ37" s="62">
        <f t="shared" si="42"/>
        <v>209.59551322748908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164.20000000000007</v>
      </c>
      <c r="DP37" s="18">
        <f>DO37*VLOOKUP('Données projet'!$B$14,Paramètres!$A$1:$I$89,3,0)*VLOOKUP('Données projet'!$B$14,Paramètres!$A$1:$I$89,5,0)</f>
        <v>176.74488000000008</v>
      </c>
      <c r="DQ37" s="14">
        <f t="shared" si="43"/>
        <v>44.597214542653063</v>
      </c>
      <c r="DR37" s="22">
        <f t="shared" si="16"/>
        <v>385.50414799512083</v>
      </c>
      <c r="DS37" s="62">
        <f t="shared" si="17"/>
        <v>628.27757945723647</v>
      </c>
      <c r="DT37" s="62">
        <f ca="1">AVERAGE(OFFSET($DS$3,0,0,'Données projet'!$E$14+1,1))-AVERAGE(OFFSET($H$3,0,0,'Données projet'!$E$14+1,1))</f>
        <v>638.58602907610805</v>
      </c>
      <c r="DU37" s="62">
        <f t="shared" si="44"/>
        <v>341.9250949809848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>
        <f>VLOOKUP(A37,'Données projet'!$A$191:$I$211,2,0)</f>
        <v>242.99799999999999</v>
      </c>
      <c r="EH37" s="13">
        <f>VLOOKUP(A37,'Données projet'!$A$191:$I$211,9,0)</f>
        <v>14.522249999999985</v>
      </c>
      <c r="EI37" s="13">
        <f t="array" ref="EI37">INDEX(EH:EH,MIN(IF(ISNUMBER(EH37:EH233),ROW(EH37:EH233),"")))</f>
        <v>14.522249999999985</v>
      </c>
      <c r="EJ37" s="13">
        <f>IF('Données projet'!$A$192&gt;35,EJ36+EI37-ER36,IF(A37&lt;'Données projet'!$A$192,$EG$205^A37,IF(A37='Données projet'!$A$192,'Données projet'!$B$192,EJ36+EI37-ER36)))</f>
        <v>242.99799999999999</v>
      </c>
      <c r="EK37" s="18">
        <f>EJ37*VLOOKUP('Données projet'!$B$15,Paramètres!$A$1:$I$89,3,0)*VLOOKUP('Données projet'!$B$15,Paramètres!$A$1:$I$89,5,0)</f>
        <v>145.31280400000003</v>
      </c>
      <c r="EL37" s="14">
        <f t="shared" si="45"/>
        <v>37.511443430057547</v>
      </c>
      <c r="EM37" s="22">
        <f t="shared" si="19"/>
        <v>318.41889760735023</v>
      </c>
      <c r="EN37" s="62">
        <f t="shared" si="20"/>
        <v>561.19232906946581</v>
      </c>
      <c r="EO37" s="62">
        <f ca="1">AVERAGE(OFFSET($EN$3,0,0,'Données projet'!$E$15+1,1))-AVERAGE(OFFSET($H$3,0,0,'Données projet'!$E$15+1,1))</f>
        <v>223.57443551076992</v>
      </c>
      <c r="EP37" s="62">
        <f t="shared" si="46"/>
        <v>382.12751862619427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24.586579444800574</v>
      </c>
      <c r="EW37" s="23">
        <f>EXP(-LN(2)/25)*EW36+(1-EXP(-LN(2)/25))/(LN(2)/25)*Calculateur!ER37*Calculateur!ET37*VLOOKUP('Données projet'!$B$15,Paramètres!$A$1:$I$89,3,0)*0.475*44/12</f>
        <v>12.423048434789589</v>
      </c>
      <c r="EX37" s="23">
        <f>EXP(-LN(2)/2)*EX36+(1-EXP(-LN(2)/2))/(LN(2)/2)*ER37*EU37*VLOOKUP('Données projet'!$B$15,Paramètres!$A$1:$I$89,3,0)*0.475*44/12</f>
        <v>2.5343993709142691</v>
      </c>
      <c r="EY37" s="24">
        <f t="shared" si="21"/>
        <v>39.544027250504435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1.925416666666667</v>
      </c>
      <c r="FE37" s="13">
        <f>IF('Données projet'!$A$218&gt;35,FE36+FD37-FM36,IF(A37&lt;'Données projet'!$A$218,$FB$205^A37,IF(A37='Données projet'!$A$218,'Données projet'!$B$218,FE36+FD37-FM36)))</f>
        <v>51.114166666666691</v>
      </c>
      <c r="FF37" s="18">
        <f>FE37*VLOOKUP('Données projet'!$B$16,Paramètres!$A$1:$I$89,3,0)*VLOOKUP('Données projet'!$B$16,Paramètres!$A$1:$I$89,5,0)</f>
        <v>58.883520000000026</v>
      </c>
      <c r="FG37" s="14">
        <f t="shared" si="47"/>
        <v>16.885679994502389</v>
      </c>
      <c r="FH37" s="22">
        <f t="shared" si="22"/>
        <v>131.96468999042506</v>
      </c>
      <c r="FI37" s="62">
        <f t="shared" si="23"/>
        <v>374.73812145254067</v>
      </c>
      <c r="FJ37" s="62">
        <f ca="1">AVERAGE(OFFSET($FI$3,0,0,'Données projet'!$E$16+1,1))-AVERAGE(OFFSET($H$3,0,0,'Données projet'!$E$16+1,1))</f>
        <v>283.95543623515323</v>
      </c>
      <c r="FK37" s="62">
        <f t="shared" si="48"/>
        <v>196.96883829830929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>
        <f>VLOOKUP(A37,'Données projet'!$A$243:$I$263,2,0)</f>
        <v>242.99799999999999</v>
      </c>
      <c r="FX37" s="13">
        <f>VLOOKUP(A37,'Données projet'!$A$243:$I$263,9,0)</f>
        <v>14.522249999999985</v>
      </c>
      <c r="FY37" s="13">
        <f t="array" ref="FY37">INDEX(FX:FX,MIN(IF(ISNUMBER(FX37:FX233),ROW(FX37:FX233),"")))</f>
        <v>14.522249999999985</v>
      </c>
      <c r="FZ37" s="13">
        <f>IF('Données projet'!$A$244&gt;35,FZ36+FY37-GH36,IF(A37&lt;'Données projet'!$A$244,$FW$205^A37,IF(A37='Données projet'!$A$244,'Données projet'!$B$244,FZ36+FY37-GH36)))</f>
        <v>242.99799999999999</v>
      </c>
      <c r="GA37" s="18">
        <f>FZ37*VLOOKUP('Données projet'!$B$17,Paramètres!$A$1:$I$89,3,0)*VLOOKUP('Données projet'!$B$17,Paramètres!$A$1:$I$89,5,0)</f>
        <v>145.31280400000003</v>
      </c>
      <c r="GB37" s="14">
        <f t="shared" si="49"/>
        <v>37.511443430057547</v>
      </c>
      <c r="GC37" s="22">
        <f t="shared" si="25"/>
        <v>318.41889760735023</v>
      </c>
      <c r="GD37" s="62">
        <f t="shared" si="26"/>
        <v>561.19232906946581</v>
      </c>
      <c r="GE37" s="62">
        <f ca="1">AVERAGE(OFFSET($GD$3,0,0,'Données projet'!$E$17+1,1))-AVERAGE(OFFSET($H$3,0,0,'Données projet'!$E$17+1,1))</f>
        <v>223.57443551076992</v>
      </c>
      <c r="GF37" s="62">
        <f t="shared" si="50"/>
        <v>382.12751862619427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24.586579444800574</v>
      </c>
      <c r="GM37" s="23">
        <f>EXP(-LN(2)/25)*GM36+(1-EXP(-LN(2)/25))/(LN(2)/25)*Calculateur!GH37*Calculateur!GJ37*VLOOKUP('Données projet'!$B$17,Paramètres!$A$1:$I$89,3,0)*0.475*44/12</f>
        <v>12.423048434789589</v>
      </c>
      <c r="GN37" s="23">
        <f>EXP(-LN(2)/2)*GN36+(1-EXP(-LN(2)/2))/(LN(2)/2)*GH37*GK37*VLOOKUP('Données projet'!$B$17,Paramètres!$A$1:$I$89,3,0)*0.475*44/12</f>
        <v>2.5343993709142691</v>
      </c>
      <c r="GO37" s="23">
        <f t="shared" si="27"/>
        <v>39.544027250504435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3.9335387924944567</v>
      </c>
      <c r="GU37" s="13">
        <f>IF('Données projet'!$A$270&gt;35,GU36+GT37-HC36,IF(A37&lt;'Données projet'!$A$270,$GR$205^A37,IF(A37='Données projet'!$A$270,'Données projet'!$B$270,GU36+GT37-HC36)))</f>
        <v>96.317034416998396</v>
      </c>
      <c r="GV37" s="18">
        <f>GU37*VLOOKUP('Données projet'!$B$18,Paramètres!$A$1:$I$89,3,0)*VLOOKUP('Données projet'!$B$18,Paramètres!$A$1:$I$89,5,0)</f>
        <v>105.17820158336225</v>
      </c>
      <c r="GW37" s="14">
        <f t="shared" si="51"/>
        <v>28.191984587434391</v>
      </c>
      <c r="GX37" s="22">
        <f t="shared" si="28"/>
        <v>232.28640758080414</v>
      </c>
      <c r="GY37" s="62">
        <f t="shared" si="29"/>
        <v>475.05983904291975</v>
      </c>
      <c r="GZ37" s="62">
        <f ca="1">AVERAGE(OFFSET($GY$3,0,0,'Données projet'!$E$18+1,1))-AVERAGE(OFFSET($H$3,0,0,'Données projet'!$E$18+1,1))</f>
        <v>754.33260592777049</v>
      </c>
      <c r="HA37" s="62">
        <f t="shared" si="52"/>
        <v>250.97643915279005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9">
        <f t="shared" si="1"/>
        <v>183.33333333333334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589.9075743899449</v>
      </c>
      <c r="S38" s="62">
        <f ca="1">AVERAGE(OFFSET($R$3,0,0,'Données projet'!$E$9+1,1))-AVERAGE(OFFSET($H$3,0,0,'Données projet'!$E$9+1,1))</f>
        <v>550.39292625253665</v>
      </c>
      <c r="T38" s="62">
        <f t="shared" si="34"/>
        <v>297.32483725004136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175.00000000000009</v>
      </c>
      <c r="AJ38" s="14">
        <f>AI38*VLOOKUP('Données projet'!$B$10,Paramètres!$A$1:$I$89,3,0)*VLOOKUP('Données projet'!$B$10,Paramètres!$A$1:$I$89,5,0)</f>
        <v>177.4500000000001</v>
      </c>
      <c r="AK38" s="14">
        <f t="shared" si="35"/>
        <v>44.754387900936791</v>
      </c>
      <c r="AL38" s="22">
        <f t="shared" si="4"/>
        <v>387.00597559413177</v>
      </c>
      <c r="AM38" s="62">
        <f t="shared" si="5"/>
        <v>630.6565083187063</v>
      </c>
      <c r="AN38" s="62">
        <f ca="1">AVERAGE(OFFSET($AM$3,0,0,'Données projet'!$E$10+1,1))-AVERAGE(OFFSET($H$3,0,0,'Données projet'!$E$10+1,1))</f>
        <v>606.55142836375308</v>
      </c>
      <c r="AO38" s="62">
        <f t="shared" si="36"/>
        <v>325.72635759450861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180.76923076923077</v>
      </c>
      <c r="BB38" s="13">
        <f>VLOOKUP(A38,'Données projet'!$A$87:$I$107,9,0)</f>
        <v>8.3333333333333375</v>
      </c>
      <c r="BC38" s="13">
        <f t="array" ref="BC38">INDEX(BB:BB,MIN(IF(ISNUMBER(BB38:BB234),ROW(BB38:BB234),"")))</f>
        <v>8.3333333333333375</v>
      </c>
      <c r="BD38" s="13">
        <f>IF('Données projet'!$A$88&gt;35,BD37+BC38-BL37,IF(A38&lt;'Données projet'!$A$88,$BA$205^A38,IF(A38='Données projet'!$A$88,'Données projet'!$B$88,BD37+BC38-BL37)))</f>
        <v>180.7692307692308</v>
      </c>
      <c r="BE38" s="14">
        <f>BD38*VLOOKUP('Données projet'!$B$11,Paramètres!$A$1:$I$89,3,0)*VLOOKUP('Données projet'!$B$11,Paramètres!$A$1:$I$89,5,0)</f>
        <v>188.94000000000005</v>
      </c>
      <c r="BF38" s="14">
        <f t="shared" si="37"/>
        <v>47.305525650370285</v>
      </c>
      <c r="BG38" s="22">
        <f t="shared" si="7"/>
        <v>411.46095717439493</v>
      </c>
      <c r="BH38" s="62">
        <f t="shared" si="8"/>
        <v>655.11148989896947</v>
      </c>
      <c r="BI38" s="62">
        <f ca="1">AVERAGE(OFFSET($BH$3,0,0,'Données projet'!$E$11+1,1))-AVERAGE(OFFSET($H$3,0,0,'Données projet'!$E$11+1,1))</f>
        <v>635.13577238794812</v>
      </c>
      <c r="BJ38" s="62">
        <f t="shared" si="38"/>
        <v>374.35810525172019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25.641025641025639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533</v>
      </c>
      <c r="BW38" s="13">
        <f>VLOOKUP(A38,'Données projet'!$A$113:$I$133,9,0)</f>
        <v>39.6</v>
      </c>
      <c r="BX38" s="13">
        <f t="array" ref="BX38">INDEX(BW:BW,MIN(IF(ISNUMBER(BW38:BW234),ROW(BW38:BW234),"")))</f>
        <v>39.6</v>
      </c>
      <c r="BY38" s="13">
        <f>IF('Données projet'!$A$114&gt;35,BY37+BX38-CG37,IF(A38&lt;'Données projet'!$A$114,$BV$205^A38,IF(A38='Données projet'!$A$114,'Données projet'!$B$114,BY37+BX38-CG37)))</f>
        <v>533.00000000000023</v>
      </c>
      <c r="BZ38" s="14">
        <f>BY38*VLOOKUP('Données projet'!$B$12,Paramètres!$A$1:$I$89,3,0)*VLOOKUP('Données projet'!$B$12,Paramètres!$A$1:$I$89,5,0)</f>
        <v>235.58600000000013</v>
      </c>
      <c r="CA38" s="14">
        <f t="shared" si="39"/>
        <v>57.488813306713631</v>
      </c>
      <c r="CB38" s="22">
        <f t="shared" si="10"/>
        <v>510.43863317585971</v>
      </c>
      <c r="CC38" s="62">
        <f t="shared" si="11"/>
        <v>754.08916590043418</v>
      </c>
      <c r="CD38" s="62">
        <f ca="1">AVERAGE(OFFSET($CC$3,0,0,'Données projet'!$E$12+1,1))-AVERAGE(OFFSET($H$3,0,0,'Données projet'!$E$12+1,1))</f>
        <v>580.02817743695846</v>
      </c>
      <c r="CE38" s="62">
        <f t="shared" si="40"/>
        <v>551.23515633208865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11.443589743589742</v>
      </c>
      <c r="CT38" s="13">
        <f>IF('Données projet'!$A$140&gt;35,CT37+CS38-DB37,IF(A38&lt;'Données projet'!$A$140,$CQ$205^A38,IF(A38='Données projet'!$A$140,'Données projet'!$B$140,CT37+CS38-DB37)))</f>
        <v>204.47179487179486</v>
      </c>
      <c r="CU38" s="18">
        <f>CT38*VLOOKUP('Données projet'!$B$13,Paramètres!$A$1:$I$89,3,0)*VLOOKUP('Données projet'!$B$13,Paramètres!$A$1:$I$89,5,0)</f>
        <v>95.692799999999991</v>
      </c>
      <c r="CV38" s="14">
        <f t="shared" si="41"/>
        <v>25.93325205212474</v>
      </c>
      <c r="CW38" s="22">
        <f t="shared" si="13"/>
        <v>211.83204065745056</v>
      </c>
      <c r="CX38" s="62">
        <f t="shared" si="14"/>
        <v>455.48257338202507</v>
      </c>
      <c r="CY38" s="62">
        <f ca="1">AVERAGE(OFFSET($CX$3,0,0,'Données projet'!$E$13+1,1))-AVERAGE(OFFSET($H$3,0,0,'Données projet'!$E$13+1,1))</f>
        <v>321.05795935196863</v>
      </c>
      <c r="CZ38" s="62">
        <f t="shared" si="42"/>
        <v>209.59551322748908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175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175.00000000000009</v>
      </c>
      <c r="DP38" s="18">
        <f>DO38*VLOOKUP('Données projet'!$B$14,Paramètres!$A$1:$I$89,3,0)*VLOOKUP('Données projet'!$B$14,Paramètres!$A$1:$I$89,5,0)</f>
        <v>188.37000000000006</v>
      </c>
      <c r="DQ38" s="14">
        <f t="shared" si="43"/>
        <v>47.179402486491298</v>
      </c>
      <c r="DR38" s="22">
        <f t="shared" si="16"/>
        <v>410.2485426639725</v>
      </c>
      <c r="DS38" s="62">
        <f t="shared" si="17"/>
        <v>653.89907538854698</v>
      </c>
      <c r="DT38" s="62">
        <f ca="1">AVERAGE(OFFSET($DS$3,0,0,'Données projet'!$E$14+1,1))-AVERAGE(OFFSET($H$3,0,0,'Données projet'!$E$14+1,1))</f>
        <v>638.58602907610805</v>
      </c>
      <c r="DU38" s="62">
        <f t="shared" si="44"/>
        <v>341.9250949809848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56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14.692250000000001</v>
      </c>
      <c r="EJ38" s="13">
        <f>IF('Données projet'!$A$192&gt;35,EJ37+EI38-ER37,IF(A38&lt;'Données projet'!$A$192,$EG$205^A38,IF(A38='Données projet'!$A$192,'Données projet'!$B$192,EJ37+EI38-ER37)))</f>
        <v>257.69024999999999</v>
      </c>
      <c r="EK38" s="18">
        <f>EJ38*VLOOKUP('Données projet'!$B$15,Paramètres!$A$1:$I$89,3,0)*VLOOKUP('Données projet'!$B$15,Paramètres!$A$1:$I$89,5,0)</f>
        <v>154.0987695</v>
      </c>
      <c r="EL38" s="14">
        <f t="shared" si="45"/>
        <v>39.508579224448923</v>
      </c>
      <c r="EM38" s="22">
        <f t="shared" si="19"/>
        <v>337.19946569508181</v>
      </c>
      <c r="EN38" s="62">
        <f t="shared" si="20"/>
        <v>580.84999841965634</v>
      </c>
      <c r="EO38" s="62">
        <f ca="1">AVERAGE(OFFSET($EN$3,0,0,'Données projet'!$E$15+1,1))-AVERAGE(OFFSET($H$3,0,0,'Données projet'!$E$15+1,1))</f>
        <v>223.57443551076992</v>
      </c>
      <c r="EP38" s="62">
        <f t="shared" si="46"/>
        <v>382.12751862619427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24.104451618220732</v>
      </c>
      <c r="EW38" s="23">
        <f>EXP(-LN(2)/25)*EW37+(1-EXP(-LN(2)/25))/(LN(2)/25)*Calculateur!ER38*Calculateur!ET38*VLOOKUP('Données projet'!$B$15,Paramètres!$A$1:$I$89,3,0)*0.475*44/12</f>
        <v>12.083339522040543</v>
      </c>
      <c r="EX38" s="23">
        <f>EXP(-LN(2)/2)*EX37+(1-EXP(-LN(2)/2))/(LN(2)/2)*ER38*EU38*VLOOKUP('Données projet'!$B$15,Paramètres!$A$1:$I$89,3,0)*0.475*44/12</f>
        <v>1.7920909814083998</v>
      </c>
      <c r="EY38" s="24">
        <f t="shared" si="21"/>
        <v>37.979882121669675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1.925416666666667</v>
      </c>
      <c r="FE38" s="13">
        <f>IF('Données projet'!$A$218&gt;35,FE37+FD38-FM37,IF(A38&lt;'Données projet'!$A$218,$FB$205^A38,IF(A38='Données projet'!$A$218,'Données projet'!$B$218,FE37+FD38-FM37)))</f>
        <v>53.039583333333354</v>
      </c>
      <c r="FF38" s="18">
        <f>FE38*VLOOKUP('Données projet'!$B$16,Paramètres!$A$1:$I$89,3,0)*VLOOKUP('Données projet'!$B$16,Paramètres!$A$1:$I$89,5,0)</f>
        <v>61.101600000000019</v>
      </c>
      <c r="FG38" s="14">
        <f t="shared" si="47"/>
        <v>17.446492456972504</v>
      </c>
      <c r="FH38" s="22">
        <f t="shared" si="22"/>
        <v>136.80459436256049</v>
      </c>
      <c r="FI38" s="62">
        <f t="shared" si="23"/>
        <v>380.455127087135</v>
      </c>
      <c r="FJ38" s="62">
        <f ca="1">AVERAGE(OFFSET($FI$3,0,0,'Données projet'!$E$16+1,1))-AVERAGE(OFFSET($H$3,0,0,'Données projet'!$E$16+1,1))</f>
        <v>283.95543623515323</v>
      </c>
      <c r="FK38" s="62">
        <f t="shared" si="48"/>
        <v>196.96883829830929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14.692250000000001</v>
      </c>
      <c r="FZ38" s="13">
        <f>IF('Données projet'!$A$244&gt;35,FZ37+FY38-GH37,IF(A38&lt;'Données projet'!$A$244,$FW$205^A38,IF(A38='Données projet'!$A$244,'Données projet'!$B$244,FZ37+FY38-GH37)))</f>
        <v>257.69024999999999</v>
      </c>
      <c r="GA38" s="18">
        <f>FZ38*VLOOKUP('Données projet'!$B$17,Paramètres!$A$1:$I$89,3,0)*VLOOKUP('Données projet'!$B$17,Paramètres!$A$1:$I$89,5,0)</f>
        <v>154.0987695</v>
      </c>
      <c r="GB38" s="14">
        <f t="shared" si="49"/>
        <v>39.508579224448923</v>
      </c>
      <c r="GC38" s="22">
        <f t="shared" si="25"/>
        <v>337.19946569508181</v>
      </c>
      <c r="GD38" s="62">
        <f t="shared" si="26"/>
        <v>580.84999841965634</v>
      </c>
      <c r="GE38" s="62">
        <f ca="1">AVERAGE(OFFSET($GD$3,0,0,'Données projet'!$E$17+1,1))-AVERAGE(OFFSET($H$3,0,0,'Données projet'!$E$17+1,1))</f>
        <v>223.57443551076992</v>
      </c>
      <c r="GF38" s="62">
        <f t="shared" si="50"/>
        <v>382.12751862619427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24.104451618220732</v>
      </c>
      <c r="GM38" s="23">
        <f>EXP(-LN(2)/25)*GM37+(1-EXP(-LN(2)/25))/(LN(2)/25)*Calculateur!GH38*Calculateur!GJ38*VLOOKUP('Données projet'!$B$17,Paramètres!$A$1:$I$89,3,0)*0.475*44/12</f>
        <v>12.083339522040543</v>
      </c>
      <c r="GN38" s="23">
        <f>EXP(-LN(2)/2)*GN37+(1-EXP(-LN(2)/2))/(LN(2)/2)*GH38*GK38*VLOOKUP('Données projet'!$B$17,Paramètres!$A$1:$I$89,3,0)*0.475*44/12</f>
        <v>1.7920909814083998</v>
      </c>
      <c r="GO38" s="23">
        <f t="shared" si="27"/>
        <v>37.979882121669675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3.9335387924944567</v>
      </c>
      <c r="GU38" s="13">
        <f>IF('Données projet'!$A$270&gt;35,GU37+GT38-HC37,IF(A38&lt;'Données projet'!$A$270,$GR$205^A38,IF(A38='Données projet'!$A$270,'Données projet'!$B$270,GU37+GT38-HC37)))</f>
        <v>100.25057320949286</v>
      </c>
      <c r="GV38" s="18">
        <f>GU38*VLOOKUP('Données projet'!$B$18,Paramètres!$A$1:$I$89,3,0)*VLOOKUP('Données projet'!$B$18,Paramètres!$A$1:$I$89,5,0)</f>
        <v>109.4736259447662</v>
      </c>
      <c r="GW38" s="14">
        <f t="shared" si="51"/>
        <v>29.206932138986261</v>
      </c>
      <c r="GX38" s="22">
        <f t="shared" si="28"/>
        <v>241.5353053292022</v>
      </c>
      <c r="GY38" s="62">
        <f t="shared" si="29"/>
        <v>485.18583805377671</v>
      </c>
      <c r="GZ38" s="62">
        <f ca="1">AVERAGE(OFFSET($GY$3,0,0,'Données projet'!$E$18+1,1))-AVERAGE(OFFSET($H$3,0,0,'Données projet'!$E$18+1,1))</f>
        <v>754.33260592777049</v>
      </c>
      <c r="HA38" s="62">
        <f t="shared" si="52"/>
        <v>250.97643915279005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9">
        <f t="shared" si="1"/>
        <v>183.33333333333334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503.96406639900437</v>
      </c>
      <c r="S39" s="62">
        <f ca="1">AVERAGE(OFFSET($R$3,0,0,'Données projet'!$E$9+1,1))-AVERAGE(OFFSET($H$3,0,0,'Données projet'!$E$9+1,1))</f>
        <v>550.39292625253665</v>
      </c>
      <c r="T39" s="62">
        <f t="shared" si="34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130.20000000000007</v>
      </c>
      <c r="AJ39" s="14">
        <f>AI39*VLOOKUP('Données projet'!$B$10,Paramètres!$A$1:$I$89,3,0)*VLOOKUP('Données projet'!$B$10,Paramètres!$A$1:$I$89,5,0)</f>
        <v>132.02280000000007</v>
      </c>
      <c r="AK39" s="14">
        <f t="shared" si="35"/>
        <v>34.463348169992798</v>
      </c>
      <c r="AL39" s="22">
        <f t="shared" si="4"/>
        <v>289.96337472940422</v>
      </c>
      <c r="AM39" s="62">
        <f t="shared" si="5"/>
        <v>534.47579297043865</v>
      </c>
      <c r="AN39" s="62">
        <f ca="1">AVERAGE(OFFSET($AM$3,0,0,'Données projet'!$E$10+1,1))-AVERAGE(OFFSET($H$3,0,0,'Données projet'!$E$10+1,1))</f>
        <v>606.55142836375308</v>
      </c>
      <c r="AO39" s="62">
        <f t="shared" si="36"/>
        <v>325.72635759450861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7.8205128205128176</v>
      </c>
      <c r="BD39" s="13">
        <f>IF('Données projet'!$A$88&gt;35,BD38+BC39-BL38,IF(A39&lt;'Données projet'!$A$88,$BA$205^A39,IF(A39='Données projet'!$A$88,'Données projet'!$B$88,BD38+BC39-BL38)))</f>
        <v>162.94871794871798</v>
      </c>
      <c r="BE39" s="14">
        <f>BD39*VLOOKUP('Données projet'!$B$11,Paramètres!$A$1:$I$89,3,0)*VLOOKUP('Données projet'!$B$11,Paramètres!$A$1:$I$89,5,0)</f>
        <v>170.31400000000005</v>
      </c>
      <c r="BF39" s="14">
        <f t="shared" si="37"/>
        <v>43.160341585175807</v>
      </c>
      <c r="BG39" s="22">
        <f t="shared" si="7"/>
        <v>371.8011449275146</v>
      </c>
      <c r="BH39" s="62">
        <f t="shared" si="8"/>
        <v>616.31356316854908</v>
      </c>
      <c r="BI39" s="62">
        <f ca="1">AVERAGE(OFFSET($BH$3,0,0,'Données projet'!$E$11+1,1))-AVERAGE(OFFSET($H$3,0,0,'Données projet'!$E$11+1,1))</f>
        <v>635.13577238794812</v>
      </c>
      <c r="BJ39" s="62">
        <f t="shared" si="38"/>
        <v>374.35810525172019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36.6</v>
      </c>
      <c r="BY39" s="13">
        <f>IF('Données projet'!$A$114&gt;35,BY38+BX39-CG38,IF(A39&lt;'Données projet'!$A$114,$BV$205^A39,IF(A39='Données projet'!$A$114,'Données projet'!$B$114,BY38+BX39-CG38)))</f>
        <v>569.60000000000025</v>
      </c>
      <c r="BZ39" s="14">
        <f>BY39*VLOOKUP('Données projet'!$B$12,Paramètres!$A$1:$I$89,3,0)*VLOOKUP('Données projet'!$B$12,Paramètres!$A$1:$I$89,5,0)</f>
        <v>251.76320000000015</v>
      </c>
      <c r="CA39" s="14">
        <f t="shared" si="39"/>
        <v>60.963349020984225</v>
      </c>
      <c r="CB39" s="22">
        <f t="shared" si="10"/>
        <v>544.66540621154786</v>
      </c>
      <c r="CC39" s="62">
        <f t="shared" si="11"/>
        <v>789.17782445258229</v>
      </c>
      <c r="CD39" s="62">
        <f ca="1">AVERAGE(OFFSET($CC$3,0,0,'Données projet'!$E$12+1,1))-AVERAGE(OFFSET($H$3,0,0,'Données projet'!$E$12+1,1))</f>
        <v>580.02817743695846</v>
      </c>
      <c r="CE39" s="62">
        <f t="shared" si="40"/>
        <v>551.23515633208865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11.443589743589742</v>
      </c>
      <c r="CT39" s="13">
        <f>IF('Données projet'!$A$140&gt;35,CT38+CS39-DB38,IF(A39&lt;'Données projet'!$A$140,$CQ$205^A39,IF(A39='Données projet'!$A$140,'Données projet'!$B$140,CT38+CS39-DB38)))</f>
        <v>215.9153846153846</v>
      </c>
      <c r="CU39" s="18">
        <f>CT39*VLOOKUP('Données projet'!$B$13,Paramètres!$A$1:$I$89,3,0)*VLOOKUP('Données projet'!$B$13,Paramètres!$A$1:$I$89,5,0)</f>
        <v>101.04839999999999</v>
      </c>
      <c r="CV39" s="14">
        <f t="shared" si="41"/>
        <v>27.21161258263702</v>
      </c>
      <c r="CW39" s="22">
        <f t="shared" si="13"/>
        <v>223.38618858142613</v>
      </c>
      <c r="CX39" s="62">
        <f t="shared" si="14"/>
        <v>467.89860682246058</v>
      </c>
      <c r="CY39" s="62">
        <f ca="1">AVERAGE(OFFSET($CX$3,0,0,'Données projet'!$E$13+1,1))-AVERAGE(OFFSET($H$3,0,0,'Données projet'!$E$13+1,1))</f>
        <v>321.05795935196863</v>
      </c>
      <c r="CZ39" s="62">
        <f t="shared" si="42"/>
        <v>209.59551322748908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IF('Données projet'!$A$166&gt;35,DO38+DN39-DW38,IF(A39&lt;'Données projet'!$A$166,$DL$205^A39,IF(A39='Données projet'!$A$166,'Données projet'!$B$166,DO38+DN39-DW38)))</f>
        <v>130.20000000000007</v>
      </c>
      <c r="DP39" s="18">
        <f>DO39*VLOOKUP('Données projet'!$B$14,Paramètres!$A$1:$I$89,3,0)*VLOOKUP('Données projet'!$B$14,Paramètres!$A$1:$I$89,5,0)</f>
        <v>140.14728000000008</v>
      </c>
      <c r="DQ39" s="14">
        <f t="shared" si="43"/>
        <v>36.330743209877284</v>
      </c>
      <c r="DR39" s="22">
        <f t="shared" si="16"/>
        <v>307.36589042386976</v>
      </c>
      <c r="DS39" s="62">
        <f t="shared" si="17"/>
        <v>551.87830866490413</v>
      </c>
      <c r="DT39" s="62">
        <f ca="1">AVERAGE(OFFSET($DS$3,0,0,'Données projet'!$E$14+1,1))-AVERAGE(OFFSET($H$3,0,0,'Données projet'!$E$14+1,1))</f>
        <v>638.58602907610805</v>
      </c>
      <c r="DU39" s="62">
        <f t="shared" si="44"/>
        <v>341.9250949809848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14.692250000000001</v>
      </c>
      <c r="EJ39" s="13">
        <f>IF('Données projet'!$A$192&gt;35,EJ38+EI39-ER38,IF(A39&lt;'Données projet'!$A$192,$EG$205^A39,IF(A39='Données projet'!$A$192,'Données projet'!$B$192,EJ38+EI39-ER38)))</f>
        <v>272.38249999999999</v>
      </c>
      <c r="EK39" s="18">
        <f>EJ39*VLOOKUP('Données projet'!$B$15,Paramètres!$A$1:$I$89,3,0)*VLOOKUP('Données projet'!$B$15,Paramètres!$A$1:$I$89,5,0)</f>
        <v>162.88473500000001</v>
      </c>
      <c r="EL39" s="14">
        <f t="shared" si="45"/>
        <v>41.49249722373775</v>
      </c>
      <c r="EM39" s="22">
        <f t="shared" si="19"/>
        <v>355.95701278967658</v>
      </c>
      <c r="EN39" s="62">
        <f t="shared" si="20"/>
        <v>600.46943103071101</v>
      </c>
      <c r="EO39" s="62">
        <f ca="1">AVERAGE(OFFSET($EN$3,0,0,'Données projet'!$E$15+1,1))-AVERAGE(OFFSET($H$3,0,0,'Données projet'!$E$15+1,1))</f>
        <v>223.57443551076992</v>
      </c>
      <c r="EP39" s="62">
        <f t="shared" si="46"/>
        <v>382.12751862619427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23.631778024251183</v>
      </c>
      <c r="EW39" s="23">
        <f>EXP(-LN(2)/25)*EW38+(1-EXP(-LN(2)/25))/(LN(2)/25)*Calculateur!ER39*Calculateur!ET39*VLOOKUP('Données projet'!$B$15,Paramètres!$A$1:$I$89,3,0)*0.475*44/12</f>
        <v>11.752919967375135</v>
      </c>
      <c r="EX39" s="23">
        <f>EXP(-LN(2)/2)*EX38+(1-EXP(-LN(2)/2))/(LN(2)/2)*ER39*EU39*VLOOKUP('Données projet'!$B$15,Paramètres!$A$1:$I$89,3,0)*0.475*44/12</f>
        <v>1.2671996854571346</v>
      </c>
      <c r="EY39" s="24">
        <f t="shared" si="21"/>
        <v>36.651897677083454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1.925416666666667</v>
      </c>
      <c r="FE39" s="13">
        <f>IF('Données projet'!$A$218&gt;35,FE38+FD39-FM38,IF(A39&lt;'Données projet'!$A$218,$FB$205^A39,IF(A39='Données projet'!$A$218,'Données projet'!$B$218,FE38+FD39-FM38)))</f>
        <v>54.965000000000018</v>
      </c>
      <c r="FF39" s="18">
        <f>FE39*VLOOKUP('Données projet'!$B$16,Paramètres!$A$1:$I$89,3,0)*VLOOKUP('Données projet'!$B$16,Paramètres!$A$1:$I$89,5,0)</f>
        <v>63.319680000000012</v>
      </c>
      <c r="FG39" s="14">
        <f t="shared" si="47"/>
        <v>18.004939659941751</v>
      </c>
      <c r="FH39" s="22">
        <f t="shared" si="22"/>
        <v>141.64037924106523</v>
      </c>
      <c r="FI39" s="62">
        <f t="shared" si="23"/>
        <v>386.15279748209969</v>
      </c>
      <c r="FJ39" s="62">
        <f ca="1">AVERAGE(OFFSET($FI$3,0,0,'Données projet'!$E$16+1,1))-AVERAGE(OFFSET($H$3,0,0,'Données projet'!$E$16+1,1))</f>
        <v>283.95543623515323</v>
      </c>
      <c r="FK39" s="62">
        <f t="shared" si="48"/>
        <v>196.96883829830929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14.692250000000001</v>
      </c>
      <c r="FZ39" s="13">
        <f>IF('Données projet'!$A$244&gt;35,FZ38+FY39-GH38,IF(A39&lt;'Données projet'!$A$244,$FW$205^A39,IF(A39='Données projet'!$A$244,'Données projet'!$B$244,FZ38+FY39-GH38)))</f>
        <v>272.38249999999999</v>
      </c>
      <c r="GA39" s="18">
        <f>FZ39*VLOOKUP('Données projet'!$B$17,Paramètres!$A$1:$I$89,3,0)*VLOOKUP('Données projet'!$B$17,Paramètres!$A$1:$I$89,5,0)</f>
        <v>162.88473500000001</v>
      </c>
      <c r="GB39" s="14">
        <f t="shared" si="49"/>
        <v>41.49249722373775</v>
      </c>
      <c r="GC39" s="22">
        <f t="shared" si="25"/>
        <v>355.95701278967658</v>
      </c>
      <c r="GD39" s="62">
        <f t="shared" si="26"/>
        <v>600.46943103071101</v>
      </c>
      <c r="GE39" s="62">
        <f ca="1">AVERAGE(OFFSET($GD$3,0,0,'Données projet'!$E$17+1,1))-AVERAGE(OFFSET($H$3,0,0,'Données projet'!$E$17+1,1))</f>
        <v>223.57443551076992</v>
      </c>
      <c r="GF39" s="62">
        <f t="shared" si="50"/>
        <v>382.12751862619427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23.631778024251183</v>
      </c>
      <c r="GM39" s="23">
        <f>EXP(-LN(2)/25)*GM38+(1-EXP(-LN(2)/25))/(LN(2)/25)*Calculateur!GH39*Calculateur!GJ39*VLOOKUP('Données projet'!$B$17,Paramètres!$A$1:$I$89,3,0)*0.475*44/12</f>
        <v>11.752919967375135</v>
      </c>
      <c r="GN39" s="23">
        <f>EXP(-LN(2)/2)*GN38+(1-EXP(-LN(2)/2))/(LN(2)/2)*GH39*GK39*VLOOKUP('Données projet'!$B$17,Paramètres!$A$1:$I$89,3,0)*0.475*44/12</f>
        <v>1.2671996854571346</v>
      </c>
      <c r="GO39" s="23">
        <f t="shared" si="27"/>
        <v>36.651897677083454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3.9335387924944567</v>
      </c>
      <c r="GU39" s="13">
        <f>IF('Données projet'!$A$270&gt;35,GU38+GT39-HC38,IF(A39&lt;'Données projet'!$A$270,$GR$205^A39,IF(A39='Données projet'!$A$270,'Données projet'!$B$270,GU38+GT39-HC38)))</f>
        <v>104.18411200198732</v>
      </c>
      <c r="GV39" s="18">
        <f>GU39*VLOOKUP('Données projet'!$B$18,Paramètres!$A$1:$I$89,3,0)*VLOOKUP('Données projet'!$B$18,Paramètres!$A$1:$I$89,5,0)</f>
        <v>113.76905030617014</v>
      </c>
      <c r="GW39" s="14">
        <f t="shared" si="51"/>
        <v>30.217253542887732</v>
      </c>
      <c r="GX39" s="22">
        <f t="shared" si="28"/>
        <v>250.77614587044249</v>
      </c>
      <c r="GY39" s="62">
        <f t="shared" si="29"/>
        <v>495.28856411147694</v>
      </c>
      <c r="GZ39" s="62">
        <f ca="1">AVERAGE(OFFSET($GY$3,0,0,'Données projet'!$E$18+1,1))-AVERAGE(OFFSET($H$3,0,0,'Données projet'!$E$18+1,1))</f>
        <v>754.33260592777049</v>
      </c>
      <c r="HA39" s="62">
        <f t="shared" si="52"/>
        <v>250.97643915279005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9">
        <f t="shared" si="1"/>
        <v>183.33333333333334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526.56595364496309</v>
      </c>
      <c r="S40" s="62">
        <f ca="1">AVERAGE(OFFSET($R$3,0,0,'Données projet'!$E$9+1,1))-AVERAGE(OFFSET($H$3,0,0,'Données projet'!$E$9+1,1))</f>
        <v>550.39292625253665</v>
      </c>
      <c r="T40" s="62">
        <f t="shared" si="34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141.40000000000006</v>
      </c>
      <c r="AJ40" s="14">
        <f>AI40*VLOOKUP('Données projet'!$B$10,Paramètres!$A$1:$I$89,3,0)*VLOOKUP('Données projet'!$B$10,Paramètres!$A$1:$I$89,5,0)</f>
        <v>143.37960000000007</v>
      </c>
      <c r="AK40" s="14">
        <f t="shared" si="35"/>
        <v>37.070146308317504</v>
      </c>
      <c r="AL40" s="22">
        <f t="shared" si="4"/>
        <v>314.28330815365308</v>
      </c>
      <c r="AM40" s="62">
        <f t="shared" si="5"/>
        <v>559.64266012432415</v>
      </c>
      <c r="AN40" s="62">
        <f ca="1">AVERAGE(OFFSET($AM$3,0,0,'Données projet'!$E$10+1,1))-AVERAGE(OFFSET($H$3,0,0,'Données projet'!$E$10+1,1))</f>
        <v>606.55142836375308</v>
      </c>
      <c r="AO40" s="62">
        <f t="shared" si="36"/>
        <v>325.72635759450861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7.8205128205128176</v>
      </c>
      <c r="BD40" s="13">
        <f>IF('Données projet'!$A$88&gt;35,BD39+BC40-BL39,IF(A40&lt;'Données projet'!$A$88,$BA$205^A40,IF(A40='Données projet'!$A$88,'Données projet'!$B$88,BD39+BC40-BL39)))</f>
        <v>170.7692307692308</v>
      </c>
      <c r="BE40" s="14">
        <f>BD40*VLOOKUP('Données projet'!$B$11,Paramètres!$A$1:$I$89,3,0)*VLOOKUP('Données projet'!$B$11,Paramètres!$A$1:$I$89,5,0)</f>
        <v>178.48800000000006</v>
      </c>
      <c r="BF40" s="14">
        <f t="shared" si="37"/>
        <v>44.985629051749001</v>
      </c>
      <c r="BG40" s="22">
        <f t="shared" si="7"/>
        <v>389.21657059846297</v>
      </c>
      <c r="BH40" s="62">
        <f t="shared" si="8"/>
        <v>634.57592256913404</v>
      </c>
      <c r="BI40" s="62">
        <f ca="1">AVERAGE(OFFSET($BH$3,0,0,'Données projet'!$E$11+1,1))-AVERAGE(OFFSET($H$3,0,0,'Données projet'!$E$11+1,1))</f>
        <v>635.13577238794812</v>
      </c>
      <c r="BJ40" s="62">
        <f t="shared" si="38"/>
        <v>374.35810525172019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36.6</v>
      </c>
      <c r="BY40" s="13">
        <f>IF('Données projet'!$A$114&gt;35,BY39+BX40-CG39,IF(A40&lt;'Données projet'!$A$114,$BV$205^A40,IF(A40='Données projet'!$A$114,'Données projet'!$B$114,BY39+BX40-CG39)))</f>
        <v>606.20000000000027</v>
      </c>
      <c r="BZ40" s="14">
        <f>BY40*VLOOKUP('Données projet'!$B$12,Paramètres!$A$1:$I$89,3,0)*VLOOKUP('Données projet'!$B$12,Paramètres!$A$1:$I$89,5,0)</f>
        <v>267.94040000000018</v>
      </c>
      <c r="CA40" s="14">
        <f t="shared" si="39"/>
        <v>64.41197558019114</v>
      </c>
      <c r="CB40" s="22">
        <f t="shared" si="10"/>
        <v>578.84705413549989</v>
      </c>
      <c r="CC40" s="62">
        <f t="shared" si="11"/>
        <v>824.20640610617102</v>
      </c>
      <c r="CD40" s="62">
        <f ca="1">AVERAGE(OFFSET($CC$3,0,0,'Données projet'!$E$12+1,1))-AVERAGE(OFFSET($H$3,0,0,'Données projet'!$E$12+1,1))</f>
        <v>580.02817743695846</v>
      </c>
      <c r="CE40" s="62">
        <f t="shared" si="40"/>
        <v>551.23515633208865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11.443589743589742</v>
      </c>
      <c r="CT40" s="13">
        <f>IF('Données projet'!$A$140&gt;35,CT39+CS40-DB39,IF(A40&lt;'Données projet'!$A$140,$CQ$205^A40,IF(A40='Données projet'!$A$140,'Données projet'!$B$140,CT39+CS40-DB39)))</f>
        <v>227.35897435897434</v>
      </c>
      <c r="CU40" s="18">
        <f>CT40*VLOOKUP('Données projet'!$B$13,Paramètres!$A$1:$I$89,3,0)*VLOOKUP('Données projet'!$B$13,Paramètres!$A$1:$I$89,5,0)</f>
        <v>106.40399999999998</v>
      </c>
      <c r="CV40" s="14">
        <f t="shared" si="41"/>
        <v>28.482106989387589</v>
      </c>
      <c r="CW40" s="22">
        <f t="shared" si="13"/>
        <v>234.92663633985001</v>
      </c>
      <c r="CX40" s="62">
        <f t="shared" si="14"/>
        <v>480.28598831052113</v>
      </c>
      <c r="CY40" s="62">
        <f ca="1">AVERAGE(OFFSET($CX$3,0,0,'Données projet'!$E$13+1,1))-AVERAGE(OFFSET($H$3,0,0,'Données projet'!$E$13+1,1))</f>
        <v>321.05795935196863</v>
      </c>
      <c r="CZ40" s="62">
        <f t="shared" si="42"/>
        <v>209.59551322748908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IF('Données projet'!$A$166&gt;35,DO39+DN40-DW39,IF(A40&lt;'Données projet'!$A$166,$DL$205^A40,IF(A40='Données projet'!$A$166,'Données projet'!$B$166,DO39+DN40-DW39)))</f>
        <v>141.40000000000006</v>
      </c>
      <c r="DP40" s="18">
        <f>DO40*VLOOKUP('Données projet'!$B$14,Paramètres!$A$1:$I$89,3,0)*VLOOKUP('Données projet'!$B$14,Paramètres!$A$1:$I$89,5,0)</f>
        <v>152.20296000000005</v>
      </c>
      <c r="DQ40" s="14">
        <f t="shared" si="43"/>
        <v>39.078790593326879</v>
      </c>
      <c r="DR40" s="22">
        <f t="shared" si="16"/>
        <v>333.1490489500444</v>
      </c>
      <c r="DS40" s="62">
        <f t="shared" si="17"/>
        <v>578.50840092071553</v>
      </c>
      <c r="DT40" s="62">
        <f ca="1">AVERAGE(OFFSET($DS$3,0,0,'Données projet'!$E$14+1,1))-AVERAGE(OFFSET($H$3,0,0,'Données projet'!$E$14+1,1))</f>
        <v>638.58602907610805</v>
      </c>
      <c r="DU40" s="62">
        <f t="shared" si="44"/>
        <v>341.9250949809848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14.692250000000001</v>
      </c>
      <c r="EJ40" s="13">
        <f>IF('Données projet'!$A$192&gt;35,EJ39+EI40-ER39,IF(A40&lt;'Données projet'!$A$192,$EG$205^A40,IF(A40='Données projet'!$A$192,'Données projet'!$B$192,EJ39+EI40-ER39)))</f>
        <v>287.07474999999999</v>
      </c>
      <c r="EK40" s="18">
        <f>EJ40*VLOOKUP('Données projet'!$B$15,Paramètres!$A$1:$I$89,3,0)*VLOOKUP('Données projet'!$B$15,Paramètres!$A$1:$I$89,5,0)</f>
        <v>171.67070050000001</v>
      </c>
      <c r="EL40" s="14">
        <f t="shared" si="45"/>
        <v>43.463991678837367</v>
      </c>
      <c r="EM40" s="22">
        <f t="shared" si="19"/>
        <v>374.69292221147504</v>
      </c>
      <c r="EN40" s="62">
        <f t="shared" si="20"/>
        <v>620.05227418214611</v>
      </c>
      <c r="EO40" s="62">
        <f ca="1">AVERAGE(OFFSET($EN$3,0,0,'Données projet'!$E$15+1,1))-AVERAGE(OFFSET($H$3,0,0,'Données projet'!$E$15+1,1))</f>
        <v>223.57443551076992</v>
      </c>
      <c r="EP40" s="62">
        <f t="shared" si="46"/>
        <v>382.12751862619427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23.168373271156952</v>
      </c>
      <c r="EW40" s="23">
        <f>EXP(-LN(2)/25)*EW39+(1-EXP(-LN(2)/25))/(LN(2)/25)*Calculateur!ER40*Calculateur!ET40*VLOOKUP('Données projet'!$B$15,Paramètres!$A$1:$I$89,3,0)*0.475*44/12</f>
        <v>11.431535752808063</v>
      </c>
      <c r="EX40" s="23">
        <f>EXP(-LN(2)/2)*EX39+(1-EXP(-LN(2)/2))/(LN(2)/2)*ER40*EU40*VLOOKUP('Données projet'!$B$15,Paramètres!$A$1:$I$89,3,0)*0.475*44/12</f>
        <v>0.89604549070419992</v>
      </c>
      <c r="EY40" s="24">
        <f t="shared" si="21"/>
        <v>35.495954514669208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1.925416666666667</v>
      </c>
      <c r="FE40" s="13">
        <f>IF('Données projet'!$A$218&gt;35,FE39+FD40-FM39,IF(A40&lt;'Données projet'!$A$218,$FB$205^A40,IF(A40='Données projet'!$A$218,'Données projet'!$B$218,FE39+FD40-FM39)))</f>
        <v>56.890416666666681</v>
      </c>
      <c r="FF40" s="18">
        <f>FE40*VLOOKUP('Données projet'!$B$16,Paramètres!$A$1:$I$89,3,0)*VLOOKUP('Données projet'!$B$16,Paramètres!$A$1:$I$89,5,0)</f>
        <v>65.537760000000006</v>
      </c>
      <c r="FG40" s="14">
        <f t="shared" si="47"/>
        <v>18.561113952495973</v>
      </c>
      <c r="FH40" s="22">
        <f t="shared" si="22"/>
        <v>146.47220546726382</v>
      </c>
      <c r="FI40" s="62">
        <f t="shared" si="23"/>
        <v>391.83155743793492</v>
      </c>
      <c r="FJ40" s="62">
        <f ca="1">AVERAGE(OFFSET($FI$3,0,0,'Données projet'!$E$16+1,1))-AVERAGE(OFFSET($H$3,0,0,'Données projet'!$E$16+1,1))</f>
        <v>283.95543623515323</v>
      </c>
      <c r="FK40" s="62">
        <f t="shared" si="48"/>
        <v>196.96883829830929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14.692250000000001</v>
      </c>
      <c r="FZ40" s="13">
        <f>IF('Données projet'!$A$244&gt;35,FZ39+FY40-GH39,IF(A40&lt;'Données projet'!$A$244,$FW$205^A40,IF(A40='Données projet'!$A$244,'Données projet'!$B$244,FZ39+FY40-GH39)))</f>
        <v>287.07474999999999</v>
      </c>
      <c r="GA40" s="18">
        <f>FZ40*VLOOKUP('Données projet'!$B$17,Paramètres!$A$1:$I$89,3,0)*VLOOKUP('Données projet'!$B$17,Paramètres!$A$1:$I$89,5,0)</f>
        <v>171.67070050000001</v>
      </c>
      <c r="GB40" s="14">
        <f t="shared" si="49"/>
        <v>43.463991678837367</v>
      </c>
      <c r="GC40" s="22">
        <f t="shared" si="25"/>
        <v>374.69292221147504</v>
      </c>
      <c r="GD40" s="62">
        <f t="shared" si="26"/>
        <v>620.05227418214611</v>
      </c>
      <c r="GE40" s="62">
        <f ca="1">AVERAGE(OFFSET($GD$3,0,0,'Données projet'!$E$17+1,1))-AVERAGE(OFFSET($H$3,0,0,'Données projet'!$E$17+1,1))</f>
        <v>223.57443551076992</v>
      </c>
      <c r="GF40" s="62">
        <f t="shared" si="50"/>
        <v>382.12751862619427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23.168373271156952</v>
      </c>
      <c r="GM40" s="23">
        <f>EXP(-LN(2)/25)*GM39+(1-EXP(-LN(2)/25))/(LN(2)/25)*Calculateur!GH40*Calculateur!GJ40*VLOOKUP('Données projet'!$B$17,Paramètres!$A$1:$I$89,3,0)*0.475*44/12</f>
        <v>11.431535752808063</v>
      </c>
      <c r="GN40" s="23">
        <f>EXP(-LN(2)/2)*GN39+(1-EXP(-LN(2)/2))/(LN(2)/2)*GH40*GK40*VLOOKUP('Données projet'!$B$17,Paramètres!$A$1:$I$89,3,0)*0.475*44/12</f>
        <v>0.89604549070419992</v>
      </c>
      <c r="GO40" s="23">
        <f t="shared" si="27"/>
        <v>35.495954514669208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3.9335387924944567</v>
      </c>
      <c r="GU40" s="13">
        <f>IF('Données projet'!$A$270&gt;35,GU39+GT40-HC39,IF(A40&lt;'Données projet'!$A$270,$GR$205^A40,IF(A40='Données projet'!$A$270,'Données projet'!$B$270,GU39+GT40-HC39)))</f>
        <v>108.11765079448178</v>
      </c>
      <c r="GV40" s="18">
        <f>GU40*VLOOKUP('Données projet'!$B$18,Paramètres!$A$1:$I$89,3,0)*VLOOKUP('Données projet'!$B$18,Paramètres!$A$1:$I$89,5,0)</f>
        <v>118.0644746675741</v>
      </c>
      <c r="GW40" s="14">
        <f t="shared" si="51"/>
        <v>31.223143459436546</v>
      </c>
      <c r="GX40" s="22">
        <f t="shared" si="28"/>
        <v>260.00926823787694</v>
      </c>
      <c r="GY40" s="62">
        <f t="shared" si="29"/>
        <v>505.36862020854801</v>
      </c>
      <c r="GZ40" s="62">
        <f ca="1">AVERAGE(OFFSET($GY$3,0,0,'Données projet'!$E$18+1,1))-AVERAGE(OFFSET($H$3,0,0,'Données projet'!$E$18+1,1))</f>
        <v>754.33260592777049</v>
      </c>
      <c r="HA40" s="62">
        <f t="shared" si="52"/>
        <v>250.97643915279005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9">
        <f t="shared" si="1"/>
        <v>183.33333333333334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549.11543057728045</v>
      </c>
      <c r="S41" s="62">
        <f ca="1">AVERAGE(OFFSET($R$3,0,0,'Données projet'!$E$9+1,1))-AVERAGE(OFFSET($H$3,0,0,'Données projet'!$E$9+1,1))</f>
        <v>550.39292625253665</v>
      </c>
      <c r="T41" s="62">
        <f t="shared" si="34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152.60000000000005</v>
      </c>
      <c r="AJ41" s="14">
        <f>AI41*VLOOKUP('Données projet'!$B$10,Paramètres!$A$1:$I$89,3,0)*VLOOKUP('Données projet'!$B$10,Paramètres!$A$1:$I$89,5,0)</f>
        <v>154.73640000000006</v>
      </c>
      <c r="AK41" s="14">
        <f t="shared" si="35"/>
        <v>39.652994320183701</v>
      </c>
      <c r="AL41" s="22">
        <f t="shared" si="4"/>
        <v>338.56152844098671</v>
      </c>
      <c r="AM41" s="62">
        <f t="shared" si="5"/>
        <v>584.7531217345454</v>
      </c>
      <c r="AN41" s="62">
        <f ca="1">AVERAGE(OFFSET($AM$3,0,0,'Données projet'!$E$10+1,1))-AVERAGE(OFFSET($H$3,0,0,'Données projet'!$E$10+1,1))</f>
        <v>606.55142836375308</v>
      </c>
      <c r="AO41" s="62">
        <f t="shared" si="36"/>
        <v>325.72635759450861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7.8205128205128176</v>
      </c>
      <c r="BD41" s="13">
        <f>IF('Données projet'!$A$88&gt;35,BD40+BC41-BL40,IF(A41&lt;'Données projet'!$A$88,$BA$205^A41,IF(A41='Données projet'!$A$88,'Données projet'!$B$88,BD40+BC41-BL40)))</f>
        <v>178.58974358974362</v>
      </c>
      <c r="BE41" s="14">
        <f>BD41*VLOOKUP('Données projet'!$B$11,Paramètres!$A$1:$I$89,3,0)*VLOOKUP('Données projet'!$B$11,Paramètres!$A$1:$I$89,5,0)</f>
        <v>186.66200000000006</v>
      </c>
      <c r="BF41" s="14">
        <f t="shared" si="37"/>
        <v>46.801208889389358</v>
      </c>
      <c r="BG41" s="22">
        <f t="shared" si="7"/>
        <v>406.61508881568653</v>
      </c>
      <c r="BH41" s="62">
        <f t="shared" si="8"/>
        <v>652.80668210924523</v>
      </c>
      <c r="BI41" s="62">
        <f ca="1">AVERAGE(OFFSET($BH$3,0,0,'Données projet'!$E$11+1,1))-AVERAGE(OFFSET($H$3,0,0,'Données projet'!$E$11+1,1))</f>
        <v>635.13577238794812</v>
      </c>
      <c r="BJ41" s="62">
        <f t="shared" si="38"/>
        <v>374.35810525172019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36.6</v>
      </c>
      <c r="BY41" s="13">
        <f>IF('Données projet'!$A$114&gt;35,BY40+BX41-CG40,IF(A41&lt;'Données projet'!$A$114,$BV$205^A41,IF(A41='Données projet'!$A$114,'Données projet'!$B$114,BY40+BX41-CG40)))</f>
        <v>642.8000000000003</v>
      </c>
      <c r="BZ41" s="14">
        <f>BY41*VLOOKUP('Données projet'!$B$12,Paramètres!$A$1:$I$89,3,0)*VLOOKUP('Données projet'!$B$12,Paramètres!$A$1:$I$89,5,0)</f>
        <v>284.11760000000015</v>
      </c>
      <c r="CA41" s="14">
        <f t="shared" si="39"/>
        <v>67.836435420042093</v>
      </c>
      <c r="CB41" s="22">
        <f t="shared" si="10"/>
        <v>612.98661168990691</v>
      </c>
      <c r="CC41" s="62">
        <f t="shared" si="11"/>
        <v>859.17820498346566</v>
      </c>
      <c r="CD41" s="62">
        <f ca="1">AVERAGE(OFFSET($CC$3,0,0,'Données projet'!$E$12+1,1))-AVERAGE(OFFSET($H$3,0,0,'Données projet'!$E$12+1,1))</f>
        <v>580.02817743695846</v>
      </c>
      <c r="CE41" s="62">
        <f t="shared" si="40"/>
        <v>551.23515633208865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11.443589743589742</v>
      </c>
      <c r="CT41" s="13">
        <f>IF('Données projet'!$A$140&gt;35,CT40+CS41-DB40,IF(A41&lt;'Données projet'!$A$140,$CQ$205^A41,IF(A41='Données projet'!$A$140,'Données projet'!$B$140,CT40+CS41-DB40)))</f>
        <v>238.80256410256408</v>
      </c>
      <c r="CU41" s="18">
        <f>CT41*VLOOKUP('Données projet'!$B$13,Paramètres!$A$1:$I$89,3,0)*VLOOKUP('Données projet'!$B$13,Paramètres!$A$1:$I$89,5,0)</f>
        <v>111.75959999999998</v>
      </c>
      <c r="CV41" s="14">
        <f t="shared" si="41"/>
        <v>29.745176370290782</v>
      </c>
      <c r="CW41" s="22">
        <f t="shared" si="13"/>
        <v>246.45415217825635</v>
      </c>
      <c r="CX41" s="62">
        <f t="shared" si="14"/>
        <v>492.64574547181508</v>
      </c>
      <c r="CY41" s="62">
        <f ca="1">AVERAGE(OFFSET($CX$3,0,0,'Données projet'!$E$13+1,1))-AVERAGE(OFFSET($H$3,0,0,'Données projet'!$E$13+1,1))</f>
        <v>321.05795935196863</v>
      </c>
      <c r="CZ41" s="62">
        <f t="shared" si="42"/>
        <v>209.59551322748908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IF('Données projet'!$A$166&gt;35,DO40+DN41-DW40,IF(A41&lt;'Données projet'!$A$166,$DL$205^A41,IF(A41='Données projet'!$A$166,'Données projet'!$B$166,DO40+DN41-DW40)))</f>
        <v>152.60000000000005</v>
      </c>
      <c r="DP41" s="18">
        <f>DO41*VLOOKUP('Données projet'!$B$14,Paramètres!$A$1:$I$89,3,0)*VLOOKUP('Données projet'!$B$14,Paramètres!$A$1:$I$89,5,0)</f>
        <v>164.25864000000004</v>
      </c>
      <c r="DQ41" s="14">
        <f t="shared" si="43"/>
        <v>41.80159011374478</v>
      </c>
      <c r="DR41" s="22">
        <f t="shared" si="16"/>
        <v>358.88823411477216</v>
      </c>
      <c r="DS41" s="62">
        <f t="shared" si="17"/>
        <v>605.07982740833086</v>
      </c>
      <c r="DT41" s="62">
        <f ca="1">AVERAGE(OFFSET($DS$3,0,0,'Données projet'!$E$14+1,1))-AVERAGE(OFFSET($H$3,0,0,'Données projet'!$E$14+1,1))</f>
        <v>638.58602907610805</v>
      </c>
      <c r="DU41" s="62">
        <f t="shared" si="44"/>
        <v>341.9250949809848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>
        <f>VLOOKUP(A41,'Données projet'!$A$191:$I$211,2,0)</f>
        <v>301.767</v>
      </c>
      <c r="EH41" s="13">
        <f>VLOOKUP(A41,'Données projet'!$A$191:$I$211,9,0)</f>
        <v>14.692250000000001</v>
      </c>
      <c r="EI41" s="13">
        <f t="array" ref="EI41">INDEX(EH:EH,MIN(IF(ISNUMBER(EH41:EH237),ROW(EH41:EH237),"")))</f>
        <v>14.692250000000001</v>
      </c>
      <c r="EJ41" s="13">
        <f>IF('Données projet'!$A$192&gt;35,EJ40+EI41-ER40,IF(A41&lt;'Données projet'!$A$192,$EG$205^A41,IF(A41='Données projet'!$A$192,'Données projet'!$B$192,EJ40+EI41-ER40)))</f>
        <v>301.767</v>
      </c>
      <c r="EK41" s="18">
        <f>EJ41*VLOOKUP('Données projet'!$B$15,Paramètres!$A$1:$I$89,3,0)*VLOOKUP('Données projet'!$B$15,Paramètres!$A$1:$I$89,5,0)</f>
        <v>180.45666600000004</v>
      </c>
      <c r="EL41" s="14">
        <f t="shared" si="45"/>
        <v>45.423770950387805</v>
      </c>
      <c r="EM41" s="22">
        <f t="shared" si="19"/>
        <v>393.40842768859216</v>
      </c>
      <c r="EN41" s="62">
        <f t="shared" si="20"/>
        <v>639.60002098215091</v>
      </c>
      <c r="EO41" s="62">
        <f ca="1">AVERAGE(OFFSET($EN$3,0,0,'Données projet'!$E$15+1,1))-AVERAGE(OFFSET($H$3,0,0,'Données projet'!$E$15+1,1))</f>
        <v>223.57443551076992</v>
      </c>
      <c r="EP41" s="62">
        <f t="shared" si="46"/>
        <v>382.12751862619427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22.714055602621908</v>
      </c>
      <c r="EW41" s="23">
        <f>EXP(-LN(2)/25)*EW40+(1-EXP(-LN(2)/25))/(LN(2)/25)*Calculateur!ER41*Calculateur!ET41*VLOOKUP('Données projet'!$B$15,Paramètres!$A$1:$I$89,3,0)*0.475*44/12</f>
        <v>11.118939806489189</v>
      </c>
      <c r="EX41" s="23">
        <f>EXP(-LN(2)/2)*EX40+(1-EXP(-LN(2)/2))/(LN(2)/2)*ER41*EU41*VLOOKUP('Données projet'!$B$15,Paramètres!$A$1:$I$89,3,0)*0.475*44/12</f>
        <v>0.63359984272856729</v>
      </c>
      <c r="EY41" s="24">
        <f t="shared" si="21"/>
        <v>34.466595251839664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1.925416666666667</v>
      </c>
      <c r="FE41" s="13">
        <f>IF('Données projet'!$A$218&gt;35,FE40+FD41-FM40,IF(A41&lt;'Données projet'!$A$218,$FB$205^A41,IF(A41='Données projet'!$A$218,'Données projet'!$B$218,FE40+FD41-FM40)))</f>
        <v>58.815833333333345</v>
      </c>
      <c r="FF41" s="18">
        <f>FE41*VLOOKUP('Données projet'!$B$16,Paramètres!$A$1:$I$89,3,0)*VLOOKUP('Données projet'!$B$16,Paramètres!$A$1:$I$89,5,0)</f>
        <v>67.755840000000006</v>
      </c>
      <c r="FG41" s="14">
        <f t="shared" si="47"/>
        <v>19.115101078108083</v>
      </c>
      <c r="FH41" s="22">
        <f t="shared" si="22"/>
        <v>151.3002223777049</v>
      </c>
      <c r="FI41" s="62">
        <f t="shared" si="23"/>
        <v>397.49181567126362</v>
      </c>
      <c r="FJ41" s="62">
        <f ca="1">AVERAGE(OFFSET($FI$3,0,0,'Données projet'!$E$16+1,1))-AVERAGE(OFFSET($H$3,0,0,'Données projet'!$E$16+1,1))</f>
        <v>283.95543623515323</v>
      </c>
      <c r="FK41" s="62">
        <f t="shared" si="48"/>
        <v>196.96883829830929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>
        <f>VLOOKUP(A41,'Données projet'!$A$243:$I$263,2,0)</f>
        <v>301.767</v>
      </c>
      <c r="FX41" s="13">
        <f>VLOOKUP(A41,'Données projet'!$A$243:$I$263,9,0)</f>
        <v>14.692250000000001</v>
      </c>
      <c r="FY41" s="13">
        <f t="array" ref="FY41">INDEX(FX:FX,MIN(IF(ISNUMBER(FX41:FX237),ROW(FX41:FX237),"")))</f>
        <v>14.692250000000001</v>
      </c>
      <c r="FZ41" s="13">
        <f>IF('Données projet'!$A$244&gt;35,FZ40+FY41-GH40,IF(A41&lt;'Données projet'!$A$244,$FW$205^A41,IF(A41='Données projet'!$A$244,'Données projet'!$B$244,FZ40+FY41-GH40)))</f>
        <v>301.767</v>
      </c>
      <c r="GA41" s="18">
        <f>FZ41*VLOOKUP('Données projet'!$B$17,Paramètres!$A$1:$I$89,3,0)*VLOOKUP('Données projet'!$B$17,Paramètres!$A$1:$I$89,5,0)</f>
        <v>180.45666600000004</v>
      </c>
      <c r="GB41" s="14">
        <f t="shared" si="49"/>
        <v>45.423770950387805</v>
      </c>
      <c r="GC41" s="22">
        <f t="shared" si="25"/>
        <v>393.40842768859216</v>
      </c>
      <c r="GD41" s="62">
        <f t="shared" si="26"/>
        <v>639.60002098215091</v>
      </c>
      <c r="GE41" s="62">
        <f ca="1">AVERAGE(OFFSET($GD$3,0,0,'Données projet'!$E$17+1,1))-AVERAGE(OFFSET($H$3,0,0,'Données projet'!$E$17+1,1))</f>
        <v>223.57443551076992</v>
      </c>
      <c r="GF41" s="62">
        <f t="shared" si="50"/>
        <v>382.12751862619427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22.714055602621908</v>
      </c>
      <c r="GM41" s="23">
        <f>EXP(-LN(2)/25)*GM40+(1-EXP(-LN(2)/25))/(LN(2)/25)*Calculateur!GH41*Calculateur!GJ41*VLOOKUP('Données projet'!$B$17,Paramètres!$A$1:$I$89,3,0)*0.475*44/12</f>
        <v>11.118939806489189</v>
      </c>
      <c r="GN41" s="23">
        <f>EXP(-LN(2)/2)*GN40+(1-EXP(-LN(2)/2))/(LN(2)/2)*GH41*GK41*VLOOKUP('Données projet'!$B$17,Paramètres!$A$1:$I$89,3,0)*0.475*44/12</f>
        <v>0.63359984272856729</v>
      </c>
      <c r="GO41" s="23">
        <f t="shared" si="27"/>
        <v>34.466595251839664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3.9335387924944567</v>
      </c>
      <c r="GU41" s="13">
        <f>IF('Données projet'!$A$270&gt;35,GU40+GT41-HC40,IF(A41&lt;'Données projet'!$A$270,$GR$205^A41,IF(A41='Données projet'!$A$270,'Données projet'!$B$270,GU40+GT41-HC40)))</f>
        <v>112.05118958697624</v>
      </c>
      <c r="GV41" s="18">
        <f>GU41*VLOOKUP('Données projet'!$B$18,Paramètres!$A$1:$I$89,3,0)*VLOOKUP('Données projet'!$B$18,Paramètres!$A$1:$I$89,5,0)</f>
        <v>122.35989902897805</v>
      </c>
      <c r="GW41" s="14">
        <f t="shared" si="51"/>
        <v>32.224781581919338</v>
      </c>
      <c r="GX41" s="22">
        <f t="shared" si="28"/>
        <v>269.23498539731287</v>
      </c>
      <c r="GY41" s="62">
        <f t="shared" si="29"/>
        <v>515.42657869087157</v>
      </c>
      <c r="GZ41" s="62">
        <f ca="1">AVERAGE(OFFSET($GY$3,0,0,'Données projet'!$E$18+1,1))-AVERAGE(OFFSET($H$3,0,0,'Données projet'!$E$18+1,1))</f>
        <v>754.33260592777049</v>
      </c>
      <c r="HA41" s="62">
        <f t="shared" si="52"/>
        <v>250.97643915279005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9">
        <f t="shared" si="1"/>
        <v>183.33333333333334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571.6158351683722</v>
      </c>
      <c r="S42" s="62">
        <f ca="1">AVERAGE(OFFSET($R$3,0,0,'Données projet'!$E$9+1,1))-AVERAGE(OFFSET($H$3,0,0,'Données projet'!$E$9+1,1))</f>
        <v>550.39292625253665</v>
      </c>
      <c r="T42" s="62">
        <f t="shared" si="34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163.80000000000004</v>
      </c>
      <c r="AJ42" s="14">
        <f>AI42*VLOOKUP('Données projet'!$B$10,Paramètres!$A$1:$I$89,3,0)*VLOOKUP('Données projet'!$B$10,Paramètres!$A$1:$I$89,5,0)</f>
        <v>166.09320000000005</v>
      </c>
      <c r="AK42" s="14">
        <f t="shared" si="35"/>
        <v>42.213849908165905</v>
      </c>
      <c r="AL42" s="22">
        <f t="shared" si="4"/>
        <v>362.80144525672239</v>
      </c>
      <c r="AM42" s="62">
        <f t="shared" si="5"/>
        <v>609.81084234682953</v>
      </c>
      <c r="AN42" s="62">
        <f ca="1">AVERAGE(OFFSET($AM$3,0,0,'Données projet'!$E$10+1,1))-AVERAGE(OFFSET($H$3,0,0,'Données projet'!$E$10+1,1))</f>
        <v>606.55142836375308</v>
      </c>
      <c r="AO42" s="62">
        <f t="shared" si="36"/>
        <v>325.72635759450861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7.8205128205128176</v>
      </c>
      <c r="BD42" s="13">
        <f>IF('Données projet'!$A$88&gt;35,BD41+BC42-BL41,IF(A42&lt;'Données projet'!$A$88,$BA$205^A42,IF(A42='Données projet'!$A$88,'Données projet'!$B$88,BD41+BC42-BL41)))</f>
        <v>186.41025641025644</v>
      </c>
      <c r="BE42" s="14">
        <f>BD42*VLOOKUP('Données projet'!$B$11,Paramètres!$A$1:$I$89,3,0)*VLOOKUP('Données projet'!$B$11,Paramètres!$A$1:$I$89,5,0)</f>
        <v>194.83600000000004</v>
      </c>
      <c r="BF42" s="14">
        <f t="shared" si="37"/>
        <v>48.607554782216987</v>
      </c>
      <c r="BG42" s="22">
        <f t="shared" si="7"/>
        <v>423.99752457902804</v>
      </c>
      <c r="BH42" s="62">
        <f t="shared" si="8"/>
        <v>671.00692166913518</v>
      </c>
      <c r="BI42" s="62">
        <f ca="1">AVERAGE(OFFSET($BH$3,0,0,'Données projet'!$E$11+1,1))-AVERAGE(OFFSET($H$3,0,0,'Données projet'!$E$11+1,1))</f>
        <v>635.13577238794812</v>
      </c>
      <c r="BJ42" s="62">
        <f t="shared" si="38"/>
        <v>374.35810525172019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36.6</v>
      </c>
      <c r="BY42" s="13">
        <f>IF('Données projet'!$A$114&gt;35,BY41+BX42-CG41,IF(A42&lt;'Données projet'!$A$114,$BV$205^A42,IF(A42='Données projet'!$A$114,'Données projet'!$B$114,BY41+BX42-CG41)))</f>
        <v>679.40000000000032</v>
      </c>
      <c r="BZ42" s="14">
        <f>BY42*VLOOKUP('Données projet'!$B$12,Paramètres!$A$1:$I$89,3,0)*VLOOKUP('Données projet'!$B$12,Paramètres!$A$1:$I$89,5,0)</f>
        <v>300.29480000000018</v>
      </c>
      <c r="CA42" s="14">
        <f t="shared" si="39"/>
        <v>71.238261345876637</v>
      </c>
      <c r="CB42" s="22">
        <f t="shared" si="10"/>
        <v>647.08674851073545</v>
      </c>
      <c r="CC42" s="62">
        <f t="shared" si="11"/>
        <v>894.09614560084253</v>
      </c>
      <c r="CD42" s="62">
        <f ca="1">AVERAGE(OFFSET($CC$3,0,0,'Données projet'!$E$12+1,1))-AVERAGE(OFFSET($H$3,0,0,'Données projet'!$E$12+1,1))</f>
        <v>580.02817743695846</v>
      </c>
      <c r="CE42" s="62">
        <f t="shared" si="40"/>
        <v>551.23515633208865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11.443589743589742</v>
      </c>
      <c r="CT42" s="13">
        <f>IF('Données projet'!$A$140&gt;35,CT41+CS42-DB41,IF(A42&lt;'Données projet'!$A$140,$CQ$205^A42,IF(A42='Données projet'!$A$140,'Données projet'!$B$140,CT41+CS42-DB41)))</f>
        <v>250.24615384615382</v>
      </c>
      <c r="CU42" s="18">
        <f>CT42*VLOOKUP('Données projet'!$B$13,Paramètres!$A$1:$I$89,3,0)*VLOOKUP('Données projet'!$B$13,Paramètres!$A$1:$I$89,5,0)</f>
        <v>117.11519999999997</v>
      </c>
      <c r="CV42" s="14">
        <f t="shared" si="41"/>
        <v>31.001217159106822</v>
      </c>
      <c r="CW42" s="22">
        <f t="shared" si="13"/>
        <v>257.96942655211097</v>
      </c>
      <c r="CX42" s="62">
        <f t="shared" si="14"/>
        <v>504.97882364221812</v>
      </c>
      <c r="CY42" s="62">
        <f ca="1">AVERAGE(OFFSET($CX$3,0,0,'Données projet'!$E$13+1,1))-AVERAGE(OFFSET($H$3,0,0,'Données projet'!$E$13+1,1))</f>
        <v>321.05795935196863</v>
      </c>
      <c r="CZ42" s="62">
        <f t="shared" si="42"/>
        <v>209.59551322748908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IF('Données projet'!$A$166&gt;35,DO41+DN42-DW41,IF(A42&lt;'Données projet'!$A$166,$DL$205^A42,IF(A42='Données projet'!$A$166,'Données projet'!$B$166,DO41+DN42-DW41)))</f>
        <v>163.80000000000004</v>
      </c>
      <c r="DP42" s="18">
        <f>DO42*VLOOKUP('Données projet'!$B$14,Paramètres!$A$1:$I$89,3,0)*VLOOKUP('Données projet'!$B$14,Paramètres!$A$1:$I$89,5,0)</f>
        <v>176.31432000000004</v>
      </c>
      <c r="DQ42" s="14">
        <f t="shared" si="43"/>
        <v>44.501205551735552</v>
      </c>
      <c r="DR42" s="22">
        <f t="shared" si="16"/>
        <v>384.58704033593949</v>
      </c>
      <c r="DS42" s="62">
        <f t="shared" si="17"/>
        <v>631.59643742604658</v>
      </c>
      <c r="DT42" s="62">
        <f ca="1">AVERAGE(OFFSET($DS$3,0,0,'Données projet'!$E$14+1,1))-AVERAGE(OFFSET($H$3,0,0,'Données projet'!$E$14+1,1))</f>
        <v>638.58602907610805</v>
      </c>
      <c r="DU42" s="62">
        <f t="shared" si="44"/>
        <v>341.9250949809848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14.779375000000002</v>
      </c>
      <c r="EJ42" s="13">
        <f>IF('Données projet'!$A$192&gt;35,EJ41+EI42-ER41,IF(A42&lt;'Données projet'!$A$192,$EG$205^A42,IF(A42='Données projet'!$A$192,'Données projet'!$B$192,EJ41+EI42-ER41)))</f>
        <v>316.54637500000001</v>
      </c>
      <c r="EK42" s="18">
        <f>EJ42*VLOOKUP('Données projet'!$B$15,Paramètres!$A$1:$I$89,3,0)*VLOOKUP('Données projet'!$B$15,Paramètres!$A$1:$I$89,5,0)</f>
        <v>189.29473225000001</v>
      </c>
      <c r="EL42" s="14">
        <f t="shared" si="45"/>
        <v>47.383994433488809</v>
      </c>
      <c r="EM42" s="22">
        <f t="shared" si="19"/>
        <v>412.21544897374309</v>
      </c>
      <c r="EN42" s="62">
        <f t="shared" si="20"/>
        <v>659.22484606385024</v>
      </c>
      <c r="EO42" s="62">
        <f ca="1">AVERAGE(OFFSET($EN$3,0,0,'Données projet'!$E$15+1,1))-AVERAGE(OFFSET($H$3,0,0,'Données projet'!$E$15+1,1))</f>
        <v>223.57443551076992</v>
      </c>
      <c r="EP42" s="62">
        <f t="shared" si="46"/>
        <v>382.12751862619427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22.268646826460422</v>
      </c>
      <c r="EW42" s="23">
        <f>EXP(-LN(2)/25)*EW41+(1-EXP(-LN(2)/25))/(LN(2)/25)*Calculateur!ER42*Calculateur!ET42*VLOOKUP('Données projet'!$B$15,Paramètres!$A$1:$I$89,3,0)*0.475*44/12</f>
        <v>10.814891812761111</v>
      </c>
      <c r="EX42" s="23">
        <f>EXP(-LN(2)/2)*EX41+(1-EXP(-LN(2)/2))/(LN(2)/2)*ER42*EU42*VLOOKUP('Données projet'!$B$15,Paramètres!$A$1:$I$89,3,0)*0.475*44/12</f>
        <v>0.44802274535209996</v>
      </c>
      <c r="EY42" s="24">
        <f t="shared" si="21"/>
        <v>33.531561384573628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1.925416666666667</v>
      </c>
      <c r="FE42" s="13">
        <f>IF('Données projet'!$A$218&gt;35,FE41+FD42-FM41,IF(A42&lt;'Données projet'!$A$218,$FB$205^A42,IF(A42='Données projet'!$A$218,'Données projet'!$B$218,FE41+FD42-FM41)))</f>
        <v>60.741250000000008</v>
      </c>
      <c r="FF42" s="18">
        <f>FE42*VLOOKUP('Données projet'!$B$16,Paramètres!$A$1:$I$89,3,0)*VLOOKUP('Données projet'!$B$16,Paramètres!$A$1:$I$89,5,0)</f>
        <v>69.973920000000007</v>
      </c>
      <c r="FG42" s="14">
        <f t="shared" si="47"/>
        <v>19.666980847748825</v>
      </c>
      <c r="FH42" s="22">
        <f t="shared" si="22"/>
        <v>156.12456897649591</v>
      </c>
      <c r="FI42" s="62">
        <f t="shared" si="23"/>
        <v>403.13396606660302</v>
      </c>
      <c r="FJ42" s="62">
        <f ca="1">AVERAGE(OFFSET($FI$3,0,0,'Données projet'!$E$16+1,1))-AVERAGE(OFFSET($H$3,0,0,'Données projet'!$E$16+1,1))</f>
        <v>283.95543623515323</v>
      </c>
      <c r="FK42" s="62">
        <f t="shared" si="48"/>
        <v>196.96883829830929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14.779375000000002</v>
      </c>
      <c r="FZ42" s="13">
        <f>IF('Données projet'!$A$244&gt;35,FZ41+FY42-GH41,IF(A42&lt;'Données projet'!$A$244,$FW$205^A42,IF(A42='Données projet'!$A$244,'Données projet'!$B$244,FZ41+FY42-GH41)))</f>
        <v>316.54637500000001</v>
      </c>
      <c r="GA42" s="18">
        <f>FZ42*VLOOKUP('Données projet'!$B$17,Paramètres!$A$1:$I$89,3,0)*VLOOKUP('Données projet'!$B$17,Paramètres!$A$1:$I$89,5,0)</f>
        <v>189.29473225000001</v>
      </c>
      <c r="GB42" s="14">
        <f t="shared" si="49"/>
        <v>47.383994433488809</v>
      </c>
      <c r="GC42" s="22">
        <f t="shared" si="25"/>
        <v>412.21544897374309</v>
      </c>
      <c r="GD42" s="62">
        <f t="shared" si="26"/>
        <v>659.22484606385024</v>
      </c>
      <c r="GE42" s="62">
        <f ca="1">AVERAGE(OFFSET($GD$3,0,0,'Données projet'!$E$17+1,1))-AVERAGE(OFFSET($H$3,0,0,'Données projet'!$E$17+1,1))</f>
        <v>223.57443551076992</v>
      </c>
      <c r="GF42" s="62">
        <f t="shared" si="50"/>
        <v>382.12751862619427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22.268646826460422</v>
      </c>
      <c r="GM42" s="23">
        <f>EXP(-LN(2)/25)*GM41+(1-EXP(-LN(2)/25))/(LN(2)/25)*Calculateur!GH42*Calculateur!GJ42*VLOOKUP('Données projet'!$B$17,Paramètres!$A$1:$I$89,3,0)*0.475*44/12</f>
        <v>10.814891812761111</v>
      </c>
      <c r="GN42" s="23">
        <f>EXP(-LN(2)/2)*GN41+(1-EXP(-LN(2)/2))/(LN(2)/2)*GH42*GK42*VLOOKUP('Données projet'!$B$17,Paramètres!$A$1:$I$89,3,0)*0.475*44/12</f>
        <v>0.44802274535209996</v>
      </c>
      <c r="GO42" s="23">
        <f t="shared" si="27"/>
        <v>33.531561384573628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3.9335387924944567</v>
      </c>
      <c r="GU42" s="13">
        <f>IF('Données projet'!$A$270&gt;35,GU41+GT42-HC41,IF(A42&lt;'Données projet'!$A$270,$GR$205^A42,IF(A42='Données projet'!$A$270,'Données projet'!$B$270,GU41+GT42-HC41)))</f>
        <v>115.9847283794707</v>
      </c>
      <c r="GV42" s="18">
        <f>GU42*VLOOKUP('Données projet'!$B$18,Paramètres!$A$1:$I$89,3,0)*VLOOKUP('Données projet'!$B$18,Paramètres!$A$1:$I$89,5,0)</f>
        <v>126.65532339038199</v>
      </c>
      <c r="GW42" s="14">
        <f t="shared" si="51"/>
        <v>33.222334272049643</v>
      </c>
      <c r="GX42" s="22">
        <f t="shared" si="28"/>
        <v>278.45358709540176</v>
      </c>
      <c r="GY42" s="62">
        <f t="shared" si="29"/>
        <v>525.46298418550884</v>
      </c>
      <c r="GZ42" s="62">
        <f ca="1">AVERAGE(OFFSET($GY$3,0,0,'Données projet'!$E$18+1,1))-AVERAGE(OFFSET($H$3,0,0,'Données projet'!$E$18+1,1))</f>
        <v>754.33260592777049</v>
      </c>
      <c r="HA42" s="62">
        <f t="shared" si="52"/>
        <v>250.97643915279005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9">
        <f t="shared" si="1"/>
        <v>183.33333333333334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594.07005548449126</v>
      </c>
      <c r="S43" s="62">
        <f ca="1">AVERAGE(OFFSET($R$3,0,0,'Données projet'!$E$9+1,1))-AVERAGE(OFFSET($H$3,0,0,'Données projet'!$E$9+1,1))</f>
        <v>550.39292625253665</v>
      </c>
      <c r="T43" s="62">
        <f t="shared" si="34"/>
        <v>297.32483725004136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175.00000000000003</v>
      </c>
      <c r="AJ43" s="14">
        <f>AI43*VLOOKUP('Données projet'!$B$10,Paramètres!$A$1:$I$89,3,0)*VLOOKUP('Données projet'!$B$10,Paramètres!$A$1:$I$89,5,0)</f>
        <v>177.45000000000005</v>
      </c>
      <c r="AK43" s="14">
        <f t="shared" si="35"/>
        <v>44.754387900936791</v>
      </c>
      <c r="AL43" s="22">
        <f t="shared" si="4"/>
        <v>387.00597559413171</v>
      </c>
      <c r="AM43" s="62">
        <f t="shared" si="5"/>
        <v>634.81898941325255</v>
      </c>
      <c r="AN43" s="62">
        <f ca="1">AVERAGE(OFFSET($AM$3,0,0,'Données projet'!$E$10+1,1))-AVERAGE(OFFSET($H$3,0,0,'Données projet'!$E$10+1,1))</f>
        <v>606.55142836375308</v>
      </c>
      <c r="AO43" s="62">
        <f t="shared" si="36"/>
        <v>325.72635759450861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194.23076923076923</v>
      </c>
      <c r="BB43" s="13">
        <f>VLOOKUP(A43,'Données projet'!$A$87:$I$107,9,0)</f>
        <v>7.8205128205128176</v>
      </c>
      <c r="BC43" s="13">
        <f t="array" ref="BC43">INDEX(BB:BB,MIN(IF(ISNUMBER(BB43:BB239),ROW(BB43:BB239),"")))</f>
        <v>7.8205128205128176</v>
      </c>
      <c r="BD43" s="13">
        <f>IF('Données projet'!$A$88&gt;35,BD42+BC43-BL42,IF(A43&lt;'Données projet'!$A$88,$BA$205^A43,IF(A43='Données projet'!$A$88,'Données projet'!$B$88,BD42+BC43-BL42)))</f>
        <v>194.23076923076925</v>
      </c>
      <c r="BE43" s="14">
        <f>BD43*VLOOKUP('Données projet'!$B$11,Paramètres!$A$1:$I$89,3,0)*VLOOKUP('Données projet'!$B$11,Paramètres!$A$1:$I$89,5,0)</f>
        <v>203.01000000000005</v>
      </c>
      <c r="BF43" s="14">
        <f t="shared" si="37"/>
        <v>50.405098420745567</v>
      </c>
      <c r="BG43" s="22">
        <f t="shared" si="7"/>
        <v>441.36462974946522</v>
      </c>
      <c r="BH43" s="62">
        <f t="shared" si="8"/>
        <v>689.17764356858606</v>
      </c>
      <c r="BI43" s="62">
        <f ca="1">AVERAGE(OFFSET($BH$3,0,0,'Données projet'!$E$11+1,1))-AVERAGE(OFFSET($H$3,0,0,'Données projet'!$E$11+1,1))</f>
        <v>635.13577238794812</v>
      </c>
      <c r="BJ43" s="62">
        <f t="shared" si="38"/>
        <v>374.35810525172019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716</v>
      </c>
      <c r="BW43" s="13">
        <f>VLOOKUP(A43,'Données projet'!$A$113:$I$133,9,0)</f>
        <v>36.6</v>
      </c>
      <c r="BX43" s="13">
        <f t="array" ref="BX43">INDEX(BW:BW,MIN(IF(ISNUMBER(BW43:BW239),ROW(BW43:BW239),"")))</f>
        <v>36.6</v>
      </c>
      <c r="BY43" s="13">
        <f>IF('Données projet'!$A$114&gt;35,BY42+BX43-CG42,IF(A43&lt;'Données projet'!$A$114,$BV$205^A43,IF(A43='Données projet'!$A$114,'Données projet'!$B$114,BY42+BX43-CG42)))</f>
        <v>716.00000000000034</v>
      </c>
      <c r="BZ43" s="14">
        <f>BY43*VLOOKUP('Données projet'!$B$12,Paramètres!$A$1:$I$89,3,0)*VLOOKUP('Données projet'!$B$12,Paramètres!$A$1:$I$89,5,0)</f>
        <v>316.47200000000021</v>
      </c>
      <c r="CA43" s="14">
        <f t="shared" si="39"/>
        <v>74.618811688100067</v>
      </c>
      <c r="CB43" s="22">
        <f t="shared" si="10"/>
        <v>681.1498303567746</v>
      </c>
      <c r="CC43" s="62">
        <f t="shared" si="11"/>
        <v>928.96284417589538</v>
      </c>
      <c r="CD43" s="62">
        <f ca="1">AVERAGE(OFFSET($CC$3,0,0,'Données projet'!$E$12+1,1))-AVERAGE(OFFSET($H$3,0,0,'Données projet'!$E$12+1,1))</f>
        <v>580.02817743695846</v>
      </c>
      <c r="CE43" s="62">
        <f t="shared" si="40"/>
        <v>551.23515633208865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182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11.443589743589742</v>
      </c>
      <c r="CT43" s="13">
        <f>IF('Données projet'!$A$140&gt;35,CT42+CS43-DB42,IF(A43&lt;'Données projet'!$A$140,$CQ$205^A43,IF(A43='Données projet'!$A$140,'Données projet'!$B$140,CT42+CS43-DB42)))</f>
        <v>261.68974358974356</v>
      </c>
      <c r="CU43" s="18">
        <f>CT43*VLOOKUP('Données projet'!$B$13,Paramètres!$A$1:$I$89,3,0)*VLOOKUP('Données projet'!$B$13,Paramètres!$A$1:$I$89,5,0)</f>
        <v>122.47079999999997</v>
      </c>
      <c r="CV43" s="14">
        <f t="shared" si="41"/>
        <v>32.25058748290914</v>
      </c>
      <c r="CW43" s="22">
        <f t="shared" si="13"/>
        <v>269.47308319939998</v>
      </c>
      <c r="CX43" s="62">
        <f t="shared" si="14"/>
        <v>517.28609701852076</v>
      </c>
      <c r="CY43" s="62">
        <f ca="1">AVERAGE(OFFSET($CX$3,0,0,'Données projet'!$E$13+1,1))-AVERAGE(OFFSET($H$3,0,0,'Données projet'!$E$13+1,1))</f>
        <v>321.05795935196863</v>
      </c>
      <c r="CZ43" s="62">
        <f t="shared" si="42"/>
        <v>209.59551322748908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IF('Données projet'!$A$166&gt;35,DO42+DN43-DW42,IF(A43&lt;'Données projet'!$A$166,$DL$205^A43,IF(A43='Données projet'!$A$166,'Données projet'!$B$166,DO42+DN43-DW42)))</f>
        <v>175.00000000000003</v>
      </c>
      <c r="DP43" s="18">
        <f>DO43*VLOOKUP('Données projet'!$B$14,Paramètres!$A$1:$I$89,3,0)*VLOOKUP('Données projet'!$B$14,Paramètres!$A$1:$I$89,5,0)</f>
        <v>188.37000000000003</v>
      </c>
      <c r="DQ43" s="14">
        <f t="shared" si="43"/>
        <v>47.179402486491298</v>
      </c>
      <c r="DR43" s="22">
        <f t="shared" si="16"/>
        <v>410.24854266397239</v>
      </c>
      <c r="DS43" s="62">
        <f t="shared" si="17"/>
        <v>658.06155648309323</v>
      </c>
      <c r="DT43" s="62">
        <f ca="1">AVERAGE(OFFSET($DS$3,0,0,'Données projet'!$E$14+1,1))-AVERAGE(OFFSET($H$3,0,0,'Données projet'!$E$14+1,1))</f>
        <v>638.58602907610805</v>
      </c>
      <c r="DU43" s="62">
        <f t="shared" si="44"/>
        <v>341.9250949809848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14.779375000000002</v>
      </c>
      <c r="EJ43" s="13">
        <f>IF('Données projet'!$A$192&gt;35,EJ42+EI43-ER42,IF(A43&lt;'Données projet'!$A$192,$EG$205^A43,IF(A43='Données projet'!$A$192,'Données projet'!$B$192,EJ42+EI43-ER42)))</f>
        <v>331.32575000000003</v>
      </c>
      <c r="EK43" s="18">
        <f>EJ43*VLOOKUP('Données projet'!$B$15,Paramètres!$A$1:$I$89,3,0)*VLOOKUP('Données projet'!$B$15,Paramètres!$A$1:$I$89,5,0)</f>
        <v>198.13279850000004</v>
      </c>
      <c r="EL43" s="14">
        <f t="shared" si="45"/>
        <v>49.333589603393833</v>
      </c>
      <c r="EM43" s="22">
        <f t="shared" si="19"/>
        <v>431.00395928007765</v>
      </c>
      <c r="EN43" s="62">
        <f t="shared" si="20"/>
        <v>678.81697309919844</v>
      </c>
      <c r="EO43" s="62">
        <f ca="1">AVERAGE(OFFSET($EN$3,0,0,'Données projet'!$E$15+1,1))-AVERAGE(OFFSET($H$3,0,0,'Données projet'!$E$15+1,1))</f>
        <v>223.57443551076992</v>
      </c>
      <c r="EP43" s="62">
        <f t="shared" si="46"/>
        <v>382.12751862619427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21.831972244726934</v>
      </c>
      <c r="EW43" s="23">
        <f>EXP(-LN(2)/25)*EW42+(1-EXP(-LN(2)/25))/(LN(2)/25)*Calculateur!ER43*Calculateur!ET43*VLOOKUP('Données projet'!$B$15,Paramètres!$A$1:$I$89,3,0)*0.475*44/12</f>
        <v>10.519158027410716</v>
      </c>
      <c r="EX43" s="23">
        <f>EXP(-LN(2)/2)*EX42+(1-EXP(-LN(2)/2))/(LN(2)/2)*ER43*EU43*VLOOKUP('Données projet'!$B$15,Paramètres!$A$1:$I$89,3,0)*0.475*44/12</f>
        <v>0.31679992136428364</v>
      </c>
      <c r="EY43" s="24">
        <f t="shared" si="21"/>
        <v>32.667930193501938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62.666666666666671</v>
      </c>
      <c r="FC43" s="13">
        <f>VLOOKUP(A43,'Données projet'!$A$217:$I$237,9,0)</f>
        <v>1.925416666666667</v>
      </c>
      <c r="FD43" s="13">
        <f t="array" ref="FD43">INDEX(FC:FC,MIN(IF(ISNUMBER(FC43:FC239),ROW(FC43:FC239),"")))</f>
        <v>1.925416666666667</v>
      </c>
      <c r="FE43" s="13">
        <f>IF('Données projet'!$A$218&gt;35,FE42+FD43-FM42,IF(A43&lt;'Données projet'!$A$218,$FB$205^A43,IF(A43='Données projet'!$A$218,'Données projet'!$B$218,FE42+FD43-FM42)))</f>
        <v>62.666666666666671</v>
      </c>
      <c r="FF43" s="18">
        <f>FE43*VLOOKUP('Données projet'!$B$16,Paramètres!$A$1:$I$89,3,0)*VLOOKUP('Données projet'!$B$16,Paramètres!$A$1:$I$89,5,0)</f>
        <v>72.192000000000007</v>
      </c>
      <c r="FG43" s="14">
        <f t="shared" si="47"/>
        <v>20.216827725253115</v>
      </c>
      <c r="FH43" s="22">
        <f t="shared" si="22"/>
        <v>160.94537495481583</v>
      </c>
      <c r="FI43" s="62">
        <f t="shared" si="23"/>
        <v>408.75838877393664</v>
      </c>
      <c r="FJ43" s="62">
        <f ca="1">AVERAGE(OFFSET($FI$3,0,0,'Données projet'!$E$16+1,1))-AVERAGE(OFFSET($H$3,0,0,'Données projet'!$E$16+1,1))</f>
        <v>283.95543623515323</v>
      </c>
      <c r="FK43" s="62">
        <f t="shared" si="48"/>
        <v>196.96883829830929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7.0000000000000009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14.779375000000002</v>
      </c>
      <c r="FZ43" s="13">
        <f>IF('Données projet'!$A$244&gt;35,FZ42+FY43-GH42,IF(A43&lt;'Données projet'!$A$244,$FW$205^A43,IF(A43='Données projet'!$A$244,'Données projet'!$B$244,FZ42+FY43-GH42)))</f>
        <v>331.32575000000003</v>
      </c>
      <c r="GA43" s="18">
        <f>FZ43*VLOOKUP('Données projet'!$B$17,Paramètres!$A$1:$I$89,3,0)*VLOOKUP('Données projet'!$B$17,Paramètres!$A$1:$I$89,5,0)</f>
        <v>198.13279850000004</v>
      </c>
      <c r="GB43" s="14">
        <f t="shared" si="49"/>
        <v>49.333589603393833</v>
      </c>
      <c r="GC43" s="22">
        <f t="shared" si="25"/>
        <v>431.00395928007765</v>
      </c>
      <c r="GD43" s="62">
        <f t="shared" si="26"/>
        <v>678.81697309919844</v>
      </c>
      <c r="GE43" s="62">
        <f ca="1">AVERAGE(OFFSET($GD$3,0,0,'Données projet'!$E$17+1,1))-AVERAGE(OFFSET($H$3,0,0,'Données projet'!$E$17+1,1))</f>
        <v>223.57443551076992</v>
      </c>
      <c r="GF43" s="62">
        <f t="shared" si="50"/>
        <v>382.12751862619427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21.831972244726934</v>
      </c>
      <c r="GM43" s="23">
        <f>EXP(-LN(2)/25)*GM42+(1-EXP(-LN(2)/25))/(LN(2)/25)*Calculateur!GH43*Calculateur!GJ43*VLOOKUP('Données projet'!$B$17,Paramètres!$A$1:$I$89,3,0)*0.475*44/12</f>
        <v>10.519158027410716</v>
      </c>
      <c r="GN43" s="23">
        <f>EXP(-LN(2)/2)*GN42+(1-EXP(-LN(2)/2))/(LN(2)/2)*GH43*GK43*VLOOKUP('Données projet'!$B$17,Paramètres!$A$1:$I$89,3,0)*0.475*44/12</f>
        <v>0.31679992136428364</v>
      </c>
      <c r="GO43" s="23">
        <f t="shared" si="27"/>
        <v>32.667930193501938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119.9182671719651</v>
      </c>
      <c r="GS43" s="13">
        <f>VLOOKUP(A43,'Données projet'!$A$269:$I$289,9,0)</f>
        <v>3.9335387924944567</v>
      </c>
      <c r="GT43" s="13">
        <f t="array" ref="GT43">INDEX(GS:GS,MIN(IF(ISNUMBER(GS43:GS239),ROW(GS43:GS239),"")))</f>
        <v>3.9335387924944567</v>
      </c>
      <c r="GU43" s="13">
        <f>IF('Données projet'!$A$270&gt;35,GU42+GT43-HC42,IF(A43&lt;'Données projet'!$A$270,$GR$205^A43,IF(A43='Données projet'!$A$270,'Données projet'!$B$270,GU42+GT43-HC42)))</f>
        <v>119.91826717196516</v>
      </c>
      <c r="GV43" s="18">
        <f>GU43*VLOOKUP('Données projet'!$B$18,Paramètres!$A$1:$I$89,3,0)*VLOOKUP('Données projet'!$B$18,Paramètres!$A$1:$I$89,5,0)</f>
        <v>130.95074775178594</v>
      </c>
      <c r="GW43" s="14">
        <f t="shared" si="51"/>
        <v>34.215955967314557</v>
      </c>
      <c r="GX43" s="22">
        <f t="shared" si="28"/>
        <v>287.66534231076668</v>
      </c>
      <c r="GY43" s="62">
        <f t="shared" si="29"/>
        <v>535.47835612988752</v>
      </c>
      <c r="GZ43" s="62">
        <f ca="1">AVERAGE(OFFSET($GY$3,0,0,'Données projet'!$E$18+1,1))-AVERAGE(OFFSET($H$3,0,0,'Données projet'!$E$18+1,1))</f>
        <v>754.33260592777049</v>
      </c>
      <c r="HA43" s="62">
        <f t="shared" si="52"/>
        <v>250.97643915279005</v>
      </c>
      <c r="HB43" s="16">
        <f>IF(ISNA(VLOOKUP(A43,'Données projet'!$A$269:$I$289,3,0)),0,VLOOKUP(A43,'Données projet'!$A$269:$I$289,3,0))</f>
        <v>2</v>
      </c>
      <c r="HC43" s="16">
        <f>IF(ISNA(VLOOKUP(A43,'Données projet'!$A$269:$I$289,4,0)),0,VLOOKUP(A43,'Données projet'!$A$269:$I$289,4,0))</f>
        <v>13.324251907996121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9">
        <f t="shared" si="1"/>
        <v>183.33333333333334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616.86644831187505</v>
      </c>
      <c r="S44" s="62">
        <f ca="1">AVERAGE(OFFSET($R$3,0,0,'Données projet'!$E$9+1,1))-AVERAGE(OFFSET($H$3,0,0,'Données projet'!$E$9+1,1))</f>
        <v>550.39292625253665</v>
      </c>
      <c r="T44" s="62">
        <f t="shared" si="34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186.40000000000003</v>
      </c>
      <c r="AJ44" s="14">
        <f>AI44*VLOOKUP('Données projet'!$B$10,Paramètres!$A$1:$I$89,3,0)*VLOOKUP('Données projet'!$B$10,Paramètres!$A$1:$I$89,5,0)</f>
        <v>189.00960000000003</v>
      </c>
      <c r="AK44" s="14">
        <f t="shared" si="35"/>
        <v>47.320922915876508</v>
      </c>
      <c r="AL44" s="22">
        <f t="shared" si="4"/>
        <v>411.60899407848501</v>
      </c>
      <c r="AM44" s="62">
        <f t="shared" si="5"/>
        <v>660.21168367298901</v>
      </c>
      <c r="AN44" s="62">
        <f ca="1">AVERAGE(OFFSET($AM$3,0,0,'Données projet'!$E$10+1,1))-AVERAGE(OFFSET($H$3,0,0,'Données projet'!$E$10+1,1))</f>
        <v>606.55142836375308</v>
      </c>
      <c r="AO44" s="62">
        <f t="shared" si="36"/>
        <v>325.72635759450861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7.5641025641025639</v>
      </c>
      <c r="BD44" s="13">
        <f>IF('Données projet'!$A$88&gt;35,BD43+BC44-BL43,IF(A44&lt;'Données projet'!$A$88,$BA$205^A44,IF(A44='Données projet'!$A$88,'Données projet'!$B$88,BD43+BC44-BL43)))</f>
        <v>201.79487179487182</v>
      </c>
      <c r="BE44" s="14">
        <f>BD44*VLOOKUP('Données projet'!$B$11,Paramètres!$A$1:$I$89,3,0)*VLOOKUP('Données projet'!$B$11,Paramètres!$A$1:$I$89,5,0)</f>
        <v>210.91600000000005</v>
      </c>
      <c r="BF44" s="14">
        <f t="shared" si="37"/>
        <v>52.135704011333516</v>
      </c>
      <c r="BG44" s="22">
        <f t="shared" si="7"/>
        <v>458.14838448640597</v>
      </c>
      <c r="BH44" s="62">
        <f t="shared" si="8"/>
        <v>706.75107408090992</v>
      </c>
      <c r="BI44" s="62">
        <f ca="1">AVERAGE(OFFSET($BH$3,0,0,'Données projet'!$E$11+1,1))-AVERAGE(OFFSET($H$3,0,0,'Données projet'!$E$11+1,1))</f>
        <v>635.13577238794812</v>
      </c>
      <c r="BJ44" s="62">
        <f t="shared" si="38"/>
        <v>374.35810525172019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32.799999999999997</v>
      </c>
      <c r="BY44" s="13">
        <f>IF('Données projet'!$A$114&gt;35,BY43+BX44-CG43,IF(A44&lt;'Données projet'!$A$114,$BV$205^A44,IF(A44='Données projet'!$A$114,'Données projet'!$B$114,BY43+BX44-CG43)))</f>
        <v>566.8000000000003</v>
      </c>
      <c r="BZ44" s="14">
        <f>BY44*VLOOKUP('Données projet'!$B$12,Paramètres!$A$1:$I$89,3,0)*VLOOKUP('Données projet'!$B$12,Paramètres!$A$1:$I$89,5,0)</f>
        <v>250.52560000000014</v>
      </c>
      <c r="CA44" s="14">
        <f t="shared" si="39"/>
        <v>60.698476420984917</v>
      </c>
      <c r="CB44" s="22">
        <f t="shared" si="10"/>
        <v>542.04859976654893</v>
      </c>
      <c r="CC44" s="62">
        <f t="shared" si="11"/>
        <v>790.65128936105293</v>
      </c>
      <c r="CD44" s="62">
        <f ca="1">AVERAGE(OFFSET($CC$3,0,0,'Données projet'!$E$12+1,1))-AVERAGE(OFFSET($H$3,0,0,'Données projet'!$E$12+1,1))</f>
        <v>580.02817743695846</v>
      </c>
      <c r="CE44" s="62">
        <f t="shared" si="40"/>
        <v>551.23515633208865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11.443589743589742</v>
      </c>
      <c r="CT44" s="13">
        <f>IF('Données projet'!$A$140&gt;35,CT43+CS44-DB43,IF(A44&lt;'Données projet'!$A$140,$CQ$205^A44,IF(A44='Données projet'!$A$140,'Données projet'!$B$140,CT43+CS44-DB43)))</f>
        <v>273.13333333333333</v>
      </c>
      <c r="CU44" s="18">
        <f>CT44*VLOOKUP('Données projet'!$B$13,Paramètres!$A$1:$I$89,3,0)*VLOOKUP('Données projet'!$B$13,Paramètres!$A$1:$I$89,5,0)</f>
        <v>127.82639999999999</v>
      </c>
      <c r="CV44" s="14">
        <f t="shared" si="41"/>
        <v>33.493612376128482</v>
      </c>
      <c r="CW44" s="22">
        <f t="shared" si="13"/>
        <v>280.96568822175709</v>
      </c>
      <c r="CX44" s="62">
        <f t="shared" si="14"/>
        <v>529.56837781626109</v>
      </c>
      <c r="CY44" s="62">
        <f ca="1">AVERAGE(OFFSET($CX$3,0,0,'Données projet'!$E$13+1,1))-AVERAGE(OFFSET($H$3,0,0,'Données projet'!$E$13+1,1))</f>
        <v>321.05795935196863</v>
      </c>
      <c r="CZ44" s="62">
        <f t="shared" si="42"/>
        <v>209.59551322748908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186.40000000000003</v>
      </c>
      <c r="DP44" s="18">
        <f>DO44*VLOOKUP('Données projet'!$B$14,Paramètres!$A$1:$I$89,3,0)*VLOOKUP('Données projet'!$B$14,Paramètres!$A$1:$I$89,5,0)</f>
        <v>200.64096000000004</v>
      </c>
      <c r="DQ44" s="14">
        <f t="shared" si="43"/>
        <v>49.885005090945128</v>
      </c>
      <c r="DR44" s="22">
        <f t="shared" si="16"/>
        <v>436.33272253339618</v>
      </c>
      <c r="DS44" s="62">
        <f t="shared" si="17"/>
        <v>684.93541212790012</v>
      </c>
      <c r="DT44" s="62">
        <f ca="1">AVERAGE(OFFSET($DS$3,0,0,'Données projet'!$E$14+1,1))-AVERAGE(OFFSET($H$3,0,0,'Données projet'!$E$14+1,1))</f>
        <v>638.58602907610805</v>
      </c>
      <c r="DU44" s="62">
        <f t="shared" si="44"/>
        <v>341.9250949809848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14.779375000000002</v>
      </c>
      <c r="EJ44" s="13">
        <f>IF('Données projet'!$A$192&gt;35,EJ43+EI44-ER43,IF(A44&lt;'Données projet'!$A$192,$EG$205^A44,IF(A44='Données projet'!$A$192,'Données projet'!$B$192,EJ43+EI44-ER43)))</f>
        <v>346.10512500000004</v>
      </c>
      <c r="EK44" s="18">
        <f>EJ44*VLOOKUP('Données projet'!$B$15,Paramètres!$A$1:$I$89,3,0)*VLOOKUP('Données projet'!$B$15,Paramètres!$A$1:$I$89,5,0)</f>
        <v>206.97086475000006</v>
      </c>
      <c r="EL44" s="14">
        <f t="shared" si="45"/>
        <v>51.273084725712017</v>
      </c>
      <c r="EM44" s="22">
        <f t="shared" si="19"/>
        <v>449.77487867019858</v>
      </c>
      <c r="EN44" s="62">
        <f t="shared" si="20"/>
        <v>698.37756826470252</v>
      </c>
      <c r="EO44" s="62">
        <f ca="1">AVERAGE(OFFSET($EN$3,0,0,'Données projet'!$E$15+1,1))-AVERAGE(OFFSET($H$3,0,0,'Données projet'!$E$15+1,1))</f>
        <v>223.57443551076992</v>
      </c>
      <c r="EP44" s="62">
        <f t="shared" si="46"/>
        <v>382.12751862619427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21.403860585196043</v>
      </c>
      <c r="EW44" s="23">
        <f>EXP(-LN(2)/25)*EW43+(1-EXP(-LN(2)/25))/(LN(2)/25)*Calculateur!ER44*Calculateur!ET44*VLOOKUP('Données projet'!$B$15,Paramètres!$A$1:$I$89,3,0)*0.475*44/12</f>
        <v>10.231511097972691</v>
      </c>
      <c r="EX44" s="23">
        <f>EXP(-LN(2)/2)*EX43+(1-EXP(-LN(2)/2))/(LN(2)/2)*ER44*EU44*VLOOKUP('Données projet'!$B$15,Paramètres!$A$1:$I$89,3,0)*0.475*44/12</f>
        <v>0.22401137267604998</v>
      </c>
      <c r="EY44" s="24">
        <f t="shared" si="21"/>
        <v>31.859383055844784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1.8720833333333331</v>
      </c>
      <c r="FE44" s="13">
        <f>IF('Données projet'!$A$218&gt;35,FE43+FD44-FM43,IF(A44&lt;'Données projet'!$A$218,$FB$205^A44,IF(A44='Données projet'!$A$218,'Données projet'!$B$218,FE43+FD44-FM43)))</f>
        <v>57.538750000000007</v>
      </c>
      <c r="FF44" s="18">
        <f>FE44*VLOOKUP('Données projet'!$B$16,Paramètres!$A$1:$I$89,3,0)*VLOOKUP('Données projet'!$B$16,Paramètres!$A$1:$I$89,5,0)</f>
        <v>66.28464000000001</v>
      </c>
      <c r="FG44" s="14">
        <f t="shared" si="47"/>
        <v>18.747894674998243</v>
      </c>
      <c r="FH44" s="22">
        <f t="shared" si="22"/>
        <v>148.09833122562196</v>
      </c>
      <c r="FI44" s="62">
        <f t="shared" si="23"/>
        <v>396.7010208201259</v>
      </c>
      <c r="FJ44" s="62">
        <f ca="1">AVERAGE(OFFSET($FI$3,0,0,'Données projet'!$E$16+1,1))-AVERAGE(OFFSET($H$3,0,0,'Données projet'!$E$16+1,1))</f>
        <v>283.95543623515323</v>
      </c>
      <c r="FK44" s="62">
        <f t="shared" si="48"/>
        <v>196.96883829830929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14.779375000000002</v>
      </c>
      <c r="FZ44" s="13">
        <f>IF('Données projet'!$A$244&gt;35,FZ43+FY44-GH43,IF(A44&lt;'Données projet'!$A$244,$FW$205^A44,IF(A44='Données projet'!$A$244,'Données projet'!$B$244,FZ43+FY44-GH43)))</f>
        <v>346.10512500000004</v>
      </c>
      <c r="GA44" s="18">
        <f>FZ44*VLOOKUP('Données projet'!$B$17,Paramètres!$A$1:$I$89,3,0)*VLOOKUP('Données projet'!$B$17,Paramètres!$A$1:$I$89,5,0)</f>
        <v>206.97086475000006</v>
      </c>
      <c r="GB44" s="14">
        <f t="shared" si="49"/>
        <v>51.273084725712017</v>
      </c>
      <c r="GC44" s="22">
        <f t="shared" si="25"/>
        <v>449.77487867019858</v>
      </c>
      <c r="GD44" s="62">
        <f t="shared" si="26"/>
        <v>698.37756826470252</v>
      </c>
      <c r="GE44" s="62">
        <f ca="1">AVERAGE(OFFSET($GD$3,0,0,'Données projet'!$E$17+1,1))-AVERAGE(OFFSET($H$3,0,0,'Données projet'!$E$17+1,1))</f>
        <v>223.57443551076992</v>
      </c>
      <c r="GF44" s="62">
        <f t="shared" si="50"/>
        <v>382.12751862619427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21.403860585196043</v>
      </c>
      <c r="GM44" s="23">
        <f>EXP(-LN(2)/25)*GM43+(1-EXP(-LN(2)/25))/(LN(2)/25)*Calculateur!GH44*Calculateur!GJ44*VLOOKUP('Données projet'!$B$17,Paramètres!$A$1:$I$89,3,0)*0.475*44/12</f>
        <v>10.231511097972691</v>
      </c>
      <c r="GN44" s="23">
        <f>EXP(-LN(2)/2)*GN43+(1-EXP(-LN(2)/2))/(LN(2)/2)*GH44*GK44*VLOOKUP('Données projet'!$B$17,Paramètres!$A$1:$I$89,3,0)*0.475*44/12</f>
        <v>0.22401137267604998</v>
      </c>
      <c r="GO44" s="23">
        <f t="shared" si="27"/>
        <v>31.859383055844784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3.6590249865060742</v>
      </c>
      <c r="GU44" s="13">
        <f>IF('Données projet'!$A$270&gt;35,GU43+GT44-HC43,IF(A44&lt;'Données projet'!$A$270,$GR$205^A44,IF(A44='Données projet'!$A$270,'Données projet'!$B$270,GU43+GT44-HC43)))</f>
        <v>110.2530402504751</v>
      </c>
      <c r="GV44" s="18">
        <f>GU44*VLOOKUP('Données projet'!$B$18,Paramètres!$A$1:$I$89,3,0)*VLOOKUP('Données projet'!$B$18,Paramètres!$A$1:$I$89,5,0)</f>
        <v>120.39631995351878</v>
      </c>
      <c r="GW44" s="14">
        <f t="shared" si="51"/>
        <v>31.767416669334342</v>
      </c>
      <c r="GX44" s="22">
        <f t="shared" si="28"/>
        <v>265.01850795146919</v>
      </c>
      <c r="GY44" s="62">
        <f t="shared" si="29"/>
        <v>513.62119754597313</v>
      </c>
      <c r="GZ44" s="62">
        <f ca="1">AVERAGE(OFFSET($GY$3,0,0,'Données projet'!$E$18+1,1))-AVERAGE(OFFSET($H$3,0,0,'Données projet'!$E$18+1,1))</f>
        <v>754.33260592777049</v>
      </c>
      <c r="HA44" s="62">
        <f t="shared" si="52"/>
        <v>250.97643915279005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9">
        <f t="shared" si="1"/>
        <v>183.33333333333334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639.62045141931992</v>
      </c>
      <c r="S45" s="62">
        <f ca="1">AVERAGE(OFFSET($R$3,0,0,'Données projet'!$E$9+1,1))-AVERAGE(OFFSET($H$3,0,0,'Données projet'!$E$9+1,1))</f>
        <v>550.39292625253665</v>
      </c>
      <c r="T45" s="62">
        <f t="shared" si="34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197.80000000000004</v>
      </c>
      <c r="AJ45" s="14">
        <f>AI45*VLOOKUP('Données projet'!$B$10,Paramètres!$A$1:$I$89,3,0)*VLOOKUP('Données projet'!$B$10,Paramètres!$A$1:$I$89,5,0)</f>
        <v>200.56920000000005</v>
      </c>
      <c r="AK45" s="14">
        <f t="shared" si="35"/>
        <v>49.869239959281323</v>
      </c>
      <c r="AL45" s="22">
        <f t="shared" si="4"/>
        <v>436.18028292908167</v>
      </c>
      <c r="AM45" s="62">
        <f t="shared" si="5"/>
        <v>685.55894918971637</v>
      </c>
      <c r="AN45" s="62">
        <f ca="1">AVERAGE(OFFSET($AM$3,0,0,'Données projet'!$E$10+1,1))-AVERAGE(OFFSET($H$3,0,0,'Données projet'!$E$10+1,1))</f>
        <v>606.55142836375308</v>
      </c>
      <c r="AO45" s="62">
        <f t="shared" si="36"/>
        <v>325.72635759450861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7.5641025641025639</v>
      </c>
      <c r="BD45" s="13">
        <f>IF('Données projet'!$A$88&gt;35,BD44+BC45-BL44,IF(A45&lt;'Données projet'!$A$88,$BA$205^A45,IF(A45='Données projet'!$A$88,'Données projet'!$B$88,BD44+BC45-BL44)))</f>
        <v>209.35897435897439</v>
      </c>
      <c r="BE45" s="14">
        <f>BD45*VLOOKUP('Données projet'!$B$11,Paramètres!$A$1:$I$89,3,0)*VLOOKUP('Données projet'!$B$11,Paramètres!$A$1:$I$89,5,0)</f>
        <v>218.82200000000009</v>
      </c>
      <c r="BF45" s="14">
        <f t="shared" si="37"/>
        <v>53.858773292860803</v>
      </c>
      <c r="BG45" s="22">
        <f t="shared" si="7"/>
        <v>474.91901348506599</v>
      </c>
      <c r="BH45" s="62">
        <f t="shared" si="8"/>
        <v>724.29767974570075</v>
      </c>
      <c r="BI45" s="62">
        <f ca="1">AVERAGE(OFFSET($BH$3,0,0,'Données projet'!$E$11+1,1))-AVERAGE(OFFSET($H$3,0,0,'Données projet'!$E$11+1,1))</f>
        <v>635.13577238794812</v>
      </c>
      <c r="BJ45" s="62">
        <f t="shared" si="38"/>
        <v>374.35810525172019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32.799999999999997</v>
      </c>
      <c r="BY45" s="13">
        <f>IF('Données projet'!$A$114&gt;35,BY44+BX45-CG44,IF(A45&lt;'Données projet'!$A$114,$BV$205^A45,IF(A45='Données projet'!$A$114,'Données projet'!$B$114,BY44+BX45-CG44)))</f>
        <v>599.60000000000025</v>
      </c>
      <c r="BZ45" s="14">
        <f>BY45*VLOOKUP('Données projet'!$B$12,Paramètres!$A$1:$I$89,3,0)*VLOOKUP('Données projet'!$B$12,Paramètres!$A$1:$I$89,5,0)</f>
        <v>265.02320000000014</v>
      </c>
      <c r="CA45" s="14">
        <f t="shared" si="39"/>
        <v>63.791925803293104</v>
      </c>
      <c r="CB45" s="22">
        <f t="shared" si="10"/>
        <v>572.68634410740231</v>
      </c>
      <c r="CC45" s="62">
        <f t="shared" si="11"/>
        <v>822.06501036803706</v>
      </c>
      <c r="CD45" s="62">
        <f ca="1">AVERAGE(OFFSET($CC$3,0,0,'Données projet'!$E$12+1,1))-AVERAGE(OFFSET($H$3,0,0,'Données projet'!$E$12+1,1))</f>
        <v>580.02817743695846</v>
      </c>
      <c r="CE45" s="62">
        <f t="shared" si="40"/>
        <v>551.23515633208865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11.443589743589742</v>
      </c>
      <c r="CT45" s="13">
        <f>IF('Données projet'!$A$140&gt;35,CT44+CS45-DB44,IF(A45&lt;'Données projet'!$A$140,$CQ$205^A45,IF(A45='Données projet'!$A$140,'Données projet'!$B$140,CT44+CS45-DB44)))</f>
        <v>284.57692307692309</v>
      </c>
      <c r="CU45" s="18">
        <f>CT45*VLOOKUP('Données projet'!$B$13,Paramètres!$A$1:$I$89,3,0)*VLOOKUP('Données projet'!$B$13,Paramètres!$A$1:$I$89,5,0)</f>
        <v>133.18200000000002</v>
      </c>
      <c r="CV45" s="14">
        <f t="shared" si="41"/>
        <v>34.730588096149795</v>
      </c>
      <c r="CW45" s="22">
        <f t="shared" si="13"/>
        <v>292.44775760079426</v>
      </c>
      <c r="CX45" s="62">
        <f t="shared" si="14"/>
        <v>541.82642386142902</v>
      </c>
      <c r="CY45" s="62">
        <f ca="1">AVERAGE(OFFSET($CX$3,0,0,'Données projet'!$E$13+1,1))-AVERAGE(OFFSET($H$3,0,0,'Données projet'!$E$13+1,1))</f>
        <v>321.05795935196863</v>
      </c>
      <c r="CZ45" s="62">
        <f t="shared" si="42"/>
        <v>209.59551322748908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197.80000000000004</v>
      </c>
      <c r="DP45" s="18">
        <f>DO45*VLOOKUP('Données projet'!$B$14,Paramètres!$A$1:$I$89,3,0)*VLOOKUP('Données projet'!$B$14,Paramètres!$A$1:$I$89,5,0)</f>
        <v>212.91192000000004</v>
      </c>
      <c r="DQ45" s="14">
        <f t="shared" si="43"/>
        <v>52.571402583859268</v>
      </c>
      <c r="DR45" s="22">
        <f t="shared" si="16"/>
        <v>462.38345350022161</v>
      </c>
      <c r="DS45" s="62">
        <f t="shared" si="17"/>
        <v>711.76211976085631</v>
      </c>
      <c r="DT45" s="62">
        <f ca="1">AVERAGE(OFFSET($DS$3,0,0,'Données projet'!$E$14+1,1))-AVERAGE(OFFSET($H$3,0,0,'Données projet'!$E$14+1,1))</f>
        <v>638.58602907610805</v>
      </c>
      <c r="DU45" s="62">
        <f t="shared" si="44"/>
        <v>341.9250949809848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>
        <f>VLOOKUP(A45,'Données projet'!$A$191:$I$211,2,0)</f>
        <v>360.8845</v>
      </c>
      <c r="EH45" s="13">
        <f>VLOOKUP(A45,'Données projet'!$A$191:$I$211,9,0)</f>
        <v>14.779375000000002</v>
      </c>
      <c r="EI45" s="13">
        <f t="array" ref="EI45">INDEX(EH:EH,MIN(IF(ISNUMBER(EH45:EH241),ROW(EH45:EH241),"")))</f>
        <v>14.779375000000002</v>
      </c>
      <c r="EJ45" s="13">
        <f>IF('Données projet'!$A$192&gt;35,EJ44+EI45-ER44,IF(A45&lt;'Données projet'!$A$192,$EG$205^A45,IF(A45='Données projet'!$A$192,'Données projet'!$B$192,EJ44+EI45-ER44)))</f>
        <v>360.88450000000006</v>
      </c>
      <c r="EK45" s="18">
        <f>EJ45*VLOOKUP('Données projet'!$B$15,Paramètres!$A$1:$I$89,3,0)*VLOOKUP('Données projet'!$B$15,Paramètres!$A$1:$I$89,5,0)</f>
        <v>215.80893100000003</v>
      </c>
      <c r="EL45" s="14">
        <f t="shared" si="45"/>
        <v>53.202960398285519</v>
      </c>
      <c r="EM45" s="22">
        <f t="shared" si="19"/>
        <v>468.52904418534735</v>
      </c>
      <c r="EN45" s="62">
        <f t="shared" si="20"/>
        <v>717.90771044598205</v>
      </c>
      <c r="EO45" s="62">
        <f ca="1">AVERAGE(OFFSET($EN$3,0,0,'Données projet'!$E$15+1,1))-AVERAGE(OFFSET($H$3,0,0,'Données projet'!$E$15+1,1))</f>
        <v>223.57443551076992</v>
      </c>
      <c r="EP45" s="62">
        <f t="shared" si="46"/>
        <v>382.12751862619427</v>
      </c>
      <c r="EQ45" s="16">
        <f>IF(ISNA(VLOOKUP(A45,'Données projet'!$A$191:$I$211,3,0)),0,VLOOKUP(A45,'Données projet'!$A$191:$I$211,3,0))</f>
        <v>5</v>
      </c>
      <c r="ER45" s="16">
        <f>IF(ISNA(VLOOKUP(A45,'Données projet'!$A$191:$I$211,4,0)),0,VLOOKUP(A45,'Données projet'!$A$191:$I$211,4,0))</f>
        <v>360.8845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20.984143934186225</v>
      </c>
      <c r="EW45" s="23">
        <f>EXP(-LN(2)/25)*EW44+(1-EXP(-LN(2)/25))/(LN(2)/25)*Calculateur!ER45*Calculateur!ET45*VLOOKUP('Données projet'!$B$15,Paramètres!$A$1:$I$89,3,0)*0.475*44/12</f>
        <v>9.9517298889468435</v>
      </c>
      <c r="EX45" s="23">
        <f>EXP(-LN(2)/2)*EX44+(1-EXP(-LN(2)/2))/(LN(2)/2)*ER45*EU45*VLOOKUP('Données projet'!$B$15,Paramètres!$A$1:$I$89,3,0)*0.475*44/12</f>
        <v>0.15839996068214182</v>
      </c>
      <c r="EY45" s="24">
        <f t="shared" si="21"/>
        <v>31.094273783815211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1.8720833333333331</v>
      </c>
      <c r="FE45" s="13">
        <f>IF('Données projet'!$A$218&gt;35,FE44+FD45-FM44,IF(A45&lt;'Données projet'!$A$218,$FB$205^A45,IF(A45='Données projet'!$A$218,'Données projet'!$B$218,FE44+FD45-FM44)))</f>
        <v>59.410833333333343</v>
      </c>
      <c r="FF45" s="18">
        <f>FE45*VLOOKUP('Données projet'!$B$16,Paramètres!$A$1:$I$89,3,0)*VLOOKUP('Données projet'!$B$16,Paramètres!$A$1:$I$89,5,0)</f>
        <v>68.441280000000006</v>
      </c>
      <c r="FG45" s="14">
        <f t="shared" si="47"/>
        <v>19.285866604126806</v>
      </c>
      <c r="FH45" s="22">
        <f t="shared" si="22"/>
        <v>152.79144700218751</v>
      </c>
      <c r="FI45" s="62">
        <f t="shared" si="23"/>
        <v>402.17011326282227</v>
      </c>
      <c r="FJ45" s="62">
        <f ca="1">AVERAGE(OFFSET($FI$3,0,0,'Données projet'!$E$16+1,1))-AVERAGE(OFFSET($H$3,0,0,'Données projet'!$E$16+1,1))</f>
        <v>283.95543623515323</v>
      </c>
      <c r="FK45" s="62">
        <f t="shared" si="48"/>
        <v>196.96883829830929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>
        <f>VLOOKUP(A45,'Données projet'!$A$243:$I$263,2,0)</f>
        <v>360.8845</v>
      </c>
      <c r="FX45" s="13">
        <f>VLOOKUP(A45,'Données projet'!$A$243:$I$263,9,0)</f>
        <v>14.779375000000002</v>
      </c>
      <c r="FY45" s="13">
        <f t="array" ref="FY45">INDEX(FX:FX,MIN(IF(ISNUMBER(FX45:FX241),ROW(FX45:FX241),"")))</f>
        <v>14.779375000000002</v>
      </c>
      <c r="FZ45" s="13">
        <f>IF('Données projet'!$A$244&gt;35,FZ44+FY45-GH44,IF(A45&lt;'Données projet'!$A$244,$FW$205^A45,IF(A45='Données projet'!$A$244,'Données projet'!$B$244,FZ44+FY45-GH44)))</f>
        <v>360.88450000000006</v>
      </c>
      <c r="GA45" s="18">
        <f>FZ45*VLOOKUP('Données projet'!$B$17,Paramètres!$A$1:$I$89,3,0)*VLOOKUP('Données projet'!$B$17,Paramètres!$A$1:$I$89,5,0)</f>
        <v>215.80893100000003</v>
      </c>
      <c r="GB45" s="14">
        <f t="shared" si="49"/>
        <v>53.202960398285519</v>
      </c>
      <c r="GC45" s="22">
        <f t="shared" si="25"/>
        <v>468.52904418534735</v>
      </c>
      <c r="GD45" s="62">
        <f t="shared" si="26"/>
        <v>717.90771044598205</v>
      </c>
      <c r="GE45" s="62">
        <f ca="1">AVERAGE(OFFSET($GD$3,0,0,'Données projet'!$E$17+1,1))-AVERAGE(OFFSET($H$3,0,0,'Données projet'!$E$17+1,1))</f>
        <v>223.57443551076992</v>
      </c>
      <c r="GF45" s="62">
        <f t="shared" si="50"/>
        <v>382.12751862619427</v>
      </c>
      <c r="GG45" s="16">
        <f>IF(ISNA(VLOOKUP(A45,'Données projet'!$A$243:$I$263,3,0)),0,VLOOKUP(A45,'Données projet'!$A$243:$I$263,3,0))</f>
        <v>5</v>
      </c>
      <c r="GH45" s="16">
        <f>IF(ISNA(VLOOKUP(A45,'Données projet'!$A$243:$I$263,4,0)),0,VLOOKUP(A45,'Données projet'!$A$243:$I$263,4,0))</f>
        <v>360.8845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20.984143934186225</v>
      </c>
      <c r="GM45" s="23">
        <f>EXP(-LN(2)/25)*GM44+(1-EXP(-LN(2)/25))/(LN(2)/25)*Calculateur!GH45*Calculateur!GJ45*VLOOKUP('Données projet'!$B$17,Paramètres!$A$1:$I$89,3,0)*0.475*44/12</f>
        <v>9.9517298889468435</v>
      </c>
      <c r="GN45" s="23">
        <f>EXP(-LN(2)/2)*GN44+(1-EXP(-LN(2)/2))/(LN(2)/2)*GH45*GK45*VLOOKUP('Données projet'!$B$17,Paramètres!$A$1:$I$89,3,0)*0.475*44/12</f>
        <v>0.15839996068214182</v>
      </c>
      <c r="GO45" s="23">
        <f t="shared" si="27"/>
        <v>31.094273783815211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3.6590249865060742</v>
      </c>
      <c r="GU45" s="13">
        <f>IF('Données projet'!$A$270&gt;35,GU44+GT45-HC44,IF(A45&lt;'Données projet'!$A$270,$GR$205^A45,IF(A45='Données projet'!$A$270,'Données projet'!$B$270,GU44+GT45-HC44)))</f>
        <v>113.91206523698116</v>
      </c>
      <c r="GV45" s="18">
        <f>GU45*VLOOKUP('Données projet'!$B$18,Paramètres!$A$1:$I$89,3,0)*VLOOKUP('Données projet'!$B$18,Paramètres!$A$1:$I$89,5,0)</f>
        <v>124.39197523878343</v>
      </c>
      <c r="GW45" s="14">
        <f t="shared" si="51"/>
        <v>32.697202561038729</v>
      </c>
      <c r="GX45" s="22">
        <f t="shared" si="28"/>
        <v>273.59698466802359</v>
      </c>
      <c r="GY45" s="62">
        <f t="shared" si="29"/>
        <v>522.9756509286583</v>
      </c>
      <c r="GZ45" s="62">
        <f ca="1">AVERAGE(OFFSET($GY$3,0,0,'Données projet'!$E$18+1,1))-AVERAGE(OFFSET($H$3,0,0,'Données projet'!$E$18+1,1))</f>
        <v>754.33260592777049</v>
      </c>
      <c r="HA45" s="62">
        <f t="shared" si="52"/>
        <v>250.97643915279005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9">
        <f t="shared" si="1"/>
        <v>183.33333333333334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662.33414440191905</v>
      </c>
      <c r="S46" s="62">
        <f ca="1">AVERAGE(OFFSET($R$3,0,0,'Données projet'!$E$9+1,1))-AVERAGE(OFFSET($H$3,0,0,'Données projet'!$E$9+1,1))</f>
        <v>550.39292625253665</v>
      </c>
      <c r="T46" s="62">
        <f t="shared" si="34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209.20000000000005</v>
      </c>
      <c r="AJ46" s="14">
        <f>AI46*VLOOKUP('Données projet'!$B$10,Paramètres!$A$1:$I$89,3,0)*VLOOKUP('Données projet'!$B$10,Paramètres!$A$1:$I$89,5,0)</f>
        <v>212.12880000000007</v>
      </c>
      <c r="AK46" s="14">
        <f t="shared" si="35"/>
        <v>52.400508630618717</v>
      </c>
      <c r="AL46" s="22">
        <f t="shared" si="4"/>
        <v>460.72187919832771</v>
      </c>
      <c r="AM46" s="62">
        <f t="shared" si="5"/>
        <v>710.86306066475981</v>
      </c>
      <c r="AN46" s="62">
        <f ca="1">AVERAGE(OFFSET($AM$3,0,0,'Données projet'!$E$10+1,1))-AVERAGE(OFFSET($H$3,0,0,'Données projet'!$E$10+1,1))</f>
        <v>606.55142836375308</v>
      </c>
      <c r="AO46" s="62">
        <f t="shared" si="36"/>
        <v>325.72635759450861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7.5641025641025639</v>
      </c>
      <c r="BD46" s="13">
        <f>IF('Données projet'!$A$88&gt;35,BD45+BC46-BL45,IF(A46&lt;'Données projet'!$A$88,$BA$205^A46,IF(A46='Données projet'!$A$88,'Données projet'!$B$88,BD45+BC46-BL45)))</f>
        <v>216.92307692307696</v>
      </c>
      <c r="BE46" s="14">
        <f>BD46*VLOOKUP('Données projet'!$B$11,Paramètres!$A$1:$I$89,3,0)*VLOOKUP('Données projet'!$B$11,Paramètres!$A$1:$I$89,5,0)</f>
        <v>226.72800000000009</v>
      </c>
      <c r="BF46" s="14">
        <f t="shared" si="37"/>
        <v>55.57460974085884</v>
      </c>
      <c r="BG46" s="22">
        <f t="shared" si="7"/>
        <v>491.67704529866268</v>
      </c>
      <c r="BH46" s="62">
        <f t="shared" si="8"/>
        <v>741.81822676509478</v>
      </c>
      <c r="BI46" s="62">
        <f ca="1">AVERAGE(OFFSET($BH$3,0,0,'Données projet'!$E$11+1,1))-AVERAGE(OFFSET($H$3,0,0,'Données projet'!$E$11+1,1))</f>
        <v>635.13577238794812</v>
      </c>
      <c r="BJ46" s="62">
        <f t="shared" si="38"/>
        <v>374.35810525172019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32.799999999999997</v>
      </c>
      <c r="BY46" s="13">
        <f>IF('Données projet'!$A$114&gt;35,BY45+BX46-CG45,IF(A46&lt;'Données projet'!$A$114,$BV$205^A46,IF(A46='Données projet'!$A$114,'Données projet'!$B$114,BY45+BX46-CG45)))</f>
        <v>632.4000000000002</v>
      </c>
      <c r="BZ46" s="14">
        <f>BY46*VLOOKUP('Données projet'!$B$12,Paramètres!$A$1:$I$89,3,0)*VLOOKUP('Données projet'!$B$12,Paramètres!$A$1:$I$89,5,0)</f>
        <v>279.52080000000012</v>
      </c>
      <c r="CA46" s="14">
        <f t="shared" si="39"/>
        <v>66.865730052421583</v>
      </c>
      <c r="CB46" s="22">
        <f t="shared" si="10"/>
        <v>603.28987317463441</v>
      </c>
      <c r="CC46" s="62">
        <f t="shared" si="11"/>
        <v>853.43105464106645</v>
      </c>
      <c r="CD46" s="62">
        <f ca="1">AVERAGE(OFFSET($CC$3,0,0,'Données projet'!$E$12+1,1))-AVERAGE(OFFSET($H$3,0,0,'Données projet'!$E$12+1,1))</f>
        <v>580.02817743695846</v>
      </c>
      <c r="CE46" s="62">
        <f t="shared" si="40"/>
        <v>551.23515633208865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11.443589743589742</v>
      </c>
      <c r="CT46" s="13">
        <f>IF('Données projet'!$A$140&gt;35,CT45+CS46-DB45,IF(A46&lt;'Données projet'!$A$140,$CQ$205^A46,IF(A46='Données projet'!$A$140,'Données projet'!$B$140,CT45+CS46-DB45)))</f>
        <v>296.02051282051286</v>
      </c>
      <c r="CU46" s="18">
        <f>CT46*VLOOKUP('Données projet'!$B$13,Paramètres!$A$1:$I$89,3,0)*VLOOKUP('Données projet'!$B$13,Paramètres!$A$1:$I$89,5,0)</f>
        <v>138.53760000000003</v>
      </c>
      <c r="CV46" s="14">
        <f t="shared" si="41"/>
        <v>35.9617857252005</v>
      </c>
      <c r="CW46" s="22">
        <f t="shared" si="13"/>
        <v>303.91976347139087</v>
      </c>
      <c r="CX46" s="62">
        <f t="shared" si="14"/>
        <v>554.06094493782291</v>
      </c>
      <c r="CY46" s="62">
        <f ca="1">AVERAGE(OFFSET($CX$3,0,0,'Données projet'!$E$13+1,1))-AVERAGE(OFFSET($H$3,0,0,'Données projet'!$E$13+1,1))</f>
        <v>321.05795935196863</v>
      </c>
      <c r="CZ46" s="62">
        <f t="shared" si="42"/>
        <v>209.59551322748908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209.20000000000005</v>
      </c>
      <c r="DP46" s="18">
        <f>DO46*VLOOKUP('Données projet'!$B$14,Paramètres!$A$1:$I$89,3,0)*VLOOKUP('Données projet'!$B$14,Paramètres!$A$1:$I$89,5,0)</f>
        <v>225.18288000000004</v>
      </c>
      <c r="DQ46" s="14">
        <f t="shared" si="43"/>
        <v>55.239827939397941</v>
      </c>
      <c r="DR46" s="22">
        <f t="shared" si="16"/>
        <v>488.40288299445155</v>
      </c>
      <c r="DS46" s="62">
        <f t="shared" si="17"/>
        <v>738.54406446088365</v>
      </c>
      <c r="DT46" s="62">
        <f ca="1">AVERAGE(OFFSET($DS$3,0,0,'Données projet'!$E$14+1,1))-AVERAGE(OFFSET($H$3,0,0,'Données projet'!$E$14+1,1))</f>
        <v>638.58602907610805</v>
      </c>
      <c r="DU46" s="62">
        <f t="shared" si="44"/>
        <v>341.9250949809848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5.6843418860808015E-14</v>
      </c>
      <c r="EK46" s="18">
        <f>EJ46*VLOOKUP('Données projet'!$B$15,Paramètres!$A$1:$I$89,3,0)*VLOOKUP('Données projet'!$B$15,Paramètres!$A$1:$I$89,5,0)</f>
        <v>3.3992364478763198E-14</v>
      </c>
      <c r="EL46" s="14">
        <f t="shared" si="45"/>
        <v>5.790027782444094E-13</v>
      </c>
      <c r="EM46" s="22">
        <f t="shared" si="19"/>
        <v>1.0676332069095257E-12</v>
      </c>
      <c r="EN46" s="62">
        <f t="shared" si="20"/>
        <v>250.14118146643312</v>
      </c>
      <c r="EO46" s="62">
        <f ca="1">AVERAGE(OFFSET($EN$3,0,0,'Données projet'!$E$15+1,1))-AVERAGE(OFFSET($H$3,0,0,'Données projet'!$E$15+1,1))</f>
        <v>223.57443551076992</v>
      </c>
      <c r="EP46" s="62">
        <f t="shared" si="46"/>
        <v>382.12751862619427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20.572657670700831</v>
      </c>
      <c r="EW46" s="23">
        <f>EXP(-LN(2)/25)*EW45+(1-EXP(-LN(2)/25))/(LN(2)/25)*Calculateur!ER46*Calculateur!ET46*VLOOKUP('Données projet'!$B$15,Paramètres!$A$1:$I$89,3,0)*0.475*44/12</f>
        <v>9.6795993117948615</v>
      </c>
      <c r="EX46" s="23">
        <f>EXP(-LN(2)/2)*EX45+(1-EXP(-LN(2)/2))/(LN(2)/2)*ER46*EU46*VLOOKUP('Données projet'!$B$15,Paramètres!$A$1:$I$89,3,0)*0.475*44/12</f>
        <v>0.11200568633802499</v>
      </c>
      <c r="EY46" s="24">
        <f t="shared" si="21"/>
        <v>30.364262668833721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1.8720833333333331</v>
      </c>
      <c r="FE46" s="13">
        <f>IF('Données projet'!$A$218&gt;35,FE45+FD46-FM45,IF(A46&lt;'Données projet'!$A$218,$FB$205^A46,IF(A46='Données projet'!$A$218,'Données projet'!$B$218,FE45+FD46-FM45)))</f>
        <v>61.282916666666679</v>
      </c>
      <c r="FF46" s="18">
        <f>FE46*VLOOKUP('Données projet'!$B$16,Paramètres!$A$1:$I$89,3,0)*VLOOKUP('Données projet'!$B$16,Paramètres!$A$1:$I$89,5,0)</f>
        <v>70.597920000000002</v>
      </c>
      <c r="FG46" s="14">
        <f t="shared" si="47"/>
        <v>19.821868598485771</v>
      </c>
      <c r="FH46" s="22">
        <f t="shared" si="22"/>
        <v>157.48113180902939</v>
      </c>
      <c r="FI46" s="62">
        <f t="shared" si="23"/>
        <v>407.62231327546147</v>
      </c>
      <c r="FJ46" s="62">
        <f ca="1">AVERAGE(OFFSET($FI$3,0,0,'Données projet'!$E$16+1,1))-AVERAGE(OFFSET($H$3,0,0,'Données projet'!$E$16+1,1))</f>
        <v>283.95543623515323</v>
      </c>
      <c r="FK46" s="62">
        <f t="shared" si="48"/>
        <v>196.96883829830929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5.6843418860808015E-14</v>
      </c>
      <c r="GA46" s="18">
        <f>FZ46*VLOOKUP('Données projet'!$B$17,Paramètres!$A$1:$I$89,3,0)*VLOOKUP('Données projet'!$B$17,Paramètres!$A$1:$I$89,5,0)</f>
        <v>3.3992364478763198E-14</v>
      </c>
      <c r="GB46" s="14">
        <f t="shared" si="49"/>
        <v>5.790027782444094E-13</v>
      </c>
      <c r="GC46" s="22">
        <f t="shared" si="25"/>
        <v>1.0676332069095257E-12</v>
      </c>
      <c r="GD46" s="62">
        <f t="shared" si="26"/>
        <v>250.14118146643312</v>
      </c>
      <c r="GE46" s="62">
        <f ca="1">AVERAGE(OFFSET($GD$3,0,0,'Données projet'!$E$17+1,1))-AVERAGE(OFFSET($H$3,0,0,'Données projet'!$E$17+1,1))</f>
        <v>223.57443551076992</v>
      </c>
      <c r="GF46" s="62">
        <f t="shared" si="50"/>
        <v>382.12751862619427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20.572657670700831</v>
      </c>
      <c r="GM46" s="23">
        <f>EXP(-LN(2)/25)*GM45+(1-EXP(-LN(2)/25))/(LN(2)/25)*Calculateur!GH46*Calculateur!GJ46*VLOOKUP('Données projet'!$B$17,Paramètres!$A$1:$I$89,3,0)*0.475*44/12</f>
        <v>9.6795993117948615</v>
      </c>
      <c r="GN46" s="23">
        <f>EXP(-LN(2)/2)*GN45+(1-EXP(-LN(2)/2))/(LN(2)/2)*GH46*GK46*VLOOKUP('Données projet'!$B$17,Paramètres!$A$1:$I$89,3,0)*0.475*44/12</f>
        <v>0.11200568633802499</v>
      </c>
      <c r="GO46" s="23">
        <f t="shared" si="27"/>
        <v>30.364262668833721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3.6590249865060742</v>
      </c>
      <c r="GU46" s="13">
        <f>IF('Données projet'!$A$270&gt;35,GU45+GT46-HC45,IF(A46&lt;'Données projet'!$A$270,$GR$205^A46,IF(A46='Données projet'!$A$270,'Données projet'!$B$270,GU45+GT46-HC45)))</f>
        <v>117.57109022348723</v>
      </c>
      <c r="GV46" s="18">
        <f>GU46*VLOOKUP('Données projet'!$B$18,Paramètres!$A$1:$I$89,3,0)*VLOOKUP('Données projet'!$B$18,Paramètres!$A$1:$I$89,5,0)</f>
        <v>128.38763052404806</v>
      </c>
      <c r="GW46" s="14">
        <f t="shared" si="51"/>
        <v>33.623517898446593</v>
      </c>
      <c r="GX46" s="22">
        <f t="shared" si="28"/>
        <v>282.16941683584486</v>
      </c>
      <c r="GY46" s="62">
        <f t="shared" si="29"/>
        <v>532.31059830227696</v>
      </c>
      <c r="GZ46" s="62">
        <f ca="1">AVERAGE(OFFSET($GY$3,0,0,'Données projet'!$E$18+1,1))-AVERAGE(OFFSET($H$3,0,0,'Données projet'!$E$18+1,1))</f>
        <v>754.33260592777049</v>
      </c>
      <c r="HA46" s="62">
        <f t="shared" si="52"/>
        <v>250.97643915279005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9">
        <f t="shared" si="1"/>
        <v>183.33333333333334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685.00939064679221</v>
      </c>
      <c r="S47" s="62">
        <f ca="1">AVERAGE(OFFSET($R$3,0,0,'Données projet'!$E$9+1,1))-AVERAGE(OFFSET($H$3,0,0,'Données projet'!$E$9+1,1))</f>
        <v>550.39292625253665</v>
      </c>
      <c r="T47" s="62">
        <f t="shared" si="34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220.60000000000005</v>
      </c>
      <c r="AJ47" s="14">
        <f>AI47*VLOOKUP('Données projet'!$B$10,Paramètres!$A$1:$I$89,3,0)*VLOOKUP('Données projet'!$B$10,Paramètres!$A$1:$I$89,5,0)</f>
        <v>223.68840000000009</v>
      </c>
      <c r="AK47" s="14">
        <f t="shared" si="35"/>
        <v>54.915763859378501</v>
      </c>
      <c r="AL47" s="22">
        <f t="shared" si="4"/>
        <v>485.23558538841758</v>
      </c>
      <c r="AM47" s="62">
        <f t="shared" si="5"/>
        <v>736.126054126555</v>
      </c>
      <c r="AN47" s="62">
        <f ca="1">AVERAGE(OFFSET($AM$3,0,0,'Données projet'!$E$10+1,1))-AVERAGE(OFFSET($H$3,0,0,'Données projet'!$E$10+1,1))</f>
        <v>606.55142836375308</v>
      </c>
      <c r="AO47" s="62">
        <f t="shared" si="36"/>
        <v>325.72635759450861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7.5641025641025639</v>
      </c>
      <c r="BD47" s="13">
        <f>IF('Données projet'!$A$88&gt;35,BD46+BC47-BL46,IF(A47&lt;'Données projet'!$A$88,$BA$205^A47,IF(A47='Données projet'!$A$88,'Données projet'!$B$88,BD46+BC47-BL46)))</f>
        <v>224.48717948717953</v>
      </c>
      <c r="BE47" s="14">
        <f>BD47*VLOOKUP('Données projet'!$B$11,Paramètres!$A$1:$I$89,3,0)*VLOOKUP('Données projet'!$B$11,Paramètres!$A$1:$I$89,5,0)</f>
        <v>234.63400000000004</v>
      </c>
      <c r="BF47" s="14">
        <f t="shared" si="37"/>
        <v>57.283494466309719</v>
      </c>
      <c r="BG47" s="22">
        <f t="shared" si="7"/>
        <v>508.42296952882288</v>
      </c>
      <c r="BH47" s="62">
        <f t="shared" si="8"/>
        <v>759.31343826696025</v>
      </c>
      <c r="BI47" s="62">
        <f ca="1">AVERAGE(OFFSET($BH$3,0,0,'Données projet'!$E$11+1,1))-AVERAGE(OFFSET($H$3,0,0,'Données projet'!$E$11+1,1))</f>
        <v>635.13577238794812</v>
      </c>
      <c r="BJ47" s="62">
        <f t="shared" si="38"/>
        <v>374.35810525172019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32.799999999999997</v>
      </c>
      <c r="BY47" s="13">
        <f>IF('Données projet'!$A$114&gt;35,BY46+BX47-CG46,IF(A47&lt;'Données projet'!$A$114,$BV$205^A47,IF(A47='Données projet'!$A$114,'Données projet'!$B$114,BY46+BX47-CG46)))</f>
        <v>665.20000000000016</v>
      </c>
      <c r="BZ47" s="14">
        <f>BY47*VLOOKUP('Données projet'!$B$12,Paramètres!$A$1:$I$89,3,0)*VLOOKUP('Données projet'!$B$12,Paramètres!$A$1:$I$89,5,0)</f>
        <v>294.0184000000001</v>
      </c>
      <c r="CA47" s="14">
        <f t="shared" si="39"/>
        <v>69.921024299062168</v>
      </c>
      <c r="CB47" s="22">
        <f t="shared" si="10"/>
        <v>633.86116398753336</v>
      </c>
      <c r="CC47" s="62">
        <f t="shared" si="11"/>
        <v>884.75163272567079</v>
      </c>
      <c r="CD47" s="62">
        <f ca="1">AVERAGE(OFFSET($CC$3,0,0,'Données projet'!$E$12+1,1))-AVERAGE(OFFSET($H$3,0,0,'Données projet'!$E$12+1,1))</f>
        <v>580.02817743695846</v>
      </c>
      <c r="CE47" s="62">
        <f t="shared" si="40"/>
        <v>551.23515633208865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11.443589743589742</v>
      </c>
      <c r="CT47" s="13">
        <f>IF('Données projet'!$A$140&gt;35,CT46+CS47-DB46,IF(A47&lt;'Données projet'!$A$140,$CQ$205^A47,IF(A47='Données projet'!$A$140,'Données projet'!$B$140,CT46+CS47-DB46)))</f>
        <v>307.46410256410263</v>
      </c>
      <c r="CU47" s="18">
        <f>CT47*VLOOKUP('Données projet'!$B$13,Paramètres!$A$1:$I$89,3,0)*VLOOKUP('Données projet'!$B$13,Paramètres!$A$1:$I$89,5,0)</f>
        <v>143.89320000000004</v>
      </c>
      <c r="CV47" s="14">
        <f t="shared" si="41"/>
        <v>37.187454199603145</v>
      </c>
      <c r="CW47" s="22">
        <f t="shared" si="13"/>
        <v>315.38213939764222</v>
      </c>
      <c r="CX47" s="62">
        <f t="shared" si="14"/>
        <v>566.27260813577959</v>
      </c>
      <c r="CY47" s="62">
        <f ca="1">AVERAGE(OFFSET($CX$3,0,0,'Données projet'!$E$13+1,1))-AVERAGE(OFFSET($H$3,0,0,'Données projet'!$E$13+1,1))</f>
        <v>321.05795935196863</v>
      </c>
      <c r="CZ47" s="62">
        <f t="shared" si="42"/>
        <v>209.59551322748908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220.60000000000005</v>
      </c>
      <c r="DP47" s="18">
        <f>DO47*VLOOKUP('Données projet'!$B$14,Paramètres!$A$1:$I$89,3,0)*VLOOKUP('Données projet'!$B$14,Paramètres!$A$1:$I$89,5,0)</f>
        <v>237.45384000000004</v>
      </c>
      <c r="DQ47" s="14">
        <f t="shared" si="43"/>
        <v>57.891372164661</v>
      </c>
      <c r="DR47" s="22">
        <f t="shared" si="16"/>
        <v>514.39291118678466</v>
      </c>
      <c r="DS47" s="62">
        <f t="shared" si="17"/>
        <v>765.28337992492209</v>
      </c>
      <c r="DT47" s="62">
        <f ca="1">AVERAGE(OFFSET($DS$3,0,0,'Données projet'!$E$14+1,1))-AVERAGE(OFFSET($H$3,0,0,'Données projet'!$E$14+1,1))</f>
        <v>638.58602907610805</v>
      </c>
      <c r="DU47" s="62">
        <f t="shared" si="44"/>
        <v>341.9250949809848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5.6843418860808015E-14</v>
      </c>
      <c r="EK47" s="18">
        <f>EJ47*VLOOKUP('Données projet'!$B$15,Paramètres!$A$1:$I$89,3,0)*VLOOKUP('Données projet'!$B$15,Paramètres!$A$1:$I$89,5,0)</f>
        <v>3.3992364478763198E-14</v>
      </c>
      <c r="EL47" s="14">
        <f t="shared" si="45"/>
        <v>5.790027782444094E-13</v>
      </c>
      <c r="EM47" s="22">
        <f t="shared" si="19"/>
        <v>1.0676332069095257E-12</v>
      </c>
      <c r="EN47" s="62">
        <f t="shared" si="20"/>
        <v>250.89046873813851</v>
      </c>
      <c r="EO47" s="62">
        <f ca="1">AVERAGE(OFFSET($EN$3,0,0,'Données projet'!$E$15+1,1))-AVERAGE(OFFSET($H$3,0,0,'Données projet'!$E$15+1,1))</f>
        <v>223.57443551076992</v>
      </c>
      <c r="EP47" s="62">
        <f t="shared" si="46"/>
        <v>382.12751862619427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20.169240401860549</v>
      </c>
      <c r="EW47" s="23">
        <f>EXP(-LN(2)/25)*EW46+(1-EXP(-LN(2)/25))/(LN(2)/25)*Calculateur!ER47*Calculateur!ET47*VLOOKUP('Données projet'!$B$15,Paramètres!$A$1:$I$89,3,0)*0.475*44/12</f>
        <v>9.4149101595858262</v>
      </c>
      <c r="EX47" s="23">
        <f>EXP(-LN(2)/2)*EX46+(1-EXP(-LN(2)/2))/(LN(2)/2)*ER47*EU47*VLOOKUP('Données projet'!$B$15,Paramètres!$A$1:$I$89,3,0)*0.475*44/12</f>
        <v>7.9199980341070911E-2</v>
      </c>
      <c r="EY47" s="24">
        <f t="shared" si="21"/>
        <v>29.663350541787445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1.8720833333333331</v>
      </c>
      <c r="FE47" s="13">
        <f>IF('Données projet'!$A$218&gt;35,FE46+FD47-FM46,IF(A47&lt;'Données projet'!$A$218,$FB$205^A47,IF(A47='Données projet'!$A$218,'Données projet'!$B$218,FE46+FD47-FM46)))</f>
        <v>63.155000000000015</v>
      </c>
      <c r="FF47" s="18">
        <f>FE47*VLOOKUP('Données projet'!$B$16,Paramètres!$A$1:$I$89,3,0)*VLOOKUP('Données projet'!$B$16,Paramètres!$A$1:$I$89,5,0)</f>
        <v>72.754560000000012</v>
      </c>
      <c r="FG47" s="14">
        <f t="shared" si="47"/>
        <v>20.355967742631517</v>
      </c>
      <c r="FH47" s="22">
        <f t="shared" si="22"/>
        <v>162.16750248508325</v>
      </c>
      <c r="FI47" s="62">
        <f t="shared" si="23"/>
        <v>413.05797122322065</v>
      </c>
      <c r="FJ47" s="62">
        <f ca="1">AVERAGE(OFFSET($FI$3,0,0,'Données projet'!$E$16+1,1))-AVERAGE(OFFSET($H$3,0,0,'Données projet'!$E$16+1,1))</f>
        <v>283.95543623515323</v>
      </c>
      <c r="FK47" s="62">
        <f t="shared" si="48"/>
        <v>196.96883829830929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5.6843418860808015E-14</v>
      </c>
      <c r="GA47" s="18">
        <f>FZ47*VLOOKUP('Données projet'!$B$17,Paramètres!$A$1:$I$89,3,0)*VLOOKUP('Données projet'!$B$17,Paramètres!$A$1:$I$89,5,0)</f>
        <v>3.3992364478763198E-14</v>
      </c>
      <c r="GB47" s="14">
        <f t="shared" si="49"/>
        <v>5.790027782444094E-13</v>
      </c>
      <c r="GC47" s="22">
        <f t="shared" si="25"/>
        <v>1.0676332069095257E-12</v>
      </c>
      <c r="GD47" s="62">
        <f t="shared" si="26"/>
        <v>250.89046873813851</v>
      </c>
      <c r="GE47" s="62">
        <f ca="1">AVERAGE(OFFSET($GD$3,0,0,'Données projet'!$E$17+1,1))-AVERAGE(OFFSET($H$3,0,0,'Données projet'!$E$17+1,1))</f>
        <v>223.57443551076992</v>
      </c>
      <c r="GF47" s="62">
        <f t="shared" si="50"/>
        <v>382.12751862619427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20.169240401860549</v>
      </c>
      <c r="GM47" s="23">
        <f>EXP(-LN(2)/25)*GM46+(1-EXP(-LN(2)/25))/(LN(2)/25)*Calculateur!GH47*Calculateur!GJ47*VLOOKUP('Données projet'!$B$17,Paramètres!$A$1:$I$89,3,0)*0.475*44/12</f>
        <v>9.4149101595858262</v>
      </c>
      <c r="GN47" s="23">
        <f>EXP(-LN(2)/2)*GN46+(1-EXP(-LN(2)/2))/(LN(2)/2)*GH47*GK47*VLOOKUP('Données projet'!$B$17,Paramètres!$A$1:$I$89,3,0)*0.475*44/12</f>
        <v>7.9199980341070911E-2</v>
      </c>
      <c r="GO47" s="23">
        <f t="shared" si="27"/>
        <v>29.663350541787445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3.6590249865060742</v>
      </c>
      <c r="GU47" s="13">
        <f>IF('Données projet'!$A$270&gt;35,GU46+GT47-HC46,IF(A47&lt;'Données projet'!$A$270,$GR$205^A47,IF(A47='Données projet'!$A$270,'Données projet'!$B$270,GU46+GT47-HC46)))</f>
        <v>121.2301152099933</v>
      </c>
      <c r="GV47" s="18">
        <f>GU47*VLOOKUP('Données projet'!$B$18,Paramètres!$A$1:$I$89,3,0)*VLOOKUP('Données projet'!$B$18,Paramètres!$A$1:$I$89,5,0)</f>
        <v>132.38328580931267</v>
      </c>
      <c r="GW47" s="14">
        <f t="shared" si="51"/>
        <v>34.546483085130838</v>
      </c>
      <c r="GX47" s="22">
        <f t="shared" si="28"/>
        <v>290.73601415782241</v>
      </c>
      <c r="GY47" s="62">
        <f t="shared" si="29"/>
        <v>541.62648289595984</v>
      </c>
      <c r="GZ47" s="62">
        <f ca="1">AVERAGE(OFFSET($GY$3,0,0,'Données projet'!$E$18+1,1))-AVERAGE(OFFSET($H$3,0,0,'Données projet'!$E$18+1,1))</f>
        <v>754.33260592777049</v>
      </c>
      <c r="HA47" s="62">
        <f t="shared" si="52"/>
        <v>250.97643915279005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9">
        <f t="shared" si="1"/>
        <v>183.33333333333334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707.64787152182873</v>
      </c>
      <c r="S48" s="62">
        <f ca="1">AVERAGE(OFFSET($R$3,0,0,'Données projet'!$E$9+1,1))-AVERAGE(OFFSET($H$3,0,0,'Données projet'!$E$9+1,1))</f>
        <v>550.39292625253665</v>
      </c>
      <c r="T48" s="62">
        <f t="shared" si="34"/>
        <v>297.32483725004136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232.00000000000006</v>
      </c>
      <c r="AJ48" s="14">
        <f>AI48*VLOOKUP('Données projet'!$B$10,Paramètres!$A$1:$I$89,3,0)*VLOOKUP('Données projet'!$B$10,Paramètres!$A$1:$I$89,5,0)</f>
        <v>235.24800000000008</v>
      </c>
      <c r="AK48" s="14">
        <f t="shared" si="35"/>
        <v>57.41592756883739</v>
      </c>
      <c r="AL48" s="22">
        <f t="shared" si="4"/>
        <v>509.72300718239194</v>
      </c>
      <c r="AM48" s="62">
        <f t="shared" si="5"/>
        <v>761.34976473322604</v>
      </c>
      <c r="AN48" s="62">
        <f ca="1">AVERAGE(OFFSET($AM$3,0,0,'Données projet'!$E$10+1,1))-AVERAGE(OFFSET($H$3,0,0,'Données projet'!$E$10+1,1))</f>
        <v>606.55142836375308</v>
      </c>
      <c r="AO48" s="62">
        <f t="shared" si="36"/>
        <v>325.72635759450861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232.05128205128204</v>
      </c>
      <c r="BB48" s="13">
        <f>VLOOKUP(A48,'Données projet'!$A$87:$I$107,9,0)</f>
        <v>7.5641025641025639</v>
      </c>
      <c r="BC48" s="13">
        <f t="array" ref="BC48">INDEX(BB:BB,MIN(IF(ISNUMBER(BB48:BB244),ROW(BB48:BB244),"")))</f>
        <v>7.5641025641025639</v>
      </c>
      <c r="BD48" s="13">
        <f>IF('Données projet'!$A$88&gt;35,BD47+BC48-BL47,IF(A48&lt;'Données projet'!$A$88,$BA$205^A48,IF(A48='Données projet'!$A$88,'Données projet'!$B$88,BD47+BC48-BL47)))</f>
        <v>232.0512820512821</v>
      </c>
      <c r="BE48" s="14">
        <f>BD48*VLOOKUP('Données projet'!$B$11,Paramètres!$A$1:$I$89,3,0)*VLOOKUP('Données projet'!$B$11,Paramètres!$A$1:$I$89,5,0)</f>
        <v>242.54000000000005</v>
      </c>
      <c r="BF48" s="14">
        <f t="shared" si="37"/>
        <v>58.985688561300798</v>
      </c>
      <c r="BG48" s="22">
        <f t="shared" si="7"/>
        <v>525.15724091093227</v>
      </c>
      <c r="BH48" s="62">
        <f t="shared" si="8"/>
        <v>776.78399846176637</v>
      </c>
      <c r="BI48" s="62">
        <f ca="1">AVERAGE(OFFSET($BH$3,0,0,'Données projet'!$E$11+1,1))-AVERAGE(OFFSET($H$3,0,0,'Données projet'!$E$11+1,1))</f>
        <v>635.13577238794812</v>
      </c>
      <c r="BJ48" s="62">
        <f t="shared" si="38"/>
        <v>374.35810525172019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28.846153846153847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698</v>
      </c>
      <c r="BW48" s="13">
        <f>VLOOKUP(A48,'Données projet'!$A$113:$I$133,9,0)</f>
        <v>32.799999999999997</v>
      </c>
      <c r="BX48" s="13">
        <f t="array" ref="BX48">INDEX(BW:BW,MIN(IF(ISNUMBER(BW48:BW244),ROW(BW48:BW244),"")))</f>
        <v>32.799999999999997</v>
      </c>
      <c r="BY48" s="13">
        <f>IF('Données projet'!$A$114&gt;35,BY47+BX48-CG47,IF(A48&lt;'Données projet'!$A$114,$BV$205^A48,IF(A48='Données projet'!$A$114,'Données projet'!$B$114,BY47+BX48-CG47)))</f>
        <v>698.00000000000011</v>
      </c>
      <c r="BZ48" s="14">
        <f>BY48*VLOOKUP('Données projet'!$B$12,Paramètres!$A$1:$I$89,3,0)*VLOOKUP('Données projet'!$B$12,Paramètres!$A$1:$I$89,5,0)</f>
        <v>308.51600000000008</v>
      </c>
      <c r="CA48" s="14">
        <f t="shared" si="39"/>
        <v>72.958825406715462</v>
      </c>
      <c r="CB48" s="22">
        <f t="shared" si="10"/>
        <v>664.40198758336282</v>
      </c>
      <c r="CC48" s="62">
        <f t="shared" si="11"/>
        <v>916.02874513419692</v>
      </c>
      <c r="CD48" s="62">
        <f ca="1">AVERAGE(OFFSET($CC$3,0,0,'Données projet'!$E$12+1,1))-AVERAGE(OFFSET($H$3,0,0,'Données projet'!$E$12+1,1))</f>
        <v>580.02817743695846</v>
      </c>
      <c r="CE48" s="62">
        <f t="shared" si="40"/>
        <v>551.23515633208865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11.443589743589742</v>
      </c>
      <c r="CT48" s="13">
        <f>IF('Données projet'!$A$140&gt;35,CT47+CS48-DB47,IF(A48&lt;'Données projet'!$A$140,$CQ$205^A48,IF(A48='Données projet'!$A$140,'Données projet'!$B$140,CT47+CS48-DB47)))</f>
        <v>318.9076923076924</v>
      </c>
      <c r="CU48" s="18">
        <f>CT48*VLOOKUP('Données projet'!$B$13,Paramètres!$A$1:$I$89,3,0)*VLOOKUP('Données projet'!$B$13,Paramètres!$A$1:$I$89,5,0)</f>
        <v>149.24880000000005</v>
      </c>
      <c r="CV48" s="14">
        <f t="shared" si="41"/>
        <v>38.40782287536252</v>
      </c>
      <c r="CW48" s="22">
        <f t="shared" si="13"/>
        <v>326.83528484125645</v>
      </c>
      <c r="CX48" s="62">
        <f t="shared" si="14"/>
        <v>578.46204239209055</v>
      </c>
      <c r="CY48" s="62">
        <f ca="1">AVERAGE(OFFSET($CX$3,0,0,'Données projet'!$E$13+1,1))-AVERAGE(OFFSET($H$3,0,0,'Données projet'!$E$13+1,1))</f>
        <v>321.05795935196863</v>
      </c>
      <c r="CZ48" s="62">
        <f t="shared" si="42"/>
        <v>209.59551322748908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232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232.00000000000006</v>
      </c>
      <c r="DP48" s="18">
        <f>DO48*VLOOKUP('Données projet'!$B$14,Paramètres!$A$1:$I$89,3,0)*VLOOKUP('Données projet'!$B$14,Paramètres!$A$1:$I$89,5,0)</f>
        <v>249.72480000000007</v>
      </c>
      <c r="DQ48" s="14">
        <f t="shared" si="43"/>
        <v>60.527007137298142</v>
      </c>
      <c r="DR48" s="22">
        <f t="shared" si="16"/>
        <v>540.35523076412767</v>
      </c>
      <c r="DS48" s="62">
        <f t="shared" si="17"/>
        <v>791.98198831496177</v>
      </c>
      <c r="DT48" s="62">
        <f ca="1">AVERAGE(OFFSET($DS$3,0,0,'Données projet'!$E$14+1,1))-AVERAGE(OFFSET($H$3,0,0,'Données projet'!$E$14+1,1))</f>
        <v>638.58602907610805</v>
      </c>
      <c r="DU48" s="62">
        <f t="shared" si="44"/>
        <v>341.9250949809848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56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5.6843418860808015E-14</v>
      </c>
      <c r="EK48" s="18">
        <f>EJ48*VLOOKUP('Données projet'!$B$15,Paramètres!$A$1:$I$89,3,0)*VLOOKUP('Données projet'!$B$15,Paramètres!$A$1:$I$89,5,0)</f>
        <v>3.3992364478763198E-14</v>
      </c>
      <c r="EL48" s="14">
        <f t="shared" si="45"/>
        <v>5.790027782444094E-13</v>
      </c>
      <c r="EM48" s="22">
        <f t="shared" si="19"/>
        <v>1.0676332069095257E-12</v>
      </c>
      <c r="EN48" s="62">
        <f t="shared" si="20"/>
        <v>251.62675755083521</v>
      </c>
      <c r="EO48" s="62">
        <f ca="1">AVERAGE(OFFSET($EN$3,0,0,'Données projet'!$E$15+1,1))-AVERAGE(OFFSET($H$3,0,0,'Données projet'!$E$15+1,1))</f>
        <v>223.57443551076992</v>
      </c>
      <c r="EP48" s="62">
        <f t="shared" si="46"/>
        <v>382.12751862619427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19.773733899601986</v>
      </c>
      <c r="EW48" s="23">
        <f>EXP(-LN(2)/25)*EW47+(1-EXP(-LN(2)/25))/(LN(2)/25)*Calculateur!ER48*Calculateur!ET48*VLOOKUP('Données projet'!$B$15,Paramètres!$A$1:$I$89,3,0)*0.475*44/12</f>
        <v>9.1574589461633451</v>
      </c>
      <c r="EX48" s="23">
        <f>EXP(-LN(2)/2)*EX47+(1-EXP(-LN(2)/2))/(LN(2)/2)*ER48*EU48*VLOOKUP('Données projet'!$B$15,Paramètres!$A$1:$I$89,3,0)*0.475*44/12</f>
        <v>5.6002843169012495E-2</v>
      </c>
      <c r="EY48" s="24">
        <f t="shared" si="21"/>
        <v>28.987195688934342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1.8720833333333331</v>
      </c>
      <c r="FE48" s="13">
        <f>IF('Données projet'!$A$218&gt;35,FE47+FD48-FM47,IF(A48&lt;'Données projet'!$A$218,$FB$205^A48,IF(A48='Données projet'!$A$218,'Données projet'!$B$218,FE47+FD48-FM47)))</f>
        <v>65.027083333333351</v>
      </c>
      <c r="FF48" s="18">
        <f>FE48*VLOOKUP('Données projet'!$B$16,Paramètres!$A$1:$I$89,3,0)*VLOOKUP('Données projet'!$B$16,Paramètres!$A$1:$I$89,5,0)</f>
        <v>74.911200000000022</v>
      </c>
      <c r="FG48" s="14">
        <f t="shared" si="47"/>
        <v>20.888226917907243</v>
      </c>
      <c r="FH48" s="22">
        <f t="shared" si="22"/>
        <v>166.8506685486885</v>
      </c>
      <c r="FI48" s="62">
        <f t="shared" si="23"/>
        <v>418.47742609952263</v>
      </c>
      <c r="FJ48" s="62">
        <f ca="1">AVERAGE(OFFSET($FI$3,0,0,'Données projet'!$E$16+1,1))-AVERAGE(OFFSET($H$3,0,0,'Données projet'!$E$16+1,1))</f>
        <v>283.95543623515323</v>
      </c>
      <c r="FK48" s="62">
        <f t="shared" si="48"/>
        <v>196.96883829830929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5.6843418860808015E-14</v>
      </c>
      <c r="GA48" s="18">
        <f>FZ48*VLOOKUP('Données projet'!$B$17,Paramètres!$A$1:$I$89,3,0)*VLOOKUP('Données projet'!$B$17,Paramètres!$A$1:$I$89,5,0)</f>
        <v>3.3992364478763198E-14</v>
      </c>
      <c r="GB48" s="14">
        <f t="shared" si="49"/>
        <v>5.790027782444094E-13</v>
      </c>
      <c r="GC48" s="22">
        <f t="shared" si="25"/>
        <v>1.0676332069095257E-12</v>
      </c>
      <c r="GD48" s="62">
        <f t="shared" si="26"/>
        <v>251.62675755083521</v>
      </c>
      <c r="GE48" s="62">
        <f ca="1">AVERAGE(OFFSET($GD$3,0,0,'Données projet'!$E$17+1,1))-AVERAGE(OFFSET($H$3,0,0,'Données projet'!$E$17+1,1))</f>
        <v>223.57443551076992</v>
      </c>
      <c r="GF48" s="62">
        <f t="shared" si="50"/>
        <v>382.12751862619427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19.773733899601986</v>
      </c>
      <c r="GM48" s="23">
        <f>EXP(-LN(2)/25)*GM47+(1-EXP(-LN(2)/25))/(LN(2)/25)*Calculateur!GH48*Calculateur!GJ48*VLOOKUP('Données projet'!$B$17,Paramètres!$A$1:$I$89,3,0)*0.475*44/12</f>
        <v>9.1574589461633451</v>
      </c>
      <c r="GN48" s="23">
        <f>EXP(-LN(2)/2)*GN47+(1-EXP(-LN(2)/2))/(LN(2)/2)*GH48*GK48*VLOOKUP('Données projet'!$B$17,Paramètres!$A$1:$I$89,3,0)*0.475*44/12</f>
        <v>5.6002843169012495E-2</v>
      </c>
      <c r="GO48" s="23">
        <f t="shared" si="27"/>
        <v>28.987195688934342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3.6590249865060742</v>
      </c>
      <c r="GU48" s="13">
        <f>IF('Données projet'!$A$270&gt;35,GU47+GT48-HC47,IF(A48&lt;'Données projet'!$A$270,$GR$205^A48,IF(A48='Données projet'!$A$270,'Données projet'!$B$270,GU47+GT48-HC47)))</f>
        <v>124.88914019649937</v>
      </c>
      <c r="GV48" s="18">
        <f>GU48*VLOOKUP('Données projet'!$B$18,Paramètres!$A$1:$I$89,3,0)*VLOOKUP('Données projet'!$B$18,Paramètres!$A$1:$I$89,5,0)</f>
        <v>136.3789410945773</v>
      </c>
      <c r="GW48" s="14">
        <f t="shared" si="51"/>
        <v>35.466210843461809</v>
      </c>
      <c r="GX48" s="22">
        <f t="shared" si="28"/>
        <v>299.2969729587515</v>
      </c>
      <c r="GY48" s="62">
        <f t="shared" si="29"/>
        <v>550.92373050958565</v>
      </c>
      <c r="GZ48" s="62">
        <f ca="1">AVERAGE(OFFSET($GY$3,0,0,'Données projet'!$E$18+1,1))-AVERAGE(OFFSET($H$3,0,0,'Données projet'!$E$18+1,1))</f>
        <v>754.33260592777049</v>
      </c>
      <c r="HA48" s="62">
        <f t="shared" si="52"/>
        <v>250.97643915279005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9">
        <f t="shared" si="1"/>
        <v>183.33333333333334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621.77146851287125</v>
      </c>
      <c r="S49" s="62">
        <f ca="1">AVERAGE(OFFSET($R$3,0,0,'Données projet'!$E$9+1,1))-AVERAGE(OFFSET($H$3,0,0,'Données projet'!$E$9+1,1))</f>
        <v>550.39292625253665</v>
      </c>
      <c r="T49" s="62">
        <f t="shared" si="34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187.00000000000006</v>
      </c>
      <c r="AJ49" s="14">
        <f>AI49*VLOOKUP('Données projet'!$B$10,Paramètres!$A$1:$I$89,3,0)*VLOOKUP('Données projet'!$B$10,Paramètres!$A$1:$I$89,5,0)</f>
        <v>189.61800000000008</v>
      </c>
      <c r="AK49" s="14">
        <f t="shared" si="35"/>
        <v>47.455488185268543</v>
      </c>
      <c r="AL49" s="22">
        <f t="shared" si="4"/>
        <v>412.90299192267616</v>
      </c>
      <c r="AM49" s="62">
        <f t="shared" si="5"/>
        <v>665.25326532140184</v>
      </c>
      <c r="AN49" s="62">
        <f ca="1">AVERAGE(OFFSET($AM$3,0,0,'Données projet'!$E$10+1,1))-AVERAGE(OFFSET($H$3,0,0,'Données projet'!$E$10+1,1))</f>
        <v>606.55142836375308</v>
      </c>
      <c r="AO49" s="62">
        <f t="shared" si="36"/>
        <v>325.72635759450861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7.3076923076923039</v>
      </c>
      <c r="BD49" s="13">
        <f>IF('Données projet'!$A$88&gt;35,BD48+BC49-BL48,IF(A49&lt;'Données projet'!$A$88,$BA$205^A49,IF(A49='Données projet'!$A$88,'Données projet'!$B$88,BD48+BC49-BL48)))</f>
        <v>210.51282051282055</v>
      </c>
      <c r="BE49" s="14">
        <f>BD49*VLOOKUP('Données projet'!$B$11,Paramètres!$A$1:$I$89,3,0)*VLOOKUP('Données projet'!$B$11,Paramètres!$A$1:$I$89,5,0)</f>
        <v>220.02800000000008</v>
      </c>
      <c r="BF49" s="14">
        <f t="shared" si="37"/>
        <v>54.120971337177444</v>
      </c>
      <c r="BG49" s="22">
        <f t="shared" si="7"/>
        <v>477.47612507891745</v>
      </c>
      <c r="BH49" s="62">
        <f t="shared" si="8"/>
        <v>729.82639847764312</v>
      </c>
      <c r="BI49" s="62">
        <f ca="1">AVERAGE(OFFSET($BH$3,0,0,'Données projet'!$E$11+1,1))-AVERAGE(OFFSET($H$3,0,0,'Données projet'!$E$11+1,1))</f>
        <v>635.13577238794812</v>
      </c>
      <c r="BJ49" s="62">
        <f t="shared" si="38"/>
        <v>374.35810525172019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29.2</v>
      </c>
      <c r="BY49" s="13">
        <f>IF('Données projet'!$A$114&gt;35,BY48+BX49-CG48,IF(A49&lt;'Données projet'!$A$114,$BV$205^A49,IF(A49='Données projet'!$A$114,'Données projet'!$B$114,BY48+BX49-CG48)))</f>
        <v>727.20000000000016</v>
      </c>
      <c r="BZ49" s="14">
        <f>BY49*VLOOKUP('Données projet'!$B$12,Paramètres!$A$1:$I$89,3,0)*VLOOKUP('Données projet'!$B$12,Paramètres!$A$1:$I$89,5,0)</f>
        <v>321.4224000000001</v>
      </c>
      <c r="CA49" s="14">
        <f t="shared" si="39"/>
        <v>75.649235207697856</v>
      </c>
      <c r="CB49" s="22">
        <f t="shared" si="10"/>
        <v>691.56643132007378</v>
      </c>
      <c r="CC49" s="62">
        <f t="shared" si="11"/>
        <v>943.91670471879945</v>
      </c>
      <c r="CD49" s="62">
        <f ca="1">AVERAGE(OFFSET($CC$3,0,0,'Données projet'!$E$12+1,1))-AVERAGE(OFFSET($H$3,0,0,'Données projet'!$E$12+1,1))</f>
        <v>580.02817743695846</v>
      </c>
      <c r="CE49" s="62">
        <f t="shared" si="40"/>
        <v>551.23515633208865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11.443589743589742</v>
      </c>
      <c r="CT49" s="13">
        <f>IF('Données projet'!$A$140&gt;35,CT48+CS49-DB48,IF(A49&lt;'Données projet'!$A$140,$CQ$205^A49,IF(A49='Données projet'!$A$140,'Données projet'!$B$140,CT48+CS49-DB48)))</f>
        <v>330.35128205128217</v>
      </c>
      <c r="CU49" s="18">
        <f>CT49*VLOOKUP('Données projet'!$B$13,Paramètres!$A$1:$I$89,3,0)*VLOOKUP('Données projet'!$B$13,Paramètres!$A$1:$I$89,5,0)</f>
        <v>154.60440000000006</v>
      </c>
      <c r="CV49" s="14">
        <f t="shared" si="41"/>
        <v>39.623103715153171</v>
      </c>
      <c r="CW49" s="22">
        <f t="shared" si="13"/>
        <v>338.2795689705585</v>
      </c>
      <c r="CX49" s="62">
        <f t="shared" si="14"/>
        <v>590.62984236928412</v>
      </c>
      <c r="CY49" s="62">
        <f ca="1">AVERAGE(OFFSET($CX$3,0,0,'Données projet'!$E$13+1,1))-AVERAGE(OFFSET($H$3,0,0,'Données projet'!$E$13+1,1))</f>
        <v>321.05795935196863</v>
      </c>
      <c r="CZ49" s="62">
        <f t="shared" si="42"/>
        <v>209.59551322748908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187.00000000000006</v>
      </c>
      <c r="DP49" s="18">
        <f>DO49*VLOOKUP('Données projet'!$B$14,Paramètres!$A$1:$I$89,3,0)*VLOOKUP('Données projet'!$B$14,Paramètres!$A$1:$I$89,5,0)</f>
        <v>201.28680000000006</v>
      </c>
      <c r="DQ49" s="14">
        <f t="shared" si="43"/>
        <v>50.026861773677666</v>
      </c>
      <c r="DR49" s="22">
        <f t="shared" si="16"/>
        <v>437.70462758915534</v>
      </c>
      <c r="DS49" s="62">
        <f t="shared" si="17"/>
        <v>690.05490098788096</v>
      </c>
      <c r="DT49" s="62">
        <f ca="1">AVERAGE(OFFSET($DS$3,0,0,'Données projet'!$E$14+1,1))-AVERAGE(OFFSET($H$3,0,0,'Données projet'!$E$14+1,1))</f>
        <v>638.58602907610805</v>
      </c>
      <c r="DU49" s="62">
        <f t="shared" si="44"/>
        <v>341.9250949809848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5.6843418860808015E-14</v>
      </c>
      <c r="EK49" s="18">
        <f>EJ49*VLOOKUP('Données projet'!$B$15,Paramètres!$A$1:$I$89,3,0)*VLOOKUP('Données projet'!$B$15,Paramètres!$A$1:$I$89,5,0)</f>
        <v>3.3992364478763198E-14</v>
      </c>
      <c r="EL49" s="14">
        <f t="shared" si="45"/>
        <v>5.790027782444094E-13</v>
      </c>
      <c r="EM49" s="22">
        <f t="shared" si="19"/>
        <v>1.0676332069095257E-12</v>
      </c>
      <c r="EN49" s="62">
        <f t="shared" si="20"/>
        <v>252.35027339872673</v>
      </c>
      <c r="EO49" s="62">
        <f ca="1">AVERAGE(OFFSET($EN$3,0,0,'Données projet'!$E$15+1,1))-AVERAGE(OFFSET($H$3,0,0,'Données projet'!$E$15+1,1))</f>
        <v>223.57443551076992</v>
      </c>
      <c r="EP49" s="62">
        <f t="shared" si="46"/>
        <v>382.12751862619427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19.385983038617567</v>
      </c>
      <c r="EW49" s="23">
        <f>EXP(-LN(2)/25)*EW48+(1-EXP(-LN(2)/25))/(LN(2)/25)*Calculateur!ER49*Calculateur!ET49*VLOOKUP('Données projet'!$B$15,Paramètres!$A$1:$I$89,3,0)*0.475*44/12</f>
        <v>8.9070477497106726</v>
      </c>
      <c r="EX49" s="23">
        <f>EXP(-LN(2)/2)*EX48+(1-EXP(-LN(2)/2))/(LN(2)/2)*ER49*EU49*VLOOKUP('Données projet'!$B$15,Paramètres!$A$1:$I$89,3,0)*0.475*44/12</f>
        <v>3.9599990170535455E-2</v>
      </c>
      <c r="EY49" s="24">
        <f t="shared" si="21"/>
        <v>28.332630778498775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1.8720833333333331</v>
      </c>
      <c r="FE49" s="13">
        <f>IF('Données projet'!$A$218&gt;35,FE48+FD49-FM48,IF(A49&lt;'Données projet'!$A$218,$FB$205^A49,IF(A49='Données projet'!$A$218,'Données projet'!$B$218,FE48+FD49-FM48)))</f>
        <v>66.899166666666687</v>
      </c>
      <c r="FF49" s="18">
        <f>FE49*VLOOKUP('Données projet'!$B$16,Paramètres!$A$1:$I$89,3,0)*VLOOKUP('Données projet'!$B$16,Paramètres!$A$1:$I$89,5,0)</f>
        <v>77.067840000000018</v>
      </c>
      <c r="FG49" s="14">
        <f t="shared" si="47"/>
        <v>21.418705179130875</v>
      </c>
      <c r="FH49" s="22">
        <f t="shared" si="22"/>
        <v>171.53073285365295</v>
      </c>
      <c r="FI49" s="62">
        <f t="shared" si="23"/>
        <v>423.8810062523786</v>
      </c>
      <c r="FJ49" s="62">
        <f ca="1">AVERAGE(OFFSET($FI$3,0,0,'Données projet'!$E$16+1,1))-AVERAGE(OFFSET($H$3,0,0,'Données projet'!$E$16+1,1))</f>
        <v>283.95543623515323</v>
      </c>
      <c r="FK49" s="62">
        <f t="shared" si="48"/>
        <v>196.96883829830929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5.6843418860808015E-14</v>
      </c>
      <c r="GA49" s="18">
        <f>FZ49*VLOOKUP('Données projet'!$B$17,Paramètres!$A$1:$I$89,3,0)*VLOOKUP('Données projet'!$B$17,Paramètres!$A$1:$I$89,5,0)</f>
        <v>3.3992364478763198E-14</v>
      </c>
      <c r="GB49" s="14">
        <f t="shared" si="49"/>
        <v>5.790027782444094E-13</v>
      </c>
      <c r="GC49" s="22">
        <f t="shared" si="25"/>
        <v>1.0676332069095257E-12</v>
      </c>
      <c r="GD49" s="62">
        <f t="shared" si="26"/>
        <v>252.35027339872673</v>
      </c>
      <c r="GE49" s="62">
        <f ca="1">AVERAGE(OFFSET($GD$3,0,0,'Données projet'!$E$17+1,1))-AVERAGE(OFFSET($H$3,0,0,'Données projet'!$E$17+1,1))</f>
        <v>223.57443551076992</v>
      </c>
      <c r="GF49" s="62">
        <f t="shared" si="50"/>
        <v>382.12751862619427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19.385983038617567</v>
      </c>
      <c r="GM49" s="23">
        <f>EXP(-LN(2)/25)*GM48+(1-EXP(-LN(2)/25))/(LN(2)/25)*Calculateur!GH49*Calculateur!GJ49*VLOOKUP('Données projet'!$B$17,Paramètres!$A$1:$I$89,3,0)*0.475*44/12</f>
        <v>8.9070477497106726</v>
      </c>
      <c r="GN49" s="23">
        <f>EXP(-LN(2)/2)*GN48+(1-EXP(-LN(2)/2))/(LN(2)/2)*GH49*GK49*VLOOKUP('Données projet'!$B$17,Paramètres!$A$1:$I$89,3,0)*0.475*44/12</f>
        <v>3.9599990170535455E-2</v>
      </c>
      <c r="GO49" s="23">
        <f t="shared" si="27"/>
        <v>28.332630778498775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3.6590249865060742</v>
      </c>
      <c r="GU49" s="13">
        <f>IF('Données projet'!$A$270&gt;35,GU48+GT49-HC48,IF(A49&lt;'Données projet'!$A$270,$GR$205^A49,IF(A49='Données projet'!$A$270,'Données projet'!$B$270,GU48+GT49-HC48)))</f>
        <v>128.54816518300544</v>
      </c>
      <c r="GV49" s="18">
        <f>GU49*VLOOKUP('Données projet'!$B$18,Paramètres!$A$1:$I$89,3,0)*VLOOKUP('Données projet'!$B$18,Paramètres!$A$1:$I$89,5,0)</f>
        <v>140.37459637984193</v>
      </c>
      <c r="GW49" s="14">
        <f t="shared" si="51"/>
        <v>36.382806915151114</v>
      </c>
      <c r="GX49" s="22">
        <f t="shared" si="28"/>
        <v>307.85247740544622</v>
      </c>
      <c r="GY49" s="62">
        <f t="shared" si="29"/>
        <v>560.20275080417184</v>
      </c>
      <c r="GZ49" s="62">
        <f ca="1">AVERAGE(OFFSET($GY$3,0,0,'Données projet'!$E$18+1,1))-AVERAGE(OFFSET($H$3,0,0,'Données projet'!$E$18+1,1))</f>
        <v>754.33260592777049</v>
      </c>
      <c r="HA49" s="62">
        <f t="shared" si="52"/>
        <v>250.97643915279005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9">
        <f t="shared" si="1"/>
        <v>183.33333333333334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550.39292625253665</v>
      </c>
      <c r="T50" s="62">
        <f t="shared" si="34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198.00000000000006</v>
      </c>
      <c r="AJ50" s="14">
        <f>AI50*VLOOKUP('Données projet'!$B$10,Paramètres!$A$1:$I$89,3,0)*VLOOKUP('Données projet'!$B$10,Paramètres!$A$1:$I$89,5,0)</f>
        <v>200.77200000000008</v>
      </c>
      <c r="AK50" s="14">
        <f t="shared" si="35"/>
        <v>49.913791898945412</v>
      </c>
      <c r="AL50" s="22">
        <f t="shared" si="4"/>
        <v>436.61108755732999</v>
      </c>
      <c r="AM50" s="62">
        <f t="shared" si="5"/>
        <v>689.67232542152533</v>
      </c>
      <c r="AN50" s="62">
        <f ca="1">AVERAGE(OFFSET($AM$3,0,0,'Données projet'!$E$10+1,1))-AVERAGE(OFFSET($H$3,0,0,'Données projet'!$E$10+1,1))</f>
        <v>606.55142836375308</v>
      </c>
      <c r="AO50" s="62">
        <f t="shared" si="36"/>
        <v>325.72635759450861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7.3076923076923039</v>
      </c>
      <c r="BD50" s="13">
        <f>IF('Données projet'!$A$88&gt;35,BD49+BC50-BL49,IF(A50&lt;'Données projet'!$A$88,$BA$205^A50,IF(A50='Données projet'!$A$88,'Données projet'!$B$88,BD49+BC50-BL49)))</f>
        <v>217.82051282051285</v>
      </c>
      <c r="BE50" s="14">
        <f>BD50*VLOOKUP('Données projet'!$B$11,Paramètres!$A$1:$I$89,3,0)*VLOOKUP('Données projet'!$B$11,Paramètres!$A$1:$I$89,5,0)</f>
        <v>227.66600000000005</v>
      </c>
      <c r="BF50" s="14">
        <f t="shared" si="37"/>
        <v>55.777716973441237</v>
      </c>
      <c r="BG50" s="22">
        <f t="shared" si="7"/>
        <v>493.66447372874353</v>
      </c>
      <c r="BH50" s="62">
        <f t="shared" si="8"/>
        <v>746.72571159293898</v>
      </c>
      <c r="BI50" s="62">
        <f ca="1">AVERAGE(OFFSET($BH$3,0,0,'Données projet'!$E$11+1,1))-AVERAGE(OFFSET($H$3,0,0,'Données projet'!$E$11+1,1))</f>
        <v>635.13577238794812</v>
      </c>
      <c r="BJ50" s="62">
        <f t="shared" si="38"/>
        <v>374.35810525172019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29.2</v>
      </c>
      <c r="BY50" s="13">
        <f>IF('Données projet'!$A$114&gt;35,BY49+BX50-CG49,IF(A50&lt;'Données projet'!$A$114,$BV$205^A50,IF(A50='Données projet'!$A$114,'Données projet'!$B$114,BY49+BX50-CG49)))</f>
        <v>756.4000000000002</v>
      </c>
      <c r="BZ50" s="14">
        <f>BY50*VLOOKUP('Données projet'!$B$12,Paramètres!$A$1:$I$89,3,0)*VLOOKUP('Données projet'!$B$12,Paramètres!$A$1:$I$89,5,0)</f>
        <v>334.32880000000017</v>
      </c>
      <c r="CA50" s="14">
        <f t="shared" si="39"/>
        <v>78.327096008145631</v>
      </c>
      <c r="CB50" s="22">
        <f t="shared" si="10"/>
        <v>718.70901888085393</v>
      </c>
      <c r="CC50" s="62">
        <f t="shared" si="11"/>
        <v>971.77025674504932</v>
      </c>
      <c r="CD50" s="62">
        <f ca="1">AVERAGE(OFFSET($CC$3,0,0,'Données projet'!$E$12+1,1))-AVERAGE(OFFSET($H$3,0,0,'Données projet'!$E$12+1,1))</f>
        <v>580.02817743695846</v>
      </c>
      <c r="CE50" s="62">
        <f t="shared" si="40"/>
        <v>551.23515633208865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11.443589743589742</v>
      </c>
      <c r="CT50" s="13">
        <f>IF('Données projet'!$A$140&gt;35,CT49+CS50-DB49,IF(A50&lt;'Données projet'!$A$140,$CQ$205^A50,IF(A50='Données projet'!$A$140,'Données projet'!$B$140,CT49+CS50-DB49)))</f>
        <v>341.79487179487194</v>
      </c>
      <c r="CU50" s="18">
        <f>CT50*VLOOKUP('Données projet'!$B$13,Paramètres!$A$1:$I$89,3,0)*VLOOKUP('Données projet'!$B$13,Paramètres!$A$1:$I$89,5,0)</f>
        <v>159.96000000000006</v>
      </c>
      <c r="CV50" s="14">
        <f t="shared" si="41"/>
        <v>40.833493163758575</v>
      </c>
      <c r="CW50" s="22">
        <f t="shared" si="13"/>
        <v>349.71533392687957</v>
      </c>
      <c r="CX50" s="62">
        <f t="shared" si="14"/>
        <v>602.77657179107496</v>
      </c>
      <c r="CY50" s="62">
        <f ca="1">AVERAGE(OFFSET($CX$3,0,0,'Données projet'!$E$13+1,1))-AVERAGE(OFFSET($H$3,0,0,'Données projet'!$E$13+1,1))</f>
        <v>321.05795935196863</v>
      </c>
      <c r="CZ50" s="62">
        <f t="shared" si="42"/>
        <v>209.59551322748908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198.00000000000006</v>
      </c>
      <c r="DP50" s="18">
        <f>DO50*VLOOKUP('Données projet'!$B$14,Paramètres!$A$1:$I$89,3,0)*VLOOKUP('Données projet'!$B$14,Paramètres!$A$1:$I$89,5,0)</f>
        <v>213.12720000000004</v>
      </c>
      <c r="DQ50" s="14">
        <f t="shared" si="43"/>
        <v>52.618368568459893</v>
      </c>
      <c r="DR50" s="22">
        <f t="shared" si="16"/>
        <v>462.8401985900677</v>
      </c>
      <c r="DS50" s="62">
        <f t="shared" si="17"/>
        <v>715.90143645426315</v>
      </c>
      <c r="DT50" s="62">
        <f ca="1">AVERAGE(OFFSET($DS$3,0,0,'Données projet'!$E$14+1,1))-AVERAGE(OFFSET($H$3,0,0,'Données projet'!$E$14+1,1))</f>
        <v>638.58602907610805</v>
      </c>
      <c r="DU50" s="62">
        <f t="shared" si="44"/>
        <v>341.9250949809848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5.6843418860808015E-14</v>
      </c>
      <c r="EK50" s="18">
        <f>EJ50*VLOOKUP('Données projet'!$B$15,Paramètres!$A$1:$I$89,3,0)*VLOOKUP('Données projet'!$B$15,Paramètres!$A$1:$I$89,5,0)</f>
        <v>3.3992364478763198E-14</v>
      </c>
      <c r="EL50" s="14">
        <f t="shared" si="45"/>
        <v>5.790027782444094E-13</v>
      </c>
      <c r="EM50" s="22">
        <f t="shared" si="19"/>
        <v>1.0676332069095257E-12</v>
      </c>
      <c r="EN50" s="62">
        <f t="shared" si="20"/>
        <v>253.06123786419647</v>
      </c>
      <c r="EO50" s="62">
        <f ca="1">AVERAGE(OFFSET($EN$3,0,0,'Données projet'!$E$15+1,1))-AVERAGE(OFFSET($H$3,0,0,'Données projet'!$E$15+1,1))</f>
        <v>223.57443551076992</v>
      </c>
      <c r="EP50" s="62">
        <f t="shared" si="46"/>
        <v>382.12751862619427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19.005835735512381</v>
      </c>
      <c r="EW50" s="23">
        <f>EXP(-LN(2)/25)*EW49+(1-EXP(-LN(2)/25))/(LN(2)/25)*Calculateur!ER50*Calculateur!ET50*VLOOKUP('Données projet'!$B$15,Paramètres!$A$1:$I$89,3,0)*0.475*44/12</f>
        <v>8.6634840605935501</v>
      </c>
      <c r="EX50" s="23">
        <f>EXP(-LN(2)/2)*EX49+(1-EXP(-LN(2)/2))/(LN(2)/2)*ER50*EU50*VLOOKUP('Données projet'!$B$15,Paramètres!$A$1:$I$89,3,0)*0.475*44/12</f>
        <v>2.8001421584506248E-2</v>
      </c>
      <c r="EY50" s="24">
        <f t="shared" si="21"/>
        <v>27.697321217690437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1.8720833333333331</v>
      </c>
      <c r="FE50" s="13">
        <f>IF('Données projet'!$A$218&gt;35,FE49+FD50-FM49,IF(A50&lt;'Données projet'!$A$218,$FB$205^A50,IF(A50='Données projet'!$A$218,'Données projet'!$B$218,FE49+FD50-FM49)))</f>
        <v>68.771250000000023</v>
      </c>
      <c r="FF50" s="18">
        <f>FE50*VLOOKUP('Données projet'!$B$16,Paramètres!$A$1:$I$89,3,0)*VLOOKUP('Données projet'!$B$16,Paramètres!$A$1:$I$89,5,0)</f>
        <v>79.224480000000028</v>
      </c>
      <c r="FG50" s="14">
        <f t="shared" si="47"/>
        <v>21.947458087932979</v>
      </c>
      <c r="FH50" s="22">
        <f t="shared" si="22"/>
        <v>176.20779216981666</v>
      </c>
      <c r="FI50" s="62">
        <f t="shared" si="23"/>
        <v>429.26903003401208</v>
      </c>
      <c r="FJ50" s="62">
        <f ca="1">AVERAGE(OFFSET($FI$3,0,0,'Données projet'!$E$16+1,1))-AVERAGE(OFFSET($H$3,0,0,'Données projet'!$E$16+1,1))</f>
        <v>283.95543623515323</v>
      </c>
      <c r="FK50" s="62">
        <f t="shared" si="48"/>
        <v>196.96883829830929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5.6843418860808015E-14</v>
      </c>
      <c r="GA50" s="18">
        <f>FZ50*VLOOKUP('Données projet'!$B$17,Paramètres!$A$1:$I$89,3,0)*VLOOKUP('Données projet'!$B$17,Paramètres!$A$1:$I$89,5,0)</f>
        <v>3.3992364478763198E-14</v>
      </c>
      <c r="GB50" s="14">
        <f t="shared" si="49"/>
        <v>5.790027782444094E-13</v>
      </c>
      <c r="GC50" s="22">
        <f t="shared" si="25"/>
        <v>1.0676332069095257E-12</v>
      </c>
      <c r="GD50" s="62">
        <f t="shared" si="26"/>
        <v>253.06123786419647</v>
      </c>
      <c r="GE50" s="62">
        <f ca="1">AVERAGE(OFFSET($GD$3,0,0,'Données projet'!$E$17+1,1))-AVERAGE(OFFSET($H$3,0,0,'Données projet'!$E$17+1,1))</f>
        <v>223.57443551076992</v>
      </c>
      <c r="GF50" s="62">
        <f t="shared" si="50"/>
        <v>382.12751862619427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19.005835735512381</v>
      </c>
      <c r="GM50" s="23">
        <f>EXP(-LN(2)/25)*GM49+(1-EXP(-LN(2)/25))/(LN(2)/25)*Calculateur!GH50*Calculateur!GJ50*VLOOKUP('Données projet'!$B$17,Paramètres!$A$1:$I$89,3,0)*0.475*44/12</f>
        <v>8.6634840605935501</v>
      </c>
      <c r="GN50" s="23">
        <f>EXP(-LN(2)/2)*GN49+(1-EXP(-LN(2)/2))/(LN(2)/2)*GH50*GK50*VLOOKUP('Données projet'!$B$17,Paramètres!$A$1:$I$89,3,0)*0.475*44/12</f>
        <v>2.8001421584506248E-2</v>
      </c>
      <c r="GO50" s="23">
        <f t="shared" si="27"/>
        <v>27.697321217690437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3.6590249865060742</v>
      </c>
      <c r="GU50" s="13">
        <f>IF('Données projet'!$A$270&gt;35,GU49+GT50-HC49,IF(A50&lt;'Données projet'!$A$270,$GR$205^A50,IF(A50='Données projet'!$A$270,'Données projet'!$B$270,GU49+GT50-HC49)))</f>
        <v>132.20719016951151</v>
      </c>
      <c r="GV50" s="18">
        <f>GU50*VLOOKUP('Données projet'!$B$18,Paramètres!$A$1:$I$89,3,0)*VLOOKUP('Données projet'!$B$18,Paramètres!$A$1:$I$89,5,0)</f>
        <v>144.37025166510657</v>
      </c>
      <c r="GW50" s="14">
        <f t="shared" si="51"/>
        <v>37.296370679791437</v>
      </c>
      <c r="GX50" s="22">
        <f t="shared" si="28"/>
        <v>316.4027005840307</v>
      </c>
      <c r="GY50" s="62">
        <f t="shared" si="29"/>
        <v>569.46393844822614</v>
      </c>
      <c r="GZ50" s="62">
        <f ca="1">AVERAGE(OFFSET($GY$3,0,0,'Données projet'!$E$18+1,1))-AVERAGE(OFFSET($H$3,0,0,'Données projet'!$E$18+1,1))</f>
        <v>754.33260592777049</v>
      </c>
      <c r="HA50" s="62">
        <f t="shared" si="52"/>
        <v>250.97643915279005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9">
        <f t="shared" si="1"/>
        <v>183.33333333333334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665.5679450643554</v>
      </c>
      <c r="S51" s="62">
        <f ca="1">AVERAGE(OFFSET($R$3,0,0,'Données projet'!$E$9+1,1))-AVERAGE(OFFSET($H$3,0,0,'Données projet'!$E$9+1,1))</f>
        <v>550.39292625253665</v>
      </c>
      <c r="T51" s="62">
        <f t="shared" si="34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209.00000000000006</v>
      </c>
      <c r="AJ51" s="14">
        <f>AI51*VLOOKUP('Données projet'!$B$10,Paramètres!$A$1:$I$89,3,0)*VLOOKUP('Données projet'!$B$10,Paramètres!$A$1:$I$89,5,0)</f>
        <v>211.92600000000007</v>
      </c>
      <c r="AK51" s="14">
        <f t="shared" si="35"/>
        <v>52.356241262970165</v>
      </c>
      <c r="AL51" s="22">
        <f t="shared" si="4"/>
        <v>460.29157019967312</v>
      </c>
      <c r="AM51" s="62">
        <f t="shared" si="5"/>
        <v>714.05143888534076</v>
      </c>
      <c r="AN51" s="62">
        <f ca="1">AVERAGE(OFFSET($AM$3,0,0,'Données projet'!$E$10+1,1))-AVERAGE(OFFSET($H$3,0,0,'Données projet'!$E$10+1,1))</f>
        <v>606.55142836375308</v>
      </c>
      <c r="AO51" s="62">
        <f t="shared" si="36"/>
        <v>325.72635759450861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7.3076923076923039</v>
      </c>
      <c r="BD51" s="13">
        <f>IF('Données projet'!$A$88&gt;35,BD50+BC51-BL50,IF(A51&lt;'Données projet'!$A$88,$BA$205^A51,IF(A51='Données projet'!$A$88,'Données projet'!$B$88,BD50+BC51-BL50)))</f>
        <v>225.12820512820514</v>
      </c>
      <c r="BE51" s="14">
        <f>BD51*VLOOKUP('Données projet'!$B$11,Paramètres!$A$1:$I$89,3,0)*VLOOKUP('Données projet'!$B$11,Paramètres!$A$1:$I$89,5,0)</f>
        <v>235.30400000000006</v>
      </c>
      <c r="BF51" s="14">
        <f t="shared" si="37"/>
        <v>57.428004154417408</v>
      </c>
      <c r="BG51" s="22">
        <f t="shared" si="7"/>
        <v>509.8415739022771</v>
      </c>
      <c r="BH51" s="62">
        <f t="shared" si="8"/>
        <v>763.6014425879448</v>
      </c>
      <c r="BI51" s="62">
        <f ca="1">AVERAGE(OFFSET($BH$3,0,0,'Données projet'!$E$11+1,1))-AVERAGE(OFFSET($H$3,0,0,'Données projet'!$E$11+1,1))</f>
        <v>635.13577238794812</v>
      </c>
      <c r="BJ51" s="62">
        <f t="shared" si="38"/>
        <v>374.35810525172019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29.2</v>
      </c>
      <c r="BY51" s="13">
        <f>IF('Données projet'!$A$114&gt;35,BY50+BX51-CG50,IF(A51&lt;'Données projet'!$A$114,$BV$205^A51,IF(A51='Données projet'!$A$114,'Données projet'!$B$114,BY50+BX51-CG50)))</f>
        <v>785.60000000000025</v>
      </c>
      <c r="BZ51" s="14">
        <f>BY51*VLOOKUP('Données projet'!$B$12,Paramètres!$A$1:$I$89,3,0)*VLOOKUP('Données projet'!$B$12,Paramètres!$A$1:$I$89,5,0)</f>
        <v>347.23520000000013</v>
      </c>
      <c r="CA51" s="14">
        <f t="shared" si="39"/>
        <v>80.992947697252987</v>
      </c>
      <c r="CB51" s="22">
        <f t="shared" si="10"/>
        <v>745.83069057271587</v>
      </c>
      <c r="CC51" s="62">
        <f t="shared" si="11"/>
        <v>999.59055925838356</v>
      </c>
      <c r="CD51" s="62">
        <f ca="1">AVERAGE(OFFSET($CC$3,0,0,'Données projet'!$E$12+1,1))-AVERAGE(OFFSET($H$3,0,0,'Données projet'!$E$12+1,1))</f>
        <v>580.02817743695846</v>
      </c>
      <c r="CE51" s="62">
        <f t="shared" si="40"/>
        <v>551.23515633208865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11.443589743589742</v>
      </c>
      <c r="CT51" s="13">
        <f>IF('Données projet'!$A$140&gt;35,CT50+CS51-DB50,IF(A51&lt;'Données projet'!$A$140,$CQ$205^A51,IF(A51='Données projet'!$A$140,'Données projet'!$B$140,CT50+CS51-DB50)))</f>
        <v>353.23846153846171</v>
      </c>
      <c r="CU51" s="18">
        <f>CT51*VLOOKUP('Données projet'!$B$13,Paramètres!$A$1:$I$89,3,0)*VLOOKUP('Données projet'!$B$13,Paramètres!$A$1:$I$89,5,0)</f>
        <v>165.31560000000007</v>
      </c>
      <c r="CV51" s="14">
        <f t="shared" si="41"/>
        <v>42.039173765288623</v>
      </c>
      <c r="CW51" s="22">
        <f t="shared" si="13"/>
        <v>361.14289764121116</v>
      </c>
      <c r="CX51" s="62">
        <f t="shared" si="14"/>
        <v>614.90276632687892</v>
      </c>
      <c r="CY51" s="62">
        <f ca="1">AVERAGE(OFFSET($CX$3,0,0,'Données projet'!$E$13+1,1))-AVERAGE(OFFSET($H$3,0,0,'Données projet'!$E$13+1,1))</f>
        <v>321.05795935196863</v>
      </c>
      <c r="CZ51" s="62">
        <f t="shared" si="42"/>
        <v>209.59551322748908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209.00000000000006</v>
      </c>
      <c r="DP51" s="18">
        <f>DO51*VLOOKUP('Données projet'!$B$14,Paramètres!$A$1:$I$89,3,0)*VLOOKUP('Données projet'!$B$14,Paramètres!$A$1:$I$89,5,0)</f>
        <v>224.96760000000006</v>
      </c>
      <c r="DQ51" s="14">
        <f t="shared" si="43"/>
        <v>55.193161946335238</v>
      </c>
      <c r="DR51" s="22">
        <f t="shared" si="16"/>
        <v>487.94666038986725</v>
      </c>
      <c r="DS51" s="62">
        <f t="shared" si="17"/>
        <v>741.70652907553495</v>
      </c>
      <c r="DT51" s="62">
        <f ca="1">AVERAGE(OFFSET($DS$3,0,0,'Données projet'!$E$14+1,1))-AVERAGE(OFFSET($H$3,0,0,'Données projet'!$E$14+1,1))</f>
        <v>638.58602907610805</v>
      </c>
      <c r="DU51" s="62">
        <f t="shared" si="44"/>
        <v>341.9250949809848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5.6843418860808015E-14</v>
      </c>
      <c r="EK51" s="18">
        <f>EJ51*VLOOKUP('Données projet'!$B$15,Paramètres!$A$1:$I$89,3,0)*VLOOKUP('Données projet'!$B$15,Paramètres!$A$1:$I$89,5,0)</f>
        <v>3.3992364478763198E-14</v>
      </c>
      <c r="EL51" s="14">
        <f t="shared" si="45"/>
        <v>5.790027782444094E-13</v>
      </c>
      <c r="EM51" s="22">
        <f t="shared" si="19"/>
        <v>1.0676332069095257E-12</v>
      </c>
      <c r="EN51" s="62">
        <f t="shared" si="20"/>
        <v>253.75986868566878</v>
      </c>
      <c r="EO51" s="62">
        <f ca="1">AVERAGE(OFFSET($EN$3,0,0,'Données projet'!$E$15+1,1))-AVERAGE(OFFSET($H$3,0,0,'Données projet'!$E$15+1,1))</f>
        <v>223.57443551076992</v>
      </c>
      <c r="EP51" s="62">
        <f t="shared" si="46"/>
        <v>382.12751862619427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18.633142889154126</v>
      </c>
      <c r="EW51" s="23">
        <f>EXP(-LN(2)/25)*EW50+(1-EXP(-LN(2)/25))/(LN(2)/25)*Calculateur!ER51*Calculateur!ET51*VLOOKUP('Données projet'!$B$15,Paramètres!$A$1:$I$89,3,0)*0.475*44/12</f>
        <v>8.4265806333637929</v>
      </c>
      <c r="EX51" s="23">
        <f>EXP(-LN(2)/2)*EX50+(1-EXP(-LN(2)/2))/(LN(2)/2)*ER51*EU51*VLOOKUP('Données projet'!$B$15,Paramètres!$A$1:$I$89,3,0)*0.475*44/12</f>
        <v>1.9799995085267728E-2</v>
      </c>
      <c r="EY51" s="24">
        <f t="shared" si="21"/>
        <v>27.079523517603189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1.8720833333333331</v>
      </c>
      <c r="FE51" s="13">
        <f>IF('Données projet'!$A$218&gt;35,FE50+FD51-FM50,IF(A51&lt;'Données projet'!$A$218,$FB$205^A51,IF(A51='Données projet'!$A$218,'Données projet'!$B$218,FE50+FD51-FM50)))</f>
        <v>70.643333333333359</v>
      </c>
      <c r="FF51" s="18">
        <f>FE51*VLOOKUP('Données projet'!$B$16,Paramètres!$A$1:$I$89,3,0)*VLOOKUP('Données projet'!$B$16,Paramètres!$A$1:$I$89,5,0)</f>
        <v>81.381120000000024</v>
      </c>
      <c r="FG51" s="14">
        <f t="shared" si="47"/>
        <v>22.474538008777976</v>
      </c>
      <c r="FH51" s="22">
        <f t="shared" si="22"/>
        <v>180.88193769862167</v>
      </c>
      <c r="FI51" s="62">
        <f t="shared" si="23"/>
        <v>434.64180638428934</v>
      </c>
      <c r="FJ51" s="62">
        <f ca="1">AVERAGE(OFFSET($FI$3,0,0,'Données projet'!$E$16+1,1))-AVERAGE(OFFSET($H$3,0,0,'Données projet'!$E$16+1,1))</f>
        <v>283.95543623515323</v>
      </c>
      <c r="FK51" s="62">
        <f t="shared" si="48"/>
        <v>196.96883829830929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5.6843418860808015E-14</v>
      </c>
      <c r="GA51" s="18">
        <f>FZ51*VLOOKUP('Données projet'!$B$17,Paramètres!$A$1:$I$89,3,0)*VLOOKUP('Données projet'!$B$17,Paramètres!$A$1:$I$89,5,0)</f>
        <v>3.3992364478763198E-14</v>
      </c>
      <c r="GB51" s="14">
        <f t="shared" si="49"/>
        <v>5.790027782444094E-13</v>
      </c>
      <c r="GC51" s="22">
        <f t="shared" si="25"/>
        <v>1.0676332069095257E-12</v>
      </c>
      <c r="GD51" s="62">
        <f t="shared" si="26"/>
        <v>253.75986868566878</v>
      </c>
      <c r="GE51" s="62">
        <f ca="1">AVERAGE(OFFSET($GD$3,0,0,'Données projet'!$E$17+1,1))-AVERAGE(OFFSET($H$3,0,0,'Données projet'!$E$17+1,1))</f>
        <v>223.57443551076992</v>
      </c>
      <c r="GF51" s="62">
        <f t="shared" si="50"/>
        <v>382.12751862619427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18.633142889154126</v>
      </c>
      <c r="GM51" s="23">
        <f>EXP(-LN(2)/25)*GM50+(1-EXP(-LN(2)/25))/(LN(2)/25)*Calculateur!GH51*Calculateur!GJ51*VLOOKUP('Données projet'!$B$17,Paramètres!$A$1:$I$89,3,0)*0.475*44/12</f>
        <v>8.4265806333637929</v>
      </c>
      <c r="GN51" s="23">
        <f>EXP(-LN(2)/2)*GN50+(1-EXP(-LN(2)/2))/(LN(2)/2)*GH51*GK51*VLOOKUP('Données projet'!$B$17,Paramètres!$A$1:$I$89,3,0)*0.475*44/12</f>
        <v>1.9799995085267728E-2</v>
      </c>
      <c r="GO51" s="23">
        <f t="shared" si="27"/>
        <v>27.079523517603189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3.6590249865060742</v>
      </c>
      <c r="GU51" s="13">
        <f>IF('Données projet'!$A$270&gt;35,GU50+GT51-HC50,IF(A51&lt;'Données projet'!$A$270,$GR$205^A51,IF(A51='Données projet'!$A$270,'Données projet'!$B$270,GU50+GT51-HC50)))</f>
        <v>135.86621515601757</v>
      </c>
      <c r="GV51" s="18">
        <f>GU51*VLOOKUP('Données projet'!$B$18,Paramètres!$A$1:$I$89,3,0)*VLOOKUP('Données projet'!$B$18,Paramètres!$A$1:$I$89,5,0)</f>
        <v>148.3659069503712</v>
      </c>
      <c r="GW51" s="14">
        <f t="shared" si="51"/>
        <v>38.206995702995243</v>
      </c>
      <c r="GX51" s="22">
        <f t="shared" si="28"/>
        <v>324.94780545461322</v>
      </c>
      <c r="GY51" s="62">
        <f t="shared" si="29"/>
        <v>578.70767414028091</v>
      </c>
      <c r="GZ51" s="62">
        <f ca="1">AVERAGE(OFFSET($GY$3,0,0,'Données projet'!$E$18+1,1))-AVERAGE(OFFSET($H$3,0,0,'Données projet'!$E$18+1,1))</f>
        <v>754.33260592777049</v>
      </c>
      <c r="HA51" s="62">
        <f t="shared" si="52"/>
        <v>250.97643915279005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9">
        <f t="shared" si="1"/>
        <v>183.33333333333334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687.41190843518427</v>
      </c>
      <c r="S52" s="62">
        <f ca="1">AVERAGE(OFFSET($R$3,0,0,'Données projet'!$E$9+1,1))-AVERAGE(OFFSET($H$3,0,0,'Données projet'!$E$9+1,1))</f>
        <v>550.39292625253665</v>
      </c>
      <c r="T52" s="62">
        <f t="shared" si="34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220.00000000000006</v>
      </c>
      <c r="AJ52" s="14">
        <f>AI52*VLOOKUP('Données projet'!$B$10,Paramètres!$A$1:$I$89,3,0)*VLOOKUP('Données projet'!$B$10,Paramètres!$A$1:$I$89,5,0)</f>
        <v>223.08000000000004</v>
      </c>
      <c r="AK52" s="14">
        <f t="shared" si="35"/>
        <v>54.783765878062667</v>
      </c>
      <c r="AL52" s="22">
        <f t="shared" si="4"/>
        <v>483.94605890429256</v>
      </c>
      <c r="AM52" s="62">
        <f t="shared" si="5"/>
        <v>738.39243872858447</v>
      </c>
      <c r="AN52" s="62">
        <f ca="1">AVERAGE(OFFSET($AM$3,0,0,'Données projet'!$E$10+1,1))-AVERAGE(OFFSET($H$3,0,0,'Données projet'!$E$10+1,1))</f>
        <v>606.55142836375308</v>
      </c>
      <c r="AO52" s="62">
        <f t="shared" si="36"/>
        <v>325.72635759450861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7.3076923076923039</v>
      </c>
      <c r="BD52" s="13">
        <f>IF('Données projet'!$A$88&gt;35,BD51+BC52-BL51,IF(A52&lt;'Données projet'!$A$88,$BA$205^A52,IF(A52='Données projet'!$A$88,'Données projet'!$B$88,BD51+BC52-BL51)))</f>
        <v>232.43589743589743</v>
      </c>
      <c r="BE52" s="14">
        <f>BD52*VLOOKUP('Données projet'!$B$11,Paramètres!$A$1:$I$89,3,0)*VLOOKUP('Données projet'!$B$11,Paramètres!$A$1:$I$89,5,0)</f>
        <v>242.94200000000001</v>
      </c>
      <c r="BF52" s="14">
        <f t="shared" si="37"/>
        <v>59.072066566538105</v>
      </c>
      <c r="BG52" s="22">
        <f t="shared" si="7"/>
        <v>526.00783260338721</v>
      </c>
      <c r="BH52" s="62">
        <f t="shared" si="8"/>
        <v>780.45421242767918</v>
      </c>
      <c r="BI52" s="62">
        <f ca="1">AVERAGE(OFFSET($BH$3,0,0,'Données projet'!$E$11+1,1))-AVERAGE(OFFSET($H$3,0,0,'Données projet'!$E$11+1,1))</f>
        <v>635.13577238794812</v>
      </c>
      <c r="BJ52" s="62">
        <f t="shared" si="38"/>
        <v>374.35810525172019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29.2</v>
      </c>
      <c r="BY52" s="13">
        <f>IF('Données projet'!$A$114&gt;35,BY51+BX52-CG51,IF(A52&lt;'Données projet'!$A$114,$BV$205^A52,IF(A52='Données projet'!$A$114,'Données projet'!$B$114,BY51+BX52-CG51)))</f>
        <v>814.8000000000003</v>
      </c>
      <c r="BZ52" s="14">
        <f>BY52*VLOOKUP('Données projet'!$B$12,Paramètres!$A$1:$I$89,3,0)*VLOOKUP('Données projet'!$B$12,Paramètres!$A$1:$I$89,5,0)</f>
        <v>360.14160000000015</v>
      </c>
      <c r="CA52" s="14">
        <f t="shared" si="39"/>
        <v>83.647287755994995</v>
      </c>
      <c r="CB52" s="22">
        <f t="shared" si="10"/>
        <v>772.93231284169144</v>
      </c>
      <c r="CC52" s="62">
        <f t="shared" si="11"/>
        <v>1027.3786926659834</v>
      </c>
      <c r="CD52" s="62">
        <f ca="1">AVERAGE(OFFSET($CC$3,0,0,'Données projet'!$E$12+1,1))-AVERAGE(OFFSET($H$3,0,0,'Données projet'!$E$12+1,1))</f>
        <v>580.02817743695846</v>
      </c>
      <c r="CE52" s="62">
        <f t="shared" si="40"/>
        <v>551.23515633208865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11.443589743589742</v>
      </c>
      <c r="CT52" s="13">
        <f>IF('Données projet'!$A$140&gt;35,CT51+CS52-DB51,IF(A52&lt;'Données projet'!$A$140,$CQ$205^A52,IF(A52='Données projet'!$A$140,'Données projet'!$B$140,CT51+CS52-DB51)))</f>
        <v>364.68205128205148</v>
      </c>
      <c r="CU52" s="18">
        <f>CT52*VLOOKUP('Données projet'!$B$13,Paramètres!$A$1:$I$89,3,0)*VLOOKUP('Données projet'!$B$13,Paramètres!$A$1:$I$89,5,0)</f>
        <v>170.67120000000008</v>
      </c>
      <c r="CV52" s="14">
        <f t="shared" si="41"/>
        <v>43.240315564943899</v>
      </c>
      <c r="CW52" s="22">
        <f t="shared" si="13"/>
        <v>372.56255627561069</v>
      </c>
      <c r="CX52" s="62">
        <f t="shared" si="14"/>
        <v>627.00893609990271</v>
      </c>
      <c r="CY52" s="62">
        <f ca="1">AVERAGE(OFFSET($CX$3,0,0,'Données projet'!$E$13+1,1))-AVERAGE(OFFSET($H$3,0,0,'Données projet'!$E$13+1,1))</f>
        <v>321.05795935196863</v>
      </c>
      <c r="CZ52" s="62">
        <f t="shared" si="42"/>
        <v>209.59551322748908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220.00000000000006</v>
      </c>
      <c r="DP52" s="18">
        <f>DO52*VLOOKUP('Données projet'!$B$14,Paramètres!$A$1:$I$89,3,0)*VLOOKUP('Données projet'!$B$14,Paramètres!$A$1:$I$89,5,0)</f>
        <v>236.80800000000008</v>
      </c>
      <c r="DQ52" s="14">
        <f t="shared" si="43"/>
        <v>57.752221878398714</v>
      </c>
      <c r="DR52" s="22">
        <f t="shared" si="16"/>
        <v>513.02571977154446</v>
      </c>
      <c r="DS52" s="62">
        <f t="shared" si="17"/>
        <v>767.47209959583643</v>
      </c>
      <c r="DT52" s="62">
        <f ca="1">AVERAGE(OFFSET($DS$3,0,0,'Données projet'!$E$14+1,1))-AVERAGE(OFFSET($H$3,0,0,'Données projet'!$E$14+1,1))</f>
        <v>638.58602907610805</v>
      </c>
      <c r="DU52" s="62">
        <f t="shared" si="44"/>
        <v>341.9250949809848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5.6843418860808015E-14</v>
      </c>
      <c r="EK52" s="18">
        <f>EJ52*VLOOKUP('Données projet'!$B$15,Paramètres!$A$1:$I$89,3,0)*VLOOKUP('Données projet'!$B$15,Paramètres!$A$1:$I$89,5,0)</f>
        <v>3.3992364478763198E-14</v>
      </c>
      <c r="EL52" s="14">
        <f t="shared" si="45"/>
        <v>5.790027782444094E-13</v>
      </c>
      <c r="EM52" s="22">
        <f t="shared" si="19"/>
        <v>1.0676332069095257E-12</v>
      </c>
      <c r="EN52" s="62">
        <f t="shared" si="20"/>
        <v>254.44637982429305</v>
      </c>
      <c r="EO52" s="62">
        <f ca="1">AVERAGE(OFFSET($EN$3,0,0,'Données projet'!$E$15+1,1))-AVERAGE(OFFSET($H$3,0,0,'Données projet'!$E$15+1,1))</f>
        <v>223.57443551076992</v>
      </c>
      <c r="EP52" s="62">
        <f t="shared" si="46"/>
        <v>382.12751862619427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18.267758322192766</v>
      </c>
      <c r="EW52" s="23">
        <f>EXP(-LN(2)/25)*EW51+(1-EXP(-LN(2)/25))/(LN(2)/25)*Calculateur!ER52*Calculateur!ET52*VLOOKUP('Données projet'!$B$15,Paramètres!$A$1:$I$89,3,0)*0.475*44/12</f>
        <v>8.1961553428098437</v>
      </c>
      <c r="EX52" s="23">
        <f>EXP(-LN(2)/2)*EX51+(1-EXP(-LN(2)/2))/(LN(2)/2)*ER52*EU52*VLOOKUP('Données projet'!$B$15,Paramètres!$A$1:$I$89,3,0)*0.475*44/12</f>
        <v>1.4000710792253124E-2</v>
      </c>
      <c r="EY52" s="24">
        <f t="shared" si="21"/>
        <v>26.47791437579486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1.8720833333333331</v>
      </c>
      <c r="FE52" s="13">
        <f>IF('Données projet'!$A$218&gt;35,FE51+FD52-FM51,IF(A52&lt;'Données projet'!$A$218,$FB$205^A52,IF(A52='Données projet'!$A$218,'Données projet'!$B$218,FE51+FD52-FM51)))</f>
        <v>72.515416666666695</v>
      </c>
      <c r="FF52" s="18">
        <f>FE52*VLOOKUP('Données projet'!$B$16,Paramètres!$A$1:$I$89,3,0)*VLOOKUP('Données projet'!$B$16,Paramètres!$A$1:$I$89,5,0)</f>
        <v>83.537760000000034</v>
      </c>
      <c r="FG52" s="14">
        <f t="shared" si="47"/>
        <v>22.999994372723616</v>
      </c>
      <c r="FH52" s="22">
        <f t="shared" si="22"/>
        <v>185.55325553249369</v>
      </c>
      <c r="FI52" s="62">
        <f t="shared" si="23"/>
        <v>439.99963535678569</v>
      </c>
      <c r="FJ52" s="62">
        <f ca="1">AVERAGE(OFFSET($FI$3,0,0,'Données projet'!$E$16+1,1))-AVERAGE(OFFSET($H$3,0,0,'Données projet'!$E$16+1,1))</f>
        <v>283.95543623515323</v>
      </c>
      <c r="FK52" s="62">
        <f t="shared" si="48"/>
        <v>196.96883829830929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5.6843418860808015E-14</v>
      </c>
      <c r="GA52" s="18">
        <f>FZ52*VLOOKUP('Données projet'!$B$17,Paramètres!$A$1:$I$89,3,0)*VLOOKUP('Données projet'!$B$17,Paramètres!$A$1:$I$89,5,0)</f>
        <v>3.3992364478763198E-14</v>
      </c>
      <c r="GB52" s="14">
        <f t="shared" si="49"/>
        <v>5.790027782444094E-13</v>
      </c>
      <c r="GC52" s="22">
        <f t="shared" si="25"/>
        <v>1.0676332069095257E-12</v>
      </c>
      <c r="GD52" s="62">
        <f t="shared" si="26"/>
        <v>254.44637982429305</v>
      </c>
      <c r="GE52" s="62">
        <f ca="1">AVERAGE(OFFSET($GD$3,0,0,'Données projet'!$E$17+1,1))-AVERAGE(OFFSET($H$3,0,0,'Données projet'!$E$17+1,1))</f>
        <v>223.57443551076992</v>
      </c>
      <c r="GF52" s="62">
        <f t="shared" si="50"/>
        <v>382.12751862619427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18.267758322192766</v>
      </c>
      <c r="GM52" s="23">
        <f>EXP(-LN(2)/25)*GM51+(1-EXP(-LN(2)/25))/(LN(2)/25)*Calculateur!GH52*Calculateur!GJ52*VLOOKUP('Données projet'!$B$17,Paramètres!$A$1:$I$89,3,0)*0.475*44/12</f>
        <v>8.1961553428098437</v>
      </c>
      <c r="GN52" s="23">
        <f>EXP(-LN(2)/2)*GN51+(1-EXP(-LN(2)/2))/(LN(2)/2)*GH52*GK52*VLOOKUP('Données projet'!$B$17,Paramètres!$A$1:$I$89,3,0)*0.475*44/12</f>
        <v>1.4000710792253124E-2</v>
      </c>
      <c r="GO52" s="23">
        <f t="shared" si="27"/>
        <v>26.47791437579486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3.6590249865060742</v>
      </c>
      <c r="GU52" s="13">
        <f>IF('Données projet'!$A$270&gt;35,GU51+GT52-HC51,IF(A52&lt;'Données projet'!$A$270,$GR$205^A52,IF(A52='Données projet'!$A$270,'Données projet'!$B$270,GU51+GT52-HC51)))</f>
        <v>139.52524014252364</v>
      </c>
      <c r="GV52" s="18">
        <f>GU52*VLOOKUP('Données projet'!$B$18,Paramètres!$A$1:$I$89,3,0)*VLOOKUP('Données projet'!$B$18,Paramètres!$A$1:$I$89,5,0)</f>
        <v>152.3615622356358</v>
      </c>
      <c r="GW52" s="14">
        <f t="shared" si="51"/>
        <v>39.114770223825261</v>
      </c>
      <c r="GX52" s="22">
        <f t="shared" si="28"/>
        <v>333.48794570022795</v>
      </c>
      <c r="GY52" s="62">
        <f t="shared" si="29"/>
        <v>587.93432552451986</v>
      </c>
      <c r="GZ52" s="62">
        <f ca="1">AVERAGE(OFFSET($GY$3,0,0,'Données projet'!$E$18+1,1))-AVERAGE(OFFSET($H$3,0,0,'Données projet'!$E$18+1,1))</f>
        <v>754.33260592777049</v>
      </c>
      <c r="HA52" s="62">
        <f t="shared" si="52"/>
        <v>250.97643915279005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9">
        <f t="shared" si="1"/>
        <v>183.33333333333334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709.22176741571411</v>
      </c>
      <c r="S53" s="62">
        <f ca="1">AVERAGE(OFFSET($R$3,0,0,'Données projet'!$E$9+1,1))-AVERAGE(OFFSET($H$3,0,0,'Données projet'!$E$9+1,1))</f>
        <v>550.39292625253665</v>
      </c>
      <c r="T53" s="62">
        <f t="shared" si="34"/>
        <v>297.32483725004136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231.00000000000006</v>
      </c>
      <c r="AJ53" s="14">
        <f>AI53*VLOOKUP('Données projet'!$B$10,Paramètres!$A$1:$I$89,3,0)*VLOOKUP('Données projet'!$B$10,Paramètres!$A$1:$I$89,5,0)</f>
        <v>234.23400000000007</v>
      </c>
      <c r="AK53" s="14">
        <f t="shared" si="35"/>
        <v>57.197197133603488</v>
      </c>
      <c r="AL53" s="22">
        <f t="shared" si="4"/>
        <v>507.57600167435953</v>
      </c>
      <c r="AM53" s="62">
        <f t="shared" si="5"/>
        <v>762.69698320382963</v>
      </c>
      <c r="AN53" s="62">
        <f ca="1">AVERAGE(OFFSET($AM$3,0,0,'Données projet'!$E$10+1,1))-AVERAGE(OFFSET($H$3,0,0,'Données projet'!$E$10+1,1))</f>
        <v>606.55142836375308</v>
      </c>
      <c r="AO53" s="62">
        <f t="shared" si="36"/>
        <v>325.72635759450861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239.74358974358972</v>
      </c>
      <c r="BB53" s="13">
        <f>VLOOKUP(A53,'Données projet'!$A$87:$I$107,9,0)</f>
        <v>7.3076923076923039</v>
      </c>
      <c r="BC53" s="13">
        <f t="array" ref="BC53">INDEX(BB:BB,MIN(IF(ISNUMBER(BB53:BB249),ROW(BB53:BB249),"")))</f>
        <v>7.3076923076923039</v>
      </c>
      <c r="BD53" s="13">
        <f>IF('Données projet'!$A$88&gt;35,BD52+BC53-BL52,IF(A53&lt;'Données projet'!$A$88,$BA$205^A53,IF(A53='Données projet'!$A$88,'Données projet'!$B$88,BD52+BC53-BL52)))</f>
        <v>239.74358974358972</v>
      </c>
      <c r="BE53" s="14">
        <f>BD53*VLOOKUP('Données projet'!$B$11,Paramètres!$A$1:$I$89,3,0)*VLOOKUP('Données projet'!$B$11,Paramètres!$A$1:$I$89,5,0)</f>
        <v>250.57999999999998</v>
      </c>
      <c r="BF53" s="14">
        <f t="shared" si="37"/>
        <v>60.710122367679979</v>
      </c>
      <c r="BG53" s="22">
        <f t="shared" si="7"/>
        <v>542.16362979037581</v>
      </c>
      <c r="BH53" s="62">
        <f t="shared" si="8"/>
        <v>797.28461131984591</v>
      </c>
      <c r="BI53" s="62">
        <f ca="1">AVERAGE(OFFSET($BH$3,0,0,'Données projet'!$E$11+1,1))-AVERAGE(OFFSET($H$3,0,0,'Données projet'!$E$11+1,1))</f>
        <v>635.13577238794812</v>
      </c>
      <c r="BJ53" s="62">
        <f t="shared" si="38"/>
        <v>374.35810525172019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844</v>
      </c>
      <c r="BW53" s="13">
        <f>VLOOKUP(A53,'Données projet'!$A$113:$I$133,9,0)</f>
        <v>29.2</v>
      </c>
      <c r="BX53" s="13">
        <f t="array" ref="BX53">INDEX(BW:BW,MIN(IF(ISNUMBER(BW53:BW249),ROW(BW53:BW249),"")))</f>
        <v>29.2</v>
      </c>
      <c r="BY53" s="13">
        <f>IF('Données projet'!$A$114&gt;35,BY52+BX53-CG52,IF(A53&lt;'Données projet'!$A$114,$BV$205^A53,IF(A53='Données projet'!$A$114,'Données projet'!$B$114,BY52+BX53-CG52)))</f>
        <v>844.00000000000034</v>
      </c>
      <c r="BZ53" s="14">
        <f>BY53*VLOOKUP('Données projet'!$B$12,Paramètres!$A$1:$I$89,3,0)*VLOOKUP('Données projet'!$B$12,Paramètres!$A$1:$I$89,5,0)</f>
        <v>373.04800000000023</v>
      </c>
      <c r="CA53" s="14">
        <f t="shared" si="39"/>
        <v>86.290575987673222</v>
      </c>
      <c r="CB53" s="22">
        <f t="shared" si="10"/>
        <v>800.01468651186451</v>
      </c>
      <c r="CC53" s="62">
        <f t="shared" si="11"/>
        <v>1055.1356680413346</v>
      </c>
      <c r="CD53" s="62">
        <f ca="1">AVERAGE(OFFSET($CC$3,0,0,'Données projet'!$E$12+1,1))-AVERAGE(OFFSET($H$3,0,0,'Données projet'!$E$12+1,1))</f>
        <v>580.02817743695846</v>
      </c>
      <c r="CE53" s="62">
        <f t="shared" si="40"/>
        <v>551.23515633208865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137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11.443589743589742</v>
      </c>
      <c r="CT53" s="13">
        <f>IF('Données projet'!$A$140&gt;35,CT52+CS53-DB52,IF(A53&lt;'Données projet'!$A$140,$CQ$205^A53,IF(A53='Données projet'!$A$140,'Données projet'!$B$140,CT52+CS53-DB52)))</f>
        <v>376.12564102564124</v>
      </c>
      <c r="CU53" s="18">
        <f>CT53*VLOOKUP('Données projet'!$B$13,Paramètres!$A$1:$I$89,3,0)*VLOOKUP('Données projet'!$B$13,Paramètres!$A$1:$I$89,5,0)</f>
        <v>176.02680000000012</v>
      </c>
      <c r="CV53" s="14">
        <f t="shared" si="41"/>
        <v>44.437077329889675</v>
      </c>
      <c r="CW53" s="22">
        <f t="shared" si="13"/>
        <v>383.97458634955802</v>
      </c>
      <c r="CX53" s="62">
        <f t="shared" si="14"/>
        <v>639.09556787902807</v>
      </c>
      <c r="CY53" s="62">
        <f ca="1">AVERAGE(OFFSET($CX$3,0,0,'Données projet'!$E$13+1,1))-AVERAGE(OFFSET($H$3,0,0,'Données projet'!$E$13+1,1))</f>
        <v>321.05795935196863</v>
      </c>
      <c r="CZ53" s="62">
        <f t="shared" si="42"/>
        <v>209.59551322748908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231.00000000000006</v>
      </c>
      <c r="DP53" s="18">
        <f>DO53*VLOOKUP('Données projet'!$B$14,Paramètres!$A$1:$I$89,3,0)*VLOOKUP('Données projet'!$B$14,Paramètres!$A$1:$I$89,5,0)</f>
        <v>248.64840000000004</v>
      </c>
      <c r="DQ53" s="14">
        <f t="shared" si="43"/>
        <v>60.296424802828774</v>
      </c>
      <c r="DR53" s="22">
        <f t="shared" si="16"/>
        <v>538.07890319826015</v>
      </c>
      <c r="DS53" s="62">
        <f t="shared" si="17"/>
        <v>793.19988472773025</v>
      </c>
      <c r="DT53" s="62">
        <f ca="1">AVERAGE(OFFSET($DS$3,0,0,'Données projet'!$E$14+1,1))-AVERAGE(OFFSET($H$3,0,0,'Données projet'!$E$14+1,1))</f>
        <v>638.58602907610805</v>
      </c>
      <c r="DU53" s="62">
        <f t="shared" si="44"/>
        <v>341.9250949809848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5.6843418860808015E-14</v>
      </c>
      <c r="EK53" s="18">
        <f>EJ53*VLOOKUP('Données projet'!$B$15,Paramètres!$A$1:$I$89,3,0)*VLOOKUP('Données projet'!$B$15,Paramètres!$A$1:$I$89,5,0)</f>
        <v>3.3992364478763198E-14</v>
      </c>
      <c r="EL53" s="14">
        <f t="shared" si="45"/>
        <v>5.790027782444094E-13</v>
      </c>
      <c r="EM53" s="22">
        <f t="shared" si="19"/>
        <v>1.0676332069095257E-12</v>
      </c>
      <c r="EN53" s="62">
        <f t="shared" si="20"/>
        <v>255.12098152947118</v>
      </c>
      <c r="EO53" s="62">
        <f ca="1">AVERAGE(OFFSET($EN$3,0,0,'Données projet'!$E$15+1,1))-AVERAGE(OFFSET($H$3,0,0,'Données projet'!$E$15+1,1))</f>
        <v>223.57443551076992</v>
      </c>
      <c r="EP53" s="62">
        <f t="shared" si="46"/>
        <v>382.12751862619427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17.909538723726939</v>
      </c>
      <c r="EW53" s="23">
        <f>EXP(-LN(2)/25)*EW52+(1-EXP(-LN(2)/25))/(LN(2)/25)*Calculateur!ER53*Calculateur!ET53*VLOOKUP('Données projet'!$B$15,Paramètres!$A$1:$I$89,3,0)*0.475*44/12</f>
        <v>7.9720310439436313</v>
      </c>
      <c r="EX53" s="23">
        <f>EXP(-LN(2)/2)*EX52+(1-EXP(-LN(2)/2))/(LN(2)/2)*ER53*EU53*VLOOKUP('Données projet'!$B$15,Paramètres!$A$1:$I$89,3,0)*0.475*44/12</f>
        <v>9.8999975426338638E-3</v>
      </c>
      <c r="EY53" s="24">
        <f t="shared" si="21"/>
        <v>25.891469765213202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74.387500000000003</v>
      </c>
      <c r="FC53" s="13">
        <f>VLOOKUP(A53,'Données projet'!$A$217:$I$237,9,0)</f>
        <v>1.8720833333333331</v>
      </c>
      <c r="FD53" s="13">
        <f t="array" ref="FD53">INDEX(FC:FC,MIN(IF(ISNUMBER(FC53:FC249),ROW(FC53:FC249),"")))</f>
        <v>1.8720833333333331</v>
      </c>
      <c r="FE53" s="13">
        <f>IF('Données projet'!$A$218&gt;35,FE52+FD53-FM52,IF(A53&lt;'Données projet'!$A$218,$FB$205^A53,IF(A53='Données projet'!$A$218,'Données projet'!$B$218,FE52+FD53-FM52)))</f>
        <v>74.387500000000031</v>
      </c>
      <c r="FF53" s="18">
        <f>FE53*VLOOKUP('Données projet'!$B$16,Paramètres!$A$1:$I$89,3,0)*VLOOKUP('Données projet'!$B$16,Paramètres!$A$1:$I$89,5,0)</f>
        <v>85.694400000000016</v>
      </c>
      <c r="FG53" s="14">
        <f t="shared" si="47"/>
        <v>23.523873913177109</v>
      </c>
      <c r="FH53" s="22">
        <f t="shared" si="22"/>
        <v>190.22182706545016</v>
      </c>
      <c r="FI53" s="62">
        <f t="shared" si="23"/>
        <v>445.34280859492026</v>
      </c>
      <c r="FJ53" s="62">
        <f ca="1">AVERAGE(OFFSET($FI$3,0,0,'Données projet'!$E$16+1,1))-AVERAGE(OFFSET($H$3,0,0,'Données projet'!$E$16+1,1))</f>
        <v>283.95543623515323</v>
      </c>
      <c r="FK53" s="62">
        <f t="shared" si="48"/>
        <v>196.96883829830929</v>
      </c>
      <c r="FL53" s="16">
        <f>IF(ISNA(VLOOKUP(A53,'Données projet'!$A$217:$I$237,3,0)),0,VLOOKUP(A53,'Données projet'!$A$217:$I$237,3,0))</f>
        <v>3</v>
      </c>
      <c r="FM53" s="16">
        <f>IF(ISNA(VLOOKUP(A53,'Données projet'!$A$217:$I$237,4,0)),0,VLOOKUP(A53,'Données projet'!$A$217:$I$237,4,0))</f>
        <v>7.7500000000000009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5.6843418860808015E-14</v>
      </c>
      <c r="GA53" s="18">
        <f>FZ53*VLOOKUP('Données projet'!$B$17,Paramètres!$A$1:$I$89,3,0)*VLOOKUP('Données projet'!$B$17,Paramètres!$A$1:$I$89,5,0)</f>
        <v>3.3992364478763198E-14</v>
      </c>
      <c r="GB53" s="14">
        <f t="shared" si="49"/>
        <v>5.790027782444094E-13</v>
      </c>
      <c r="GC53" s="22">
        <f t="shared" si="25"/>
        <v>1.0676332069095257E-12</v>
      </c>
      <c r="GD53" s="62">
        <f t="shared" si="26"/>
        <v>255.12098152947118</v>
      </c>
      <c r="GE53" s="62">
        <f ca="1">AVERAGE(OFFSET($GD$3,0,0,'Données projet'!$E$17+1,1))-AVERAGE(OFFSET($H$3,0,0,'Données projet'!$E$17+1,1))</f>
        <v>223.57443551076992</v>
      </c>
      <c r="GF53" s="62">
        <f t="shared" si="50"/>
        <v>382.12751862619427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17.909538723726939</v>
      </c>
      <c r="GM53" s="23">
        <f>EXP(-LN(2)/25)*GM52+(1-EXP(-LN(2)/25))/(LN(2)/25)*Calculateur!GH53*Calculateur!GJ53*VLOOKUP('Données projet'!$B$17,Paramètres!$A$1:$I$89,3,0)*0.475*44/12</f>
        <v>7.9720310439436313</v>
      </c>
      <c r="GN53" s="23">
        <f>EXP(-LN(2)/2)*GN52+(1-EXP(-LN(2)/2))/(LN(2)/2)*GH53*GK53*VLOOKUP('Données projet'!$B$17,Paramètres!$A$1:$I$89,3,0)*0.475*44/12</f>
        <v>9.8999975426338638E-3</v>
      </c>
      <c r="GO53" s="23">
        <f t="shared" si="27"/>
        <v>25.891469765213202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3.6590249865060742</v>
      </c>
      <c r="GU53" s="13">
        <f>IF('Données projet'!$A$270&gt;35,GU52+GT53-HC52,IF(A53&lt;'Données projet'!$A$270,$GR$205^A53,IF(A53='Données projet'!$A$270,'Données projet'!$B$270,GU52+GT53-HC52)))</f>
        <v>143.18426512902971</v>
      </c>
      <c r="GV53" s="18">
        <f>GU53*VLOOKUP('Données projet'!$B$18,Paramètres!$A$1:$I$89,3,0)*VLOOKUP('Données projet'!$B$18,Paramètres!$A$1:$I$89,5,0)</f>
        <v>156.35721752090043</v>
      </c>
      <c r="GW53" s="14">
        <f t="shared" si="51"/>
        <v>40.019777589655234</v>
      </c>
      <c r="GX53" s="22">
        <f t="shared" si="28"/>
        <v>342.0232664842178</v>
      </c>
      <c r="GY53" s="62">
        <f t="shared" si="29"/>
        <v>597.14424801368796</v>
      </c>
      <c r="GZ53" s="62">
        <f ca="1">AVERAGE(OFFSET($GY$3,0,0,'Données projet'!$E$18+1,1))-AVERAGE(OFFSET($H$3,0,0,'Données projet'!$E$18+1,1))</f>
        <v>754.33260592777049</v>
      </c>
      <c r="HA53" s="62">
        <f t="shared" si="52"/>
        <v>250.97643915279005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9">
        <f t="shared" si="1"/>
        <v>183.33333333333334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729.46401012287356</v>
      </c>
      <c r="S54" s="62">
        <f ca="1">AVERAGE(OFFSET($R$3,0,0,'Données projet'!$E$9+1,1))-AVERAGE(OFFSET($H$3,0,0,'Données projet'!$E$9+1,1))</f>
        <v>550.39292625253665</v>
      </c>
      <c r="T54" s="62">
        <f t="shared" si="34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241.20000000000005</v>
      </c>
      <c r="AJ54" s="14">
        <f>AI54*VLOOKUP('Données projet'!$B$10,Paramètres!$A$1:$I$89,3,0)*VLOOKUP('Données projet'!$B$10,Paramètres!$A$1:$I$89,5,0)</f>
        <v>244.57680000000005</v>
      </c>
      <c r="AK54" s="14">
        <f t="shared" si="35"/>
        <v>59.423166060201147</v>
      </c>
      <c r="AL54" s="22">
        <f t="shared" si="4"/>
        <v>529.46660755485038</v>
      </c>
      <c r="AM54" s="62">
        <f t="shared" si="5"/>
        <v>785.25048795809721</v>
      </c>
      <c r="AN54" s="62">
        <f ca="1">AVERAGE(OFFSET($AM$3,0,0,'Données projet'!$E$10+1,1))-AVERAGE(OFFSET($H$3,0,0,'Données projet'!$E$10+1,1))</f>
        <v>606.55142836375308</v>
      </c>
      <c r="AO54" s="62">
        <f t="shared" si="36"/>
        <v>325.72635759450861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6.6666666666666741</v>
      </c>
      <c r="BD54" s="13">
        <f>IF('Données projet'!$A$88&gt;35,BD53+BC54-BL53,IF(A54&lt;'Données projet'!$A$88,$BA$205^A54,IF(A54='Données projet'!$A$88,'Données projet'!$B$88,BD53+BC54-BL53)))</f>
        <v>246.41025641025641</v>
      </c>
      <c r="BE54" s="14">
        <f>BD54*VLOOKUP('Données projet'!$B$11,Paramètres!$A$1:$I$89,3,0)*VLOOKUP('Données projet'!$B$11,Paramètres!$A$1:$I$89,5,0)</f>
        <v>257.548</v>
      </c>
      <c r="BF54" s="14">
        <f t="shared" si="37"/>
        <v>62.199422755068113</v>
      </c>
      <c r="BG54" s="22">
        <f t="shared" si="7"/>
        <v>556.89342796507697</v>
      </c>
      <c r="BH54" s="62">
        <f t="shared" si="8"/>
        <v>812.67730836832379</v>
      </c>
      <c r="BI54" s="62">
        <f ca="1">AVERAGE(OFFSET($BH$3,0,0,'Données projet'!$E$11+1,1))-AVERAGE(OFFSET($H$3,0,0,'Données projet'!$E$11+1,1))</f>
        <v>635.13577238794812</v>
      </c>
      <c r="BJ54" s="62">
        <f t="shared" si="38"/>
        <v>374.35810525172019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25.8</v>
      </c>
      <c r="BY54" s="13">
        <f>IF('Données projet'!$A$114&gt;35,BY53+BX54-CG53,IF(A54&lt;'Données projet'!$A$114,$BV$205^A54,IF(A54='Données projet'!$A$114,'Données projet'!$B$114,BY53+BX54-CG53)))</f>
        <v>732.8000000000003</v>
      </c>
      <c r="BZ54" s="14">
        <f>BY54*VLOOKUP('Données projet'!$B$12,Paramètres!$A$1:$I$89,3,0)*VLOOKUP('Données projet'!$B$12,Paramètres!$A$1:$I$89,5,0)</f>
        <v>323.89760000000018</v>
      </c>
      <c r="CA54" s="14">
        <f t="shared" si="39"/>
        <v>76.16375285337962</v>
      </c>
      <c r="CB54" s="22">
        <f t="shared" si="10"/>
        <v>696.77352288630311</v>
      </c>
      <c r="CC54" s="62">
        <f t="shared" si="11"/>
        <v>952.55740328954994</v>
      </c>
      <c r="CD54" s="62">
        <f ca="1">AVERAGE(OFFSET($CC$3,0,0,'Données projet'!$E$12+1,1))-AVERAGE(OFFSET($H$3,0,0,'Données projet'!$E$12+1,1))</f>
        <v>580.02817743695846</v>
      </c>
      <c r="CE54" s="62">
        <f t="shared" si="40"/>
        <v>551.23515633208865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>
        <f>VLOOKUP(A54,'Données projet'!$A$139:$I$159,2,0)</f>
        <v>387.56923076923073</v>
      </c>
      <c r="CR54" s="13">
        <f>VLOOKUP(A54,'Données projet'!$A$139:$I$159,9,0)</f>
        <v>11.443589743589742</v>
      </c>
      <c r="CS54" s="13">
        <f t="array" ref="CS54">INDEX(CR:CR,MIN(IF(ISNUMBER(CR54:CR250),ROW(CR54:CR250),"")))</f>
        <v>11.443589743589742</v>
      </c>
      <c r="CT54" s="13">
        <f>IF('Données projet'!$A$140&gt;35,CT53+CS54-DB53,IF(A54&lt;'Données projet'!$A$140,$CQ$205^A54,IF(A54='Données projet'!$A$140,'Données projet'!$B$140,CT53+CS54-DB53)))</f>
        <v>387.56923076923101</v>
      </c>
      <c r="CU54" s="18">
        <f>CT54*VLOOKUP('Données projet'!$B$13,Paramètres!$A$1:$I$89,3,0)*VLOOKUP('Données projet'!$B$13,Paramètres!$A$1:$I$89,5,0)</f>
        <v>181.3824000000001</v>
      </c>
      <c r="CV54" s="14">
        <f t="shared" si="41"/>
        <v>45.629607617375228</v>
      </c>
      <c r="CW54" s="22">
        <f t="shared" si="13"/>
        <v>395.37924660026198</v>
      </c>
      <c r="CX54" s="62">
        <f t="shared" si="14"/>
        <v>651.16312700350886</v>
      </c>
      <c r="CY54" s="62">
        <f ca="1">AVERAGE(OFFSET($CX$3,0,0,'Données projet'!$E$13+1,1))-AVERAGE(OFFSET($H$3,0,0,'Données projet'!$E$13+1,1))</f>
        <v>321.05795935196863</v>
      </c>
      <c r="CZ54" s="62">
        <f t="shared" si="42"/>
        <v>209.59551322748908</v>
      </c>
      <c r="DA54" s="16">
        <f>IF(ISNA(VLOOKUP(A54,'Données projet'!$A$139:$I$159,3,0)),0,VLOOKUP(A54,'Données projet'!$A$139:$I$159,3,0))</f>
        <v>1</v>
      </c>
      <c r="DB54" s="16">
        <f>IF(ISNA(VLOOKUP(A54,'Données projet'!$A$139:$I$159,4,0)),0,VLOOKUP(A54,'Données projet'!$A$139:$I$159,4,0))</f>
        <v>170.16153846153844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IF('Données projet'!$A$166&gt;35,DO53+DN54-DW53,IF(A54&lt;'Données projet'!$A$166,$DL$205^A54,IF(A54='Données projet'!$A$166,'Données projet'!$B$166,DO53+DN54-DW53)))</f>
        <v>241.20000000000005</v>
      </c>
      <c r="DP54" s="18">
        <f>DO54*VLOOKUP('Données projet'!$B$14,Paramètres!$A$1:$I$89,3,0)*VLOOKUP('Données projet'!$B$14,Paramètres!$A$1:$I$89,5,0)</f>
        <v>259.62768000000005</v>
      </c>
      <c r="DQ54" s="14">
        <f t="shared" si="43"/>
        <v>62.643007760076152</v>
      </c>
      <c r="DR54" s="22">
        <f t="shared" si="16"/>
        <v>561.28811451546608</v>
      </c>
      <c r="DS54" s="62">
        <f t="shared" si="17"/>
        <v>817.0719949187129</v>
      </c>
      <c r="DT54" s="62">
        <f ca="1">AVERAGE(OFFSET($DS$3,0,0,'Données projet'!$E$14+1,1))-AVERAGE(OFFSET($H$3,0,0,'Données projet'!$E$14+1,1))</f>
        <v>638.58602907610805</v>
      </c>
      <c r="DU54" s="62">
        <f t="shared" si="44"/>
        <v>341.9250949809848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5.6843418860808015E-14</v>
      </c>
      <c r="EK54" s="18">
        <f>EJ54*VLOOKUP('Données projet'!$B$15,Paramètres!$A$1:$I$89,3,0)*VLOOKUP('Données projet'!$B$15,Paramètres!$A$1:$I$89,5,0)</f>
        <v>3.3992364478763198E-14</v>
      </c>
      <c r="EL54" s="14">
        <f t="shared" si="45"/>
        <v>5.790027782444094E-13</v>
      </c>
      <c r="EM54" s="22">
        <f t="shared" si="19"/>
        <v>1.0676332069095257E-12</v>
      </c>
      <c r="EN54" s="62">
        <f t="shared" si="20"/>
        <v>255.78388040324791</v>
      </c>
      <c r="EO54" s="62">
        <f ca="1">AVERAGE(OFFSET($EN$3,0,0,'Données projet'!$E$15+1,1))-AVERAGE(OFFSET($H$3,0,0,'Données projet'!$E$15+1,1))</f>
        <v>223.57443551076992</v>
      </c>
      <c r="EP54" s="62">
        <f t="shared" si="46"/>
        <v>382.12751862619427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17.558343593094644</v>
      </c>
      <c r="EW54" s="23">
        <f>EXP(-LN(2)/25)*EW53+(1-EXP(-LN(2)/25))/(LN(2)/25)*Calculateur!ER54*Calculateur!ET54*VLOOKUP('Données projet'!$B$15,Paramètres!$A$1:$I$89,3,0)*0.475*44/12</f>
        <v>7.7540354358161006</v>
      </c>
      <c r="EX54" s="23">
        <f>EXP(-LN(2)/2)*EX53+(1-EXP(-LN(2)/2))/(LN(2)/2)*ER54*EU54*VLOOKUP('Données projet'!$B$15,Paramètres!$A$1:$I$89,3,0)*0.475*44/12</f>
        <v>7.0003553961265619E-3</v>
      </c>
      <c r="EY54" s="24">
        <f t="shared" si="21"/>
        <v>25.31937938430687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1.7724999999999995</v>
      </c>
      <c r="FE54" s="13">
        <f>IF('Données projet'!$A$218&gt;35,FE53+FD54-FM53,IF(A54&lt;'Données projet'!$A$218,$FB$205^A54,IF(A54='Données projet'!$A$218,'Données projet'!$B$218,FE53+FD54-FM53)))</f>
        <v>68.410000000000025</v>
      </c>
      <c r="FF54" s="18">
        <f>FE54*VLOOKUP('Données projet'!$B$16,Paramètres!$A$1:$I$89,3,0)*VLOOKUP('Données projet'!$B$16,Paramètres!$A$1:$I$89,5,0)</f>
        <v>78.808320000000023</v>
      </c>
      <c r="FG54" s="14">
        <f t="shared" si="47"/>
        <v>21.845558157973084</v>
      </c>
      <c r="FH54" s="22">
        <f t="shared" si="22"/>
        <v>175.30550445846984</v>
      </c>
      <c r="FI54" s="62">
        <f t="shared" si="23"/>
        <v>431.08938486171667</v>
      </c>
      <c r="FJ54" s="62">
        <f ca="1">AVERAGE(OFFSET($FI$3,0,0,'Données projet'!$E$16+1,1))-AVERAGE(OFFSET($H$3,0,0,'Données projet'!$E$16+1,1))</f>
        <v>283.95543623515323</v>
      </c>
      <c r="FK54" s="62">
        <f t="shared" si="48"/>
        <v>196.96883829830929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5.6843418860808015E-14</v>
      </c>
      <c r="GA54" s="18">
        <f>FZ54*VLOOKUP('Données projet'!$B$17,Paramètres!$A$1:$I$89,3,0)*VLOOKUP('Données projet'!$B$17,Paramètres!$A$1:$I$89,5,0)</f>
        <v>3.3992364478763198E-14</v>
      </c>
      <c r="GB54" s="14">
        <f t="shared" si="49"/>
        <v>5.790027782444094E-13</v>
      </c>
      <c r="GC54" s="22">
        <f t="shared" si="25"/>
        <v>1.0676332069095257E-12</v>
      </c>
      <c r="GD54" s="62">
        <f t="shared" si="26"/>
        <v>255.78388040324791</v>
      </c>
      <c r="GE54" s="62">
        <f ca="1">AVERAGE(OFFSET($GD$3,0,0,'Données projet'!$E$17+1,1))-AVERAGE(OFFSET($H$3,0,0,'Données projet'!$E$17+1,1))</f>
        <v>223.57443551076992</v>
      </c>
      <c r="GF54" s="62">
        <f t="shared" si="50"/>
        <v>382.12751862619427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17.558343593094644</v>
      </c>
      <c r="GM54" s="23">
        <f>EXP(-LN(2)/25)*GM53+(1-EXP(-LN(2)/25))/(LN(2)/25)*Calculateur!GH54*Calculateur!GJ54*VLOOKUP('Données projet'!$B$17,Paramètres!$A$1:$I$89,3,0)*0.475*44/12</f>
        <v>7.7540354358161006</v>
      </c>
      <c r="GN54" s="23">
        <f>EXP(-LN(2)/2)*GN53+(1-EXP(-LN(2)/2))/(LN(2)/2)*GH54*GK54*VLOOKUP('Données projet'!$B$17,Paramètres!$A$1:$I$89,3,0)*0.475*44/12</f>
        <v>7.0003553961265619E-3</v>
      </c>
      <c r="GO54" s="23">
        <f t="shared" si="27"/>
        <v>25.31937938430687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3.6590249865060742</v>
      </c>
      <c r="GU54" s="13">
        <f>IF('Données projet'!$A$270&gt;35,GU53+GT54-HC53,IF(A54&lt;'Données projet'!$A$270,$GR$205^A54,IF(A54='Données projet'!$A$270,'Données projet'!$B$270,GU53+GT54-HC53)))</f>
        <v>146.84329011553578</v>
      </c>
      <c r="GV54" s="18">
        <f>GU54*VLOOKUP('Données projet'!$B$18,Paramètres!$A$1:$I$89,3,0)*VLOOKUP('Données projet'!$B$18,Paramètres!$A$1:$I$89,5,0)</f>
        <v>160.35287280616507</v>
      </c>
      <c r="GW54" s="14">
        <f t="shared" si="51"/>
        <v>40.922096645329184</v>
      </c>
      <c r="GX54" s="22">
        <f t="shared" si="28"/>
        <v>350.55390512801915</v>
      </c>
      <c r="GY54" s="62">
        <f t="shared" si="29"/>
        <v>606.33778553126604</v>
      </c>
      <c r="GZ54" s="62">
        <f ca="1">AVERAGE(OFFSET($GY$3,0,0,'Données projet'!$E$18+1,1))-AVERAGE(OFFSET($H$3,0,0,'Données projet'!$E$18+1,1))</f>
        <v>754.33260592777049</v>
      </c>
      <c r="HA54" s="62">
        <f t="shared" si="52"/>
        <v>250.97643915279005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9">
        <f t="shared" si="1"/>
        <v>183.33333333333334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749.67753421208135</v>
      </c>
      <c r="S55" s="62">
        <f ca="1">AVERAGE(OFFSET($R$3,0,0,'Données projet'!$E$9+1,1))-AVERAGE(OFFSET($H$3,0,0,'Données projet'!$E$9+1,1))</f>
        <v>550.39292625253665</v>
      </c>
      <c r="T55" s="62">
        <f t="shared" si="34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251.40000000000003</v>
      </c>
      <c r="AJ55" s="14">
        <f>AI55*VLOOKUP('Données projet'!$B$10,Paramètres!$A$1:$I$89,3,0)*VLOOKUP('Données projet'!$B$10,Paramètres!$A$1:$I$89,5,0)</f>
        <v>254.91960000000006</v>
      </c>
      <c r="AK55" s="14">
        <f t="shared" si="35"/>
        <v>61.638201385772277</v>
      </c>
      <c r="AL55" s="22">
        <f t="shared" si="4"/>
        <v>551.33817074688682</v>
      </c>
      <c r="AM55" s="62">
        <f t="shared" si="5"/>
        <v>807.77345021047017</v>
      </c>
      <c r="AN55" s="62">
        <f ca="1">AVERAGE(OFFSET($AM$3,0,0,'Données projet'!$E$10+1,1))-AVERAGE(OFFSET($H$3,0,0,'Données projet'!$E$10+1,1))</f>
        <v>606.55142836375308</v>
      </c>
      <c r="AO55" s="62">
        <f t="shared" si="36"/>
        <v>325.72635759450861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6.6666666666666741</v>
      </c>
      <c r="BD55" s="13">
        <f>IF('Données projet'!$A$88&gt;35,BD54+BC55-BL54,IF(A55&lt;'Données projet'!$A$88,$BA$205^A55,IF(A55='Données projet'!$A$88,'Données projet'!$B$88,BD54+BC55-BL54)))</f>
        <v>253.07692307692309</v>
      </c>
      <c r="BE55" s="14">
        <f>BD55*VLOOKUP('Données projet'!$B$11,Paramètres!$A$1:$I$89,3,0)*VLOOKUP('Données projet'!$B$11,Paramètres!$A$1:$I$89,5,0)</f>
        <v>264.51600000000002</v>
      </c>
      <c r="BF55" s="14">
        <f t="shared" si="37"/>
        <v>63.684039782161776</v>
      </c>
      <c r="BG55" s="22">
        <f t="shared" si="7"/>
        <v>571.6150692872651</v>
      </c>
      <c r="BH55" s="62">
        <f t="shared" si="8"/>
        <v>828.05034875084846</v>
      </c>
      <c r="BI55" s="62">
        <f ca="1">AVERAGE(OFFSET($BH$3,0,0,'Données projet'!$E$11+1,1))-AVERAGE(OFFSET($H$3,0,0,'Données projet'!$E$11+1,1))</f>
        <v>635.13577238794812</v>
      </c>
      <c r="BJ55" s="62">
        <f t="shared" si="38"/>
        <v>374.35810525172019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25.8</v>
      </c>
      <c r="BY55" s="13">
        <f>IF('Données projet'!$A$114&gt;35,BY54+BX55-CG54,IF(A55&lt;'Données projet'!$A$114,$BV$205^A55,IF(A55='Données projet'!$A$114,'Données projet'!$B$114,BY54+BX55-CG54)))</f>
        <v>758.60000000000025</v>
      </c>
      <c r="BZ55" s="14">
        <f>BY55*VLOOKUP('Données projet'!$B$12,Paramètres!$A$1:$I$89,3,0)*VLOOKUP('Données projet'!$B$12,Paramètres!$A$1:$I$89,5,0)</f>
        <v>335.30120000000011</v>
      </c>
      <c r="CA55" s="14">
        <f t="shared" si="39"/>
        <v>78.528359707463167</v>
      </c>
      <c r="CB55" s="22">
        <f t="shared" si="10"/>
        <v>720.75314982383179</v>
      </c>
      <c r="CC55" s="62">
        <f t="shared" si="11"/>
        <v>977.18842928741515</v>
      </c>
      <c r="CD55" s="62">
        <f ca="1">AVERAGE(OFFSET($CC$3,0,0,'Données projet'!$E$12+1,1))-AVERAGE(OFFSET($H$3,0,0,'Données projet'!$E$12+1,1))</f>
        <v>580.02817743695846</v>
      </c>
      <c r="CE55" s="62">
        <f t="shared" si="40"/>
        <v>551.23515633208865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11.170769230769235</v>
      </c>
      <c r="CT55" s="13">
        <f>IF('Données projet'!$A$140&gt;35,CT54+CS55-DB54,IF(A55&lt;'Données projet'!$A$140,$CQ$205^A55,IF(A55='Données projet'!$A$140,'Données projet'!$B$140,CT54+CS55-DB54)))</f>
        <v>228.5784615384618</v>
      </c>
      <c r="CU55" s="18">
        <f>CT55*VLOOKUP('Données projet'!$B$13,Paramètres!$A$1:$I$89,3,0)*VLOOKUP('Données projet'!$B$13,Paramètres!$A$1:$I$89,5,0)</f>
        <v>106.97472000000012</v>
      </c>
      <c r="CV55" s="14">
        <f t="shared" si="41"/>
        <v>28.617052249308387</v>
      </c>
      <c r="CW55" s="22">
        <f t="shared" si="13"/>
        <v>236.15567000087898</v>
      </c>
      <c r="CX55" s="62">
        <f t="shared" si="14"/>
        <v>492.59094946446237</v>
      </c>
      <c r="CY55" s="62">
        <f ca="1">AVERAGE(OFFSET($CX$3,0,0,'Données projet'!$E$13+1,1))-AVERAGE(OFFSET($H$3,0,0,'Données projet'!$E$13+1,1))</f>
        <v>321.05795935196863</v>
      </c>
      <c r="CZ55" s="62">
        <f t="shared" si="42"/>
        <v>209.59551322748908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IF('Données projet'!$A$166&gt;35,DO54+DN55-DW54,IF(A55&lt;'Données projet'!$A$166,$DL$205^A55,IF(A55='Données projet'!$A$166,'Données projet'!$B$166,DO54+DN55-DW54)))</f>
        <v>251.40000000000003</v>
      </c>
      <c r="DP55" s="18">
        <f>DO55*VLOOKUP('Données projet'!$B$14,Paramètres!$A$1:$I$89,3,0)*VLOOKUP('Données projet'!$B$14,Paramètres!$A$1:$I$89,5,0)</f>
        <v>270.60696000000002</v>
      </c>
      <c r="DQ55" s="14">
        <f t="shared" si="43"/>
        <v>64.978064679595022</v>
      </c>
      <c r="DR55" s="22">
        <f t="shared" si="16"/>
        <v>584.47725131696131</v>
      </c>
      <c r="DS55" s="62">
        <f t="shared" si="17"/>
        <v>840.91253078054467</v>
      </c>
      <c r="DT55" s="62">
        <f ca="1">AVERAGE(OFFSET($DS$3,0,0,'Données projet'!$E$14+1,1))-AVERAGE(OFFSET($H$3,0,0,'Données projet'!$E$14+1,1))</f>
        <v>638.58602907610805</v>
      </c>
      <c r="DU55" s="62">
        <f t="shared" si="44"/>
        <v>341.9250949809848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5.6843418860808015E-14</v>
      </c>
      <c r="EK55" s="18">
        <f>EJ55*VLOOKUP('Données projet'!$B$15,Paramètres!$A$1:$I$89,3,0)*VLOOKUP('Données projet'!$B$15,Paramètres!$A$1:$I$89,5,0)</f>
        <v>3.3992364478763198E-14</v>
      </c>
      <c r="EL55" s="14">
        <f t="shared" si="45"/>
        <v>5.790027782444094E-13</v>
      </c>
      <c r="EM55" s="22">
        <f t="shared" si="19"/>
        <v>1.0676332069095257E-12</v>
      </c>
      <c r="EN55" s="62">
        <f t="shared" si="20"/>
        <v>256.43527946358444</v>
      </c>
      <c r="EO55" s="62">
        <f ca="1">AVERAGE(OFFSET($EN$3,0,0,'Données projet'!$E$15+1,1))-AVERAGE(OFFSET($H$3,0,0,'Données projet'!$E$15+1,1))</f>
        <v>223.57443551076992</v>
      </c>
      <c r="EP55" s="62">
        <f t="shared" si="46"/>
        <v>382.12751862619427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17.214035184766171</v>
      </c>
      <c r="EW55" s="23">
        <f>EXP(-LN(2)/25)*EW54+(1-EXP(-LN(2)/25))/(LN(2)/25)*Calculateur!ER55*Calculateur!ET55*VLOOKUP('Données projet'!$B$15,Paramètres!$A$1:$I$89,3,0)*0.475*44/12</f>
        <v>7.5420009290567078</v>
      </c>
      <c r="EX55" s="23">
        <f>EXP(-LN(2)/2)*EX54+(1-EXP(-LN(2)/2))/(LN(2)/2)*ER55*EU55*VLOOKUP('Données projet'!$B$15,Paramètres!$A$1:$I$89,3,0)*0.475*44/12</f>
        <v>4.9499987713169319E-3</v>
      </c>
      <c r="EY55" s="24">
        <f t="shared" si="21"/>
        <v>24.760986112594196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1.7724999999999995</v>
      </c>
      <c r="FE55" s="13">
        <f>IF('Données projet'!$A$218&gt;35,FE54+FD55-FM54,IF(A55&lt;'Données projet'!$A$218,$FB$205^A55,IF(A55='Données projet'!$A$218,'Données projet'!$B$218,FE54+FD55-FM54)))</f>
        <v>70.182500000000019</v>
      </c>
      <c r="FF55" s="18">
        <f>FE55*VLOOKUP('Données projet'!$B$16,Paramètres!$A$1:$I$89,3,0)*VLOOKUP('Données projet'!$B$16,Paramètres!$A$1:$I$89,5,0)</f>
        <v>80.850240000000028</v>
      </c>
      <c r="FG55" s="14">
        <f t="shared" si="47"/>
        <v>22.344944145436859</v>
      </c>
      <c r="FH55" s="22">
        <f t="shared" si="22"/>
        <v>179.7316123866359</v>
      </c>
      <c r="FI55" s="62">
        <f t="shared" si="23"/>
        <v>436.16689185021926</v>
      </c>
      <c r="FJ55" s="62">
        <f ca="1">AVERAGE(OFFSET($FI$3,0,0,'Données projet'!$E$16+1,1))-AVERAGE(OFFSET($H$3,0,0,'Données projet'!$E$16+1,1))</f>
        <v>283.95543623515323</v>
      </c>
      <c r="FK55" s="62">
        <f t="shared" si="48"/>
        <v>196.96883829830929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5.6843418860808015E-14</v>
      </c>
      <c r="GA55" s="18">
        <f>FZ55*VLOOKUP('Données projet'!$B$17,Paramètres!$A$1:$I$89,3,0)*VLOOKUP('Données projet'!$B$17,Paramètres!$A$1:$I$89,5,0)</f>
        <v>3.3992364478763198E-14</v>
      </c>
      <c r="GB55" s="14">
        <f t="shared" si="49"/>
        <v>5.790027782444094E-13</v>
      </c>
      <c r="GC55" s="22">
        <f t="shared" si="25"/>
        <v>1.0676332069095257E-12</v>
      </c>
      <c r="GD55" s="62">
        <f t="shared" si="26"/>
        <v>256.43527946358444</v>
      </c>
      <c r="GE55" s="62">
        <f ca="1">AVERAGE(OFFSET($GD$3,0,0,'Données projet'!$E$17+1,1))-AVERAGE(OFFSET($H$3,0,0,'Données projet'!$E$17+1,1))</f>
        <v>223.57443551076992</v>
      </c>
      <c r="GF55" s="62">
        <f t="shared" si="50"/>
        <v>382.12751862619427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17.214035184766171</v>
      </c>
      <c r="GM55" s="23">
        <f>EXP(-LN(2)/25)*GM54+(1-EXP(-LN(2)/25))/(LN(2)/25)*Calculateur!GH55*Calculateur!GJ55*VLOOKUP('Données projet'!$B$17,Paramètres!$A$1:$I$89,3,0)*0.475*44/12</f>
        <v>7.5420009290567078</v>
      </c>
      <c r="GN55" s="23">
        <f>EXP(-LN(2)/2)*GN54+(1-EXP(-LN(2)/2))/(LN(2)/2)*GH55*GK55*VLOOKUP('Données projet'!$B$17,Paramètres!$A$1:$I$89,3,0)*0.475*44/12</f>
        <v>4.9499987713169319E-3</v>
      </c>
      <c r="GO55" s="23">
        <f t="shared" si="27"/>
        <v>24.760986112594196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3.6590249865060742</v>
      </c>
      <c r="GU55" s="13">
        <f>IF('Données projet'!$A$270&gt;35,GU54+GT55-HC54,IF(A55&lt;'Données projet'!$A$270,$GR$205^A55,IF(A55='Données projet'!$A$270,'Données projet'!$B$270,GU54+GT55-HC54)))</f>
        <v>150.50231510204185</v>
      </c>
      <c r="GV55" s="18">
        <f>GU55*VLOOKUP('Données projet'!$B$18,Paramètres!$A$1:$I$89,3,0)*VLOOKUP('Données projet'!$B$18,Paramètres!$A$1:$I$89,5,0)</f>
        <v>164.3485280914297</v>
      </c>
      <c r="GW55" s="14">
        <f t="shared" si="51"/>
        <v>41.821802082440179</v>
      </c>
      <c r="GX55" s="22">
        <f t="shared" si="28"/>
        <v>359.07999171948995</v>
      </c>
      <c r="GY55" s="62">
        <f t="shared" si="29"/>
        <v>615.51527118307331</v>
      </c>
      <c r="GZ55" s="62">
        <f ca="1">AVERAGE(OFFSET($GY$3,0,0,'Données projet'!$E$18+1,1))-AVERAGE(OFFSET($H$3,0,0,'Données projet'!$E$18+1,1))</f>
        <v>754.33260592777049</v>
      </c>
      <c r="HA55" s="62">
        <f t="shared" si="52"/>
        <v>250.97643915279005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9">
        <f t="shared" si="1"/>
        <v>183.33333333333334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769.86331770976608</v>
      </c>
      <c r="S56" s="62">
        <f ca="1">AVERAGE(OFFSET($R$3,0,0,'Données projet'!$E$9+1,1))-AVERAGE(OFFSET($H$3,0,0,'Données projet'!$E$9+1,1))</f>
        <v>550.39292625253665</v>
      </c>
      <c r="T56" s="62">
        <f t="shared" si="34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261.60000000000002</v>
      </c>
      <c r="AJ56" s="14">
        <f>AI56*VLOOKUP('Données projet'!$B$10,Paramètres!$A$1:$I$89,3,0)*VLOOKUP('Données projet'!$B$10,Paramètres!$A$1:$I$89,5,0)</f>
        <v>265.26240000000001</v>
      </c>
      <c r="AK56" s="14">
        <f t="shared" si="35"/>
        <v>63.842797461739814</v>
      </c>
      <c r="AL56" s="22">
        <f t="shared" si="4"/>
        <v>573.19155224586348</v>
      </c>
      <c r="AM56" s="62">
        <f t="shared" si="5"/>
        <v>830.26693045239676</v>
      </c>
      <c r="AN56" s="62">
        <f ca="1">AVERAGE(OFFSET($AM$3,0,0,'Données projet'!$E$10+1,1))-AVERAGE(OFFSET($H$3,0,0,'Données projet'!$E$10+1,1))</f>
        <v>606.55142836375308</v>
      </c>
      <c r="AO56" s="62">
        <f t="shared" si="36"/>
        <v>325.72635759450861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6.6666666666666741</v>
      </c>
      <c r="BD56" s="13">
        <f>IF('Données projet'!$A$88&gt;35,BD55+BC56-BL55,IF(A56&lt;'Données projet'!$A$88,$BA$205^A56,IF(A56='Données projet'!$A$88,'Données projet'!$B$88,BD55+BC56-BL55)))</f>
        <v>259.74358974358978</v>
      </c>
      <c r="BE56" s="14">
        <f>BD56*VLOOKUP('Données projet'!$B$11,Paramètres!$A$1:$I$89,3,0)*VLOOKUP('Données projet'!$B$11,Paramètres!$A$1:$I$89,5,0)</f>
        <v>271.48400000000009</v>
      </c>
      <c r="BF56" s="14">
        <f t="shared" si="37"/>
        <v>65.16411100181999</v>
      </c>
      <c r="BG56" s="22">
        <f t="shared" si="7"/>
        <v>586.32879332816992</v>
      </c>
      <c r="BH56" s="62">
        <f t="shared" si="8"/>
        <v>843.40417153470321</v>
      </c>
      <c r="BI56" s="62">
        <f ca="1">AVERAGE(OFFSET($BH$3,0,0,'Données projet'!$E$11+1,1))-AVERAGE(OFFSET($H$3,0,0,'Données projet'!$E$11+1,1))</f>
        <v>635.13577238794812</v>
      </c>
      <c r="BJ56" s="62">
        <f t="shared" si="38"/>
        <v>374.35810525172019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25.8</v>
      </c>
      <c r="BY56" s="13">
        <f>IF('Données projet'!$A$114&gt;35,BY55+BX56-CG55,IF(A56&lt;'Données projet'!$A$114,$BV$205^A56,IF(A56='Données projet'!$A$114,'Données projet'!$B$114,BY55+BX56-CG55)))</f>
        <v>784.4000000000002</v>
      </c>
      <c r="BZ56" s="14">
        <f>BY56*VLOOKUP('Données projet'!$B$12,Paramètres!$A$1:$I$89,3,0)*VLOOKUP('Données projet'!$B$12,Paramètres!$A$1:$I$89,5,0)</f>
        <v>346.70480000000015</v>
      </c>
      <c r="CA56" s="14">
        <f t="shared" si="39"/>
        <v>80.88362223740495</v>
      </c>
      <c r="CB56" s="22">
        <f t="shared" si="10"/>
        <v>744.71650206348056</v>
      </c>
      <c r="CC56" s="62">
        <f t="shared" si="11"/>
        <v>1001.7918802700137</v>
      </c>
      <c r="CD56" s="62">
        <f ca="1">AVERAGE(OFFSET($CC$3,0,0,'Données projet'!$E$12+1,1))-AVERAGE(OFFSET($H$3,0,0,'Données projet'!$E$12+1,1))</f>
        <v>580.02817743695846</v>
      </c>
      <c r="CE56" s="62">
        <f t="shared" si="40"/>
        <v>551.23515633208865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11.170769230769235</v>
      </c>
      <c r="CT56" s="13">
        <f>IF('Données projet'!$A$140&gt;35,CT55+CS56-DB55,IF(A56&lt;'Données projet'!$A$140,$CQ$205^A56,IF(A56='Données projet'!$A$140,'Données projet'!$B$140,CT55+CS56-DB55)))</f>
        <v>239.74923076923102</v>
      </c>
      <c r="CU56" s="18">
        <f>CT56*VLOOKUP('Données projet'!$B$13,Paramètres!$A$1:$I$89,3,0)*VLOOKUP('Données projet'!$B$13,Paramètres!$A$1:$I$89,5,0)</f>
        <v>112.20264000000012</v>
      </c>
      <c r="CV56" s="14">
        <f t="shared" si="41"/>
        <v>29.84934340268536</v>
      </c>
      <c r="CW56" s="22">
        <f t="shared" si="13"/>
        <v>247.40720442634384</v>
      </c>
      <c r="CX56" s="62">
        <f t="shared" si="14"/>
        <v>504.4825826328771</v>
      </c>
      <c r="CY56" s="62">
        <f ca="1">AVERAGE(OFFSET($CX$3,0,0,'Données projet'!$E$13+1,1))-AVERAGE(OFFSET($H$3,0,0,'Données projet'!$E$13+1,1))</f>
        <v>321.05795935196863</v>
      </c>
      <c r="CZ56" s="62">
        <f t="shared" si="42"/>
        <v>209.59551322748908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IF('Données projet'!$A$166&gt;35,DO55+DN56-DW55,IF(A56&lt;'Données projet'!$A$166,$DL$205^A56,IF(A56='Données projet'!$A$166,'Données projet'!$B$166,DO55+DN56-DW55)))</f>
        <v>261.60000000000002</v>
      </c>
      <c r="DP56" s="18">
        <f>DO56*VLOOKUP('Données projet'!$B$14,Paramètres!$A$1:$I$89,3,0)*VLOOKUP('Données projet'!$B$14,Paramètres!$A$1:$I$89,5,0)</f>
        <v>281.58623999999998</v>
      </c>
      <c r="DQ56" s="14">
        <f t="shared" si="43"/>
        <v>67.302116699219098</v>
      </c>
      <c r="DR56" s="22">
        <f t="shared" si="16"/>
        <v>607.64722125113985</v>
      </c>
      <c r="DS56" s="62">
        <f t="shared" si="17"/>
        <v>864.72259945767314</v>
      </c>
      <c r="DT56" s="62">
        <f ca="1">AVERAGE(OFFSET($DS$3,0,0,'Données projet'!$E$14+1,1))-AVERAGE(OFFSET($H$3,0,0,'Données projet'!$E$14+1,1))</f>
        <v>638.58602907610805</v>
      </c>
      <c r="DU56" s="62">
        <f t="shared" si="44"/>
        <v>341.9250949809848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5.6843418860808015E-14</v>
      </c>
      <c r="EK56" s="18">
        <f>EJ56*VLOOKUP('Données projet'!$B$15,Paramètres!$A$1:$I$89,3,0)*VLOOKUP('Données projet'!$B$15,Paramètres!$A$1:$I$89,5,0)</f>
        <v>3.3992364478763198E-14</v>
      </c>
      <c r="EL56" s="14">
        <f t="shared" si="45"/>
        <v>5.790027782444094E-13</v>
      </c>
      <c r="EM56" s="22">
        <f t="shared" si="19"/>
        <v>1.0676332069095257E-12</v>
      </c>
      <c r="EN56" s="62">
        <f t="shared" si="20"/>
        <v>257.07537820653431</v>
      </c>
      <c r="EO56" s="62">
        <f ca="1">AVERAGE(OFFSET($EN$3,0,0,'Données projet'!$E$15+1,1))-AVERAGE(OFFSET($H$3,0,0,'Données projet'!$E$15+1,1))</f>
        <v>223.57443551076992</v>
      </c>
      <c r="EP56" s="62">
        <f t="shared" si="46"/>
        <v>382.12751862619427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16.876478454317628</v>
      </c>
      <c r="EW56" s="23">
        <f>EXP(-LN(2)/25)*EW55+(1-EXP(-LN(2)/25))/(LN(2)/25)*Calculateur!ER56*Calculateur!ET56*VLOOKUP('Données projet'!$B$15,Paramètres!$A$1:$I$89,3,0)*0.475*44/12</f>
        <v>7.3357645170350612</v>
      </c>
      <c r="EX56" s="23">
        <f>EXP(-LN(2)/2)*EX55+(1-EXP(-LN(2)/2))/(LN(2)/2)*ER56*EU56*VLOOKUP('Données projet'!$B$15,Paramètres!$A$1:$I$89,3,0)*0.475*44/12</f>
        <v>3.5001776980632809E-3</v>
      </c>
      <c r="EY56" s="24">
        <f t="shared" si="21"/>
        <v>24.215743149050752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1.7724999999999995</v>
      </c>
      <c r="FE56" s="13">
        <f>IF('Données projet'!$A$218&gt;35,FE55+FD56-FM55,IF(A56&lt;'Données projet'!$A$218,$FB$205^A56,IF(A56='Données projet'!$A$218,'Données projet'!$B$218,FE55+FD56-FM55)))</f>
        <v>71.955000000000013</v>
      </c>
      <c r="FF56" s="18">
        <f>FE56*VLOOKUP('Données projet'!$B$16,Paramètres!$A$1:$I$89,3,0)*VLOOKUP('Données projet'!$B$16,Paramètres!$A$1:$I$89,5,0)</f>
        <v>82.892160000000004</v>
      </c>
      <c r="FG56" s="14">
        <f t="shared" si="47"/>
        <v>22.842864054032365</v>
      </c>
      <c r="FH56" s="22">
        <f t="shared" si="22"/>
        <v>184.15516689410637</v>
      </c>
      <c r="FI56" s="62">
        <f t="shared" si="23"/>
        <v>441.23054510063957</v>
      </c>
      <c r="FJ56" s="62">
        <f ca="1">AVERAGE(OFFSET($FI$3,0,0,'Données projet'!$E$16+1,1))-AVERAGE(OFFSET($H$3,0,0,'Données projet'!$E$16+1,1))</f>
        <v>283.95543623515323</v>
      </c>
      <c r="FK56" s="62">
        <f t="shared" si="48"/>
        <v>196.96883829830929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5.6843418860808015E-14</v>
      </c>
      <c r="GA56" s="18">
        <f>FZ56*VLOOKUP('Données projet'!$B$17,Paramètres!$A$1:$I$89,3,0)*VLOOKUP('Données projet'!$B$17,Paramètres!$A$1:$I$89,5,0)</f>
        <v>3.3992364478763198E-14</v>
      </c>
      <c r="GB56" s="14">
        <f t="shared" si="49"/>
        <v>5.790027782444094E-13</v>
      </c>
      <c r="GC56" s="22">
        <f t="shared" si="25"/>
        <v>1.0676332069095257E-12</v>
      </c>
      <c r="GD56" s="62">
        <f t="shared" si="26"/>
        <v>257.07537820653431</v>
      </c>
      <c r="GE56" s="62">
        <f ca="1">AVERAGE(OFFSET($GD$3,0,0,'Données projet'!$E$17+1,1))-AVERAGE(OFFSET($H$3,0,0,'Données projet'!$E$17+1,1))</f>
        <v>223.57443551076992</v>
      </c>
      <c r="GF56" s="62">
        <f t="shared" si="50"/>
        <v>382.12751862619427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16.876478454317628</v>
      </c>
      <c r="GM56" s="23">
        <f>EXP(-LN(2)/25)*GM55+(1-EXP(-LN(2)/25))/(LN(2)/25)*Calculateur!GH56*Calculateur!GJ56*VLOOKUP('Données projet'!$B$17,Paramètres!$A$1:$I$89,3,0)*0.475*44/12</f>
        <v>7.3357645170350612</v>
      </c>
      <c r="GN56" s="23">
        <f>EXP(-LN(2)/2)*GN55+(1-EXP(-LN(2)/2))/(LN(2)/2)*GH56*GK56*VLOOKUP('Données projet'!$B$17,Paramètres!$A$1:$I$89,3,0)*0.475*44/12</f>
        <v>3.5001776980632809E-3</v>
      </c>
      <c r="GO56" s="23">
        <f t="shared" si="27"/>
        <v>24.215743149050752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3.6590249865060742</v>
      </c>
      <c r="GU56" s="13">
        <f>IF('Données projet'!$A$270&gt;35,GU55+GT56-HC55,IF(A56&lt;'Données projet'!$A$270,$GR$205^A56,IF(A56='Données projet'!$A$270,'Données projet'!$B$270,GU55+GT56-HC55)))</f>
        <v>154.16134008854792</v>
      </c>
      <c r="GV56" s="18">
        <f>GU56*VLOOKUP('Données projet'!$B$18,Paramètres!$A$1:$I$89,3,0)*VLOOKUP('Données projet'!$B$18,Paramètres!$A$1:$I$89,5,0)</f>
        <v>168.34418337669433</v>
      </c>
      <c r="GW56" s="14">
        <f t="shared" si="51"/>
        <v>42.718964753686777</v>
      </c>
      <c r="GX56" s="22">
        <f t="shared" si="28"/>
        <v>367.60164966041378</v>
      </c>
      <c r="GY56" s="62">
        <f t="shared" si="29"/>
        <v>624.67702786694701</v>
      </c>
      <c r="GZ56" s="62">
        <f ca="1">AVERAGE(OFFSET($GY$3,0,0,'Données projet'!$E$18+1,1))-AVERAGE(OFFSET($H$3,0,0,'Données projet'!$E$18+1,1))</f>
        <v>754.33260592777049</v>
      </c>
      <c r="HA56" s="62">
        <f t="shared" si="52"/>
        <v>250.97643915279005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9">
        <f t="shared" si="1"/>
        <v>183.33333333333334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790.02227103292194</v>
      </c>
      <c r="S57" s="62">
        <f ca="1">AVERAGE(OFFSET($R$3,0,0,'Données projet'!$E$9+1,1))-AVERAGE(OFFSET($H$3,0,0,'Données projet'!$E$9+1,1))</f>
        <v>550.39292625253665</v>
      </c>
      <c r="T57" s="62">
        <f t="shared" si="34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271.8</v>
      </c>
      <c r="AJ57" s="14">
        <f>AI57*VLOOKUP('Données projet'!$B$10,Paramètres!$A$1:$I$89,3,0)*VLOOKUP('Données projet'!$B$10,Paramètres!$A$1:$I$89,5,0)</f>
        <v>275.60520000000002</v>
      </c>
      <c r="AK57" s="14">
        <f t="shared" si="35"/>
        <v>66.037407906416391</v>
      </c>
      <c r="AL57" s="22">
        <f t="shared" si="4"/>
        <v>595.02754210367516</v>
      </c>
      <c r="AM57" s="62">
        <f t="shared" si="5"/>
        <v>852.73191477101454</v>
      </c>
      <c r="AN57" s="62">
        <f ca="1">AVERAGE(OFFSET($AM$3,0,0,'Données projet'!$E$10+1,1))-AVERAGE(OFFSET($H$3,0,0,'Données projet'!$E$10+1,1))</f>
        <v>606.55142836375308</v>
      </c>
      <c r="AO57" s="62">
        <f t="shared" si="36"/>
        <v>325.72635759450861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6.6666666666666741</v>
      </c>
      <c r="BD57" s="13">
        <f>IF('Données projet'!$A$88&gt;35,BD56+BC57-BL56,IF(A57&lt;'Données projet'!$A$88,$BA$205^A57,IF(A57='Données projet'!$A$88,'Données projet'!$B$88,BD56+BC57-BL56)))</f>
        <v>266.41025641025647</v>
      </c>
      <c r="BE57" s="14">
        <f>BD57*VLOOKUP('Données projet'!$B$11,Paramètres!$A$1:$I$89,3,0)*VLOOKUP('Données projet'!$B$11,Paramètres!$A$1:$I$89,5,0)</f>
        <v>278.45200000000006</v>
      </c>
      <c r="BF57" s="14">
        <f t="shared" si="37"/>
        <v>66.639766503676256</v>
      </c>
      <c r="BG57" s="22">
        <f t="shared" si="7"/>
        <v>601.03482666056959</v>
      </c>
      <c r="BH57" s="62">
        <f t="shared" si="8"/>
        <v>858.73919932790886</v>
      </c>
      <c r="BI57" s="62">
        <f ca="1">AVERAGE(OFFSET($BH$3,0,0,'Données projet'!$E$11+1,1))-AVERAGE(OFFSET($H$3,0,0,'Données projet'!$E$11+1,1))</f>
        <v>635.13577238794812</v>
      </c>
      <c r="BJ57" s="62">
        <f t="shared" si="38"/>
        <v>374.35810525172019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25.8</v>
      </c>
      <c r="BY57" s="13">
        <f>IF('Données projet'!$A$114&gt;35,BY56+BX57-CG56,IF(A57&lt;'Données projet'!$A$114,$BV$205^A57,IF(A57='Données projet'!$A$114,'Données projet'!$B$114,BY56+BX57-CG56)))</f>
        <v>810.20000000000016</v>
      </c>
      <c r="BZ57" s="14">
        <f>BY57*VLOOKUP('Données projet'!$B$12,Paramètres!$A$1:$I$89,3,0)*VLOOKUP('Données projet'!$B$12,Paramètres!$A$1:$I$89,5,0)</f>
        <v>358.10840000000013</v>
      </c>
      <c r="CA57" s="14">
        <f t="shared" si="39"/>
        <v>83.229883035661587</v>
      </c>
      <c r="CB57" s="22">
        <f t="shared" si="10"/>
        <v>768.66417628711076</v>
      </c>
      <c r="CC57" s="62">
        <f t="shared" si="11"/>
        <v>1026.36854895445</v>
      </c>
      <c r="CD57" s="62">
        <f ca="1">AVERAGE(OFFSET($CC$3,0,0,'Données projet'!$E$12+1,1))-AVERAGE(OFFSET($H$3,0,0,'Données projet'!$E$12+1,1))</f>
        <v>580.02817743695846</v>
      </c>
      <c r="CE57" s="62">
        <f t="shared" si="40"/>
        <v>551.23515633208865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11.170769230769235</v>
      </c>
      <c r="CT57" s="13">
        <f>IF('Données projet'!$A$140&gt;35,CT56+CS57-DB56,IF(A57&lt;'Données projet'!$A$140,$CQ$205^A57,IF(A57='Données projet'!$A$140,'Données projet'!$B$140,CT56+CS57-DB56)))</f>
        <v>250.92000000000024</v>
      </c>
      <c r="CU57" s="18">
        <f>CT57*VLOOKUP('Données projet'!$B$13,Paramètres!$A$1:$I$89,3,0)*VLOOKUP('Données projet'!$B$13,Paramètres!$A$1:$I$89,5,0)</f>
        <v>117.43056000000011</v>
      </c>
      <c r="CV57" s="14">
        <f t="shared" si="41"/>
        <v>31.074966780724139</v>
      </c>
      <c r="CW57" s="22">
        <f t="shared" si="13"/>
        <v>258.64712580976141</v>
      </c>
      <c r="CX57" s="62">
        <f t="shared" si="14"/>
        <v>516.35149847710068</v>
      </c>
      <c r="CY57" s="62">
        <f ca="1">AVERAGE(OFFSET($CX$3,0,0,'Données projet'!$E$13+1,1))-AVERAGE(OFFSET($H$3,0,0,'Données projet'!$E$13+1,1))</f>
        <v>321.05795935196863</v>
      </c>
      <c r="CZ57" s="62">
        <f t="shared" si="42"/>
        <v>209.59551322748908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IF('Données projet'!$A$166&gt;35,DO56+DN57-DW56,IF(A57&lt;'Données projet'!$A$166,$DL$205^A57,IF(A57='Données projet'!$A$166,'Données projet'!$B$166,DO56+DN57-DW56)))</f>
        <v>271.8</v>
      </c>
      <c r="DP57" s="18">
        <f>DO57*VLOOKUP('Données projet'!$B$14,Paramètres!$A$1:$I$89,3,0)*VLOOKUP('Données projet'!$B$14,Paramètres!$A$1:$I$89,5,0)</f>
        <v>292.56551999999999</v>
      </c>
      <c r="DQ57" s="14">
        <f t="shared" si="43"/>
        <v>69.615642016549756</v>
      </c>
      <c r="DR57" s="22">
        <f t="shared" si="16"/>
        <v>630.79885717882416</v>
      </c>
      <c r="DS57" s="62">
        <f t="shared" si="17"/>
        <v>888.50322984616355</v>
      </c>
      <c r="DT57" s="62">
        <f ca="1">AVERAGE(OFFSET($DS$3,0,0,'Données projet'!$E$14+1,1))-AVERAGE(OFFSET($H$3,0,0,'Données projet'!$E$14+1,1))</f>
        <v>638.58602907610805</v>
      </c>
      <c r="DU57" s="62">
        <f t="shared" si="44"/>
        <v>341.9250949809848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5.6843418860808015E-14</v>
      </c>
      <c r="EK57" s="18">
        <f>EJ57*VLOOKUP('Données projet'!$B$15,Paramètres!$A$1:$I$89,3,0)*VLOOKUP('Données projet'!$B$15,Paramètres!$A$1:$I$89,5,0)</f>
        <v>3.3992364478763198E-14</v>
      </c>
      <c r="EL57" s="14">
        <f t="shared" si="45"/>
        <v>5.790027782444094E-13</v>
      </c>
      <c r="EM57" s="22">
        <f t="shared" si="19"/>
        <v>1.0676332069095257E-12</v>
      </c>
      <c r="EN57" s="62">
        <f t="shared" si="20"/>
        <v>257.70437266734041</v>
      </c>
      <c r="EO57" s="62">
        <f ca="1">AVERAGE(OFFSET($EN$3,0,0,'Données projet'!$E$15+1,1))-AVERAGE(OFFSET($H$3,0,0,'Données projet'!$E$15+1,1))</f>
        <v>223.57443551076992</v>
      </c>
      <c r="EP57" s="62">
        <f t="shared" si="46"/>
        <v>382.12751862619427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16.545541005463903</v>
      </c>
      <c r="EW57" s="23">
        <f>EXP(-LN(2)/25)*EW56+(1-EXP(-LN(2)/25))/(LN(2)/25)*Calculateur!ER57*Calculateur!ET57*VLOOKUP('Données projet'!$B$15,Paramètres!$A$1:$I$89,3,0)*0.475*44/12</f>
        <v>7.1351676505456476</v>
      </c>
      <c r="EX57" s="23">
        <f>EXP(-LN(2)/2)*EX56+(1-EXP(-LN(2)/2))/(LN(2)/2)*ER57*EU57*VLOOKUP('Données projet'!$B$15,Paramètres!$A$1:$I$89,3,0)*0.475*44/12</f>
        <v>2.474999385658466E-3</v>
      </c>
      <c r="EY57" s="24">
        <f t="shared" si="21"/>
        <v>23.683183655395208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1.7724999999999995</v>
      </c>
      <c r="FE57" s="13">
        <f>IF('Données projet'!$A$218&gt;35,FE56+FD57-FM56,IF(A57&lt;'Données projet'!$A$218,$FB$205^A57,IF(A57='Données projet'!$A$218,'Données projet'!$B$218,FE56+FD57-FM56)))</f>
        <v>73.727500000000006</v>
      </c>
      <c r="FF57" s="18">
        <f>FE57*VLOOKUP('Données projet'!$B$16,Paramètres!$A$1:$I$89,3,0)*VLOOKUP('Données projet'!$B$16,Paramètres!$A$1:$I$89,5,0)</f>
        <v>84.934080000000009</v>
      </c>
      <c r="FG57" s="14">
        <f t="shared" si="47"/>
        <v>23.339358152569286</v>
      </c>
      <c r="FH57" s="22">
        <f t="shared" si="22"/>
        <v>188.57623811572486</v>
      </c>
      <c r="FI57" s="62">
        <f t="shared" si="23"/>
        <v>446.28061078306416</v>
      </c>
      <c r="FJ57" s="62">
        <f ca="1">AVERAGE(OFFSET($FI$3,0,0,'Données projet'!$E$16+1,1))-AVERAGE(OFFSET($H$3,0,0,'Données projet'!$E$16+1,1))</f>
        <v>283.95543623515323</v>
      </c>
      <c r="FK57" s="62">
        <f t="shared" si="48"/>
        <v>196.96883829830929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5.6843418860808015E-14</v>
      </c>
      <c r="GA57" s="18">
        <f>FZ57*VLOOKUP('Données projet'!$B$17,Paramètres!$A$1:$I$89,3,0)*VLOOKUP('Données projet'!$B$17,Paramètres!$A$1:$I$89,5,0)</f>
        <v>3.3992364478763198E-14</v>
      </c>
      <c r="GB57" s="14">
        <f t="shared" si="49"/>
        <v>5.790027782444094E-13</v>
      </c>
      <c r="GC57" s="22">
        <f t="shared" si="25"/>
        <v>1.0676332069095257E-12</v>
      </c>
      <c r="GD57" s="62">
        <f t="shared" si="26"/>
        <v>257.70437266734041</v>
      </c>
      <c r="GE57" s="62">
        <f ca="1">AVERAGE(OFFSET($GD$3,0,0,'Données projet'!$E$17+1,1))-AVERAGE(OFFSET($H$3,0,0,'Données projet'!$E$17+1,1))</f>
        <v>223.57443551076992</v>
      </c>
      <c r="GF57" s="62">
        <f t="shared" si="50"/>
        <v>382.12751862619427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16.545541005463903</v>
      </c>
      <c r="GM57" s="23">
        <f>EXP(-LN(2)/25)*GM56+(1-EXP(-LN(2)/25))/(LN(2)/25)*Calculateur!GH57*Calculateur!GJ57*VLOOKUP('Données projet'!$B$17,Paramètres!$A$1:$I$89,3,0)*0.475*44/12</f>
        <v>7.1351676505456476</v>
      </c>
      <c r="GN57" s="23">
        <f>EXP(-LN(2)/2)*GN56+(1-EXP(-LN(2)/2))/(LN(2)/2)*GH57*GK57*VLOOKUP('Données projet'!$B$17,Paramètres!$A$1:$I$89,3,0)*0.475*44/12</f>
        <v>2.474999385658466E-3</v>
      </c>
      <c r="GO57" s="23">
        <f t="shared" si="27"/>
        <v>23.683183655395208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3.6590249865060742</v>
      </c>
      <c r="GU57" s="13">
        <f>IF('Données projet'!$A$270&gt;35,GU56+GT57-HC56,IF(A57&lt;'Données projet'!$A$270,$GR$205^A57,IF(A57='Données projet'!$A$270,'Données projet'!$B$270,GU56+GT57-HC56)))</f>
        <v>157.82036507505399</v>
      </c>
      <c r="GV57" s="18">
        <f>GU57*VLOOKUP('Données projet'!$B$18,Paramètres!$A$1:$I$89,3,0)*VLOOKUP('Données projet'!$B$18,Paramètres!$A$1:$I$89,5,0)</f>
        <v>172.33983866195894</v>
      </c>
      <c r="GW57" s="14">
        <f t="shared" si="51"/>
        <v>43.613651956542725</v>
      </c>
      <c r="GX57" s="22">
        <f t="shared" si="28"/>
        <v>376.11899616055706</v>
      </c>
      <c r="GY57" s="62">
        <f t="shared" si="29"/>
        <v>633.82336882789639</v>
      </c>
      <c r="GZ57" s="62">
        <f ca="1">AVERAGE(OFFSET($GY$3,0,0,'Données projet'!$E$18+1,1))-AVERAGE(OFFSET($H$3,0,0,'Données projet'!$E$18+1,1))</f>
        <v>754.33260592777049</v>
      </c>
      <c r="HA57" s="62">
        <f t="shared" si="52"/>
        <v>250.97643915279005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9">
        <f t="shared" si="1"/>
        <v>183.33333333333334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810.15524454226863</v>
      </c>
      <c r="S58" s="62">
        <f ca="1">AVERAGE(OFFSET($R$3,0,0,'Données projet'!$E$9+1,1))-AVERAGE(OFFSET($H$3,0,0,'Données projet'!$E$9+1,1))</f>
        <v>550.39292625253665</v>
      </c>
      <c r="T58" s="62">
        <f t="shared" si="34"/>
        <v>297.32483725004136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282</v>
      </c>
      <c r="AJ58" s="14">
        <f>AI58*VLOOKUP('Données projet'!$B$10,Paramètres!$A$1:$I$89,3,0)*VLOOKUP('Données projet'!$B$10,Paramètres!$A$1:$I$89,5,0)</f>
        <v>285.94800000000004</v>
      </c>
      <c r="AK58" s="14">
        <f t="shared" si="35"/>
        <v>68.222450362989363</v>
      </c>
      <c r="AL58" s="22">
        <f t="shared" si="4"/>
        <v>616.84686771553982</v>
      </c>
      <c r="AM58" s="62">
        <f t="shared" si="5"/>
        <v>875.16932319601119</v>
      </c>
      <c r="AN58" s="62">
        <f ca="1">AVERAGE(OFFSET($AM$3,0,0,'Données projet'!$E$10+1,1))-AVERAGE(OFFSET($H$3,0,0,'Données projet'!$E$10+1,1))</f>
        <v>606.55142836375308</v>
      </c>
      <c r="AO58" s="62">
        <f t="shared" si="36"/>
        <v>325.72635759450861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273.07692307692309</v>
      </c>
      <c r="BB58" s="13">
        <f>VLOOKUP(A58,'Données projet'!$A$87:$I$107,9,0)</f>
        <v>6.6666666666666741</v>
      </c>
      <c r="BC58" s="13">
        <f t="array" ref="BC58">INDEX(BB:BB,MIN(IF(ISNUMBER(BB58:BB254),ROW(BB58:BB254),"")))</f>
        <v>6.6666666666666741</v>
      </c>
      <c r="BD58" s="13">
        <f>IF('Données projet'!$A$88&gt;35,BD57+BC58-BL57,IF(A58&lt;'Données projet'!$A$88,$BA$205^A58,IF(A58='Données projet'!$A$88,'Données projet'!$B$88,BD57+BC58-BL57)))</f>
        <v>273.07692307692315</v>
      </c>
      <c r="BE58" s="14">
        <f>BD58*VLOOKUP('Données projet'!$B$11,Paramètres!$A$1:$I$89,3,0)*VLOOKUP('Données projet'!$B$11,Paramètres!$A$1:$I$89,5,0)</f>
        <v>285.42000000000007</v>
      </c>
      <c r="BF58" s="14">
        <f t="shared" si="37"/>
        <v>68.111129495556028</v>
      </c>
      <c r="BG58" s="22">
        <f t="shared" si="7"/>
        <v>615.73338387142678</v>
      </c>
      <c r="BH58" s="62">
        <f t="shared" si="8"/>
        <v>874.05583935189816</v>
      </c>
      <c r="BI58" s="62">
        <f ca="1">AVERAGE(OFFSET($BH$3,0,0,'Données projet'!$E$11+1,1))-AVERAGE(OFFSET($H$3,0,0,'Données projet'!$E$11+1,1))</f>
        <v>635.13577238794812</v>
      </c>
      <c r="BJ58" s="62">
        <f t="shared" si="38"/>
        <v>374.35810525172019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28.846153846153847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836</v>
      </c>
      <c r="BW58" s="13">
        <f>VLOOKUP(A58,'Données projet'!$A$113:$I$133,9,0)</f>
        <v>25.8</v>
      </c>
      <c r="BX58" s="13">
        <f t="array" ref="BX58">INDEX(BW:BW,MIN(IF(ISNUMBER(BW58:BW254),ROW(BW58:BW254),"")))</f>
        <v>25.8</v>
      </c>
      <c r="BY58" s="13">
        <f>IF('Données projet'!$A$114&gt;35,BY57+BX58-CG57,IF(A58&lt;'Données projet'!$A$114,$BV$205^A58,IF(A58='Données projet'!$A$114,'Données projet'!$B$114,BY57+BX58-CG57)))</f>
        <v>836.00000000000011</v>
      </c>
      <c r="BZ58" s="14">
        <f>BY58*VLOOKUP('Données projet'!$B$12,Paramètres!$A$1:$I$89,3,0)*VLOOKUP('Données projet'!$B$12,Paramètres!$A$1:$I$89,5,0)</f>
        <v>369.51200000000011</v>
      </c>
      <c r="CA58" s="14">
        <f t="shared" si="39"/>
        <v>85.567461636708416</v>
      </c>
      <c r="CB58" s="22">
        <f t="shared" si="10"/>
        <v>792.59672901726719</v>
      </c>
      <c r="CC58" s="62">
        <f t="shared" si="11"/>
        <v>1050.9191844977386</v>
      </c>
      <c r="CD58" s="62">
        <f ca="1">AVERAGE(OFFSET($CC$3,0,0,'Données projet'!$E$12+1,1))-AVERAGE(OFFSET($H$3,0,0,'Données projet'!$E$12+1,1))</f>
        <v>580.02817743695846</v>
      </c>
      <c r="CE58" s="62">
        <f t="shared" si="40"/>
        <v>551.23515633208865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11.170769230769235</v>
      </c>
      <c r="CT58" s="13">
        <f>IF('Données projet'!$A$140&gt;35,CT57+CS58-DB57,IF(A58&lt;'Données projet'!$A$140,$CQ$205^A58,IF(A58='Données projet'!$A$140,'Données projet'!$B$140,CT57+CS58-DB57)))</f>
        <v>262.09076923076947</v>
      </c>
      <c r="CU58" s="18">
        <f>CT58*VLOOKUP('Données projet'!$B$13,Paramètres!$A$1:$I$89,3,0)*VLOOKUP('Données projet'!$B$13,Paramètres!$A$1:$I$89,5,0)</f>
        <v>122.6584800000001</v>
      </c>
      <c r="CV58" s="14">
        <f t="shared" si="41"/>
        <v>32.294253146422101</v>
      </c>
      <c r="CW58" s="22">
        <f t="shared" si="13"/>
        <v>269.87601023001861</v>
      </c>
      <c r="CX58" s="62">
        <f t="shared" si="14"/>
        <v>528.19846571048993</v>
      </c>
      <c r="CY58" s="62">
        <f ca="1">AVERAGE(OFFSET($CX$3,0,0,'Données projet'!$E$13+1,1))-AVERAGE(OFFSET($H$3,0,0,'Données projet'!$E$13+1,1))</f>
        <v>321.05795935196863</v>
      </c>
      <c r="CZ58" s="62">
        <f t="shared" si="42"/>
        <v>209.59551322748908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282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IF('Données projet'!$A$166&gt;35,DO57+DN58-DW57,IF(A58&lt;'Données projet'!$A$166,$DL$205^A58,IF(A58='Données projet'!$A$166,'Données projet'!$B$166,DO57+DN58-DW57)))</f>
        <v>282</v>
      </c>
      <c r="DP58" s="18">
        <f>DO58*VLOOKUP('Données projet'!$B$14,Paramètres!$A$1:$I$89,3,0)*VLOOKUP('Données projet'!$B$14,Paramètres!$A$1:$I$89,5,0)</f>
        <v>303.54480000000001</v>
      </c>
      <c r="DQ58" s="14">
        <f t="shared" si="43"/>
        <v>71.919080904752505</v>
      </c>
      <c r="DR58" s="22">
        <f t="shared" si="16"/>
        <v>653.93292590911062</v>
      </c>
      <c r="DS58" s="62">
        <f t="shared" si="17"/>
        <v>912.255381389582</v>
      </c>
      <c r="DT58" s="62">
        <f ca="1">AVERAGE(OFFSET($DS$3,0,0,'Données projet'!$E$14+1,1))-AVERAGE(OFFSET($H$3,0,0,'Données projet'!$E$14+1,1))</f>
        <v>638.58602907610805</v>
      </c>
      <c r="DU58" s="62">
        <f t="shared" si="44"/>
        <v>341.9250949809848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56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5.6843418860808015E-14</v>
      </c>
      <c r="EK58" s="18">
        <f>EJ58*VLOOKUP('Données projet'!$B$15,Paramètres!$A$1:$I$89,3,0)*VLOOKUP('Données projet'!$B$15,Paramètres!$A$1:$I$89,5,0)</f>
        <v>3.3992364478763198E-14</v>
      </c>
      <c r="EL58" s="14">
        <f t="shared" si="45"/>
        <v>5.790027782444094E-13</v>
      </c>
      <c r="EM58" s="22">
        <f t="shared" si="19"/>
        <v>1.0676332069095257E-12</v>
      </c>
      <c r="EN58" s="62">
        <f t="shared" si="20"/>
        <v>258.32245548047246</v>
      </c>
      <c r="EO58" s="62">
        <f ca="1">AVERAGE(OFFSET($EN$3,0,0,'Données projet'!$E$15+1,1))-AVERAGE(OFFSET($H$3,0,0,'Données projet'!$E$15+1,1))</f>
        <v>223.57443551076992</v>
      </c>
      <c r="EP58" s="62">
        <f t="shared" si="46"/>
        <v>382.12751862619427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16.221093038130288</v>
      </c>
      <c r="EW58" s="23">
        <f>EXP(-LN(2)/25)*EW57+(1-EXP(-LN(2)/25))/(LN(2)/25)*Calculateur!ER58*Calculateur!ET58*VLOOKUP('Données projet'!$B$15,Paramètres!$A$1:$I$89,3,0)*0.475*44/12</f>
        <v>6.9400561159193179</v>
      </c>
      <c r="EX58" s="23">
        <f>EXP(-LN(2)/2)*EX57+(1-EXP(-LN(2)/2))/(LN(2)/2)*ER58*EU58*VLOOKUP('Données projet'!$B$15,Paramètres!$A$1:$I$89,3,0)*0.475*44/12</f>
        <v>1.7500888490316405E-3</v>
      </c>
      <c r="EY58" s="24">
        <f t="shared" si="21"/>
        <v>23.162899242898639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1.7724999999999995</v>
      </c>
      <c r="FE58" s="13">
        <f>IF('Données projet'!$A$218&gt;35,FE57+FD58-FM57,IF(A58&lt;'Données projet'!$A$218,$FB$205^A58,IF(A58='Données projet'!$A$218,'Données projet'!$B$218,FE57+FD58-FM57)))</f>
        <v>75.5</v>
      </c>
      <c r="FF58" s="18">
        <f>FE58*VLOOKUP('Données projet'!$B$16,Paramètres!$A$1:$I$89,3,0)*VLOOKUP('Données projet'!$B$16,Paramètres!$A$1:$I$89,5,0)</f>
        <v>86.975999999999999</v>
      </c>
      <c r="FG58" s="14">
        <f t="shared" si="47"/>
        <v>23.834464663215773</v>
      </c>
      <c r="FH58" s="22">
        <f t="shared" si="22"/>
        <v>192.99489262176746</v>
      </c>
      <c r="FI58" s="62">
        <f t="shared" si="23"/>
        <v>451.31734810223884</v>
      </c>
      <c r="FJ58" s="62">
        <f ca="1">AVERAGE(OFFSET($FI$3,0,0,'Données projet'!$E$16+1,1))-AVERAGE(OFFSET($H$3,0,0,'Données projet'!$E$16+1,1))</f>
        <v>283.95543623515323</v>
      </c>
      <c r="FK58" s="62">
        <f t="shared" si="48"/>
        <v>196.96883829830929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5.6843418860808015E-14</v>
      </c>
      <c r="GA58" s="18">
        <f>FZ58*VLOOKUP('Données projet'!$B$17,Paramètres!$A$1:$I$89,3,0)*VLOOKUP('Données projet'!$B$17,Paramètres!$A$1:$I$89,5,0)</f>
        <v>3.3992364478763198E-14</v>
      </c>
      <c r="GB58" s="14">
        <f t="shared" si="49"/>
        <v>5.790027782444094E-13</v>
      </c>
      <c r="GC58" s="22">
        <f t="shared" si="25"/>
        <v>1.0676332069095257E-12</v>
      </c>
      <c r="GD58" s="62">
        <f t="shared" si="26"/>
        <v>258.32245548047246</v>
      </c>
      <c r="GE58" s="62">
        <f ca="1">AVERAGE(OFFSET($GD$3,0,0,'Données projet'!$E$17+1,1))-AVERAGE(OFFSET($H$3,0,0,'Données projet'!$E$17+1,1))</f>
        <v>223.57443551076992</v>
      </c>
      <c r="GF58" s="62">
        <f t="shared" si="50"/>
        <v>382.12751862619427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16.221093038130288</v>
      </c>
      <c r="GM58" s="23">
        <f>EXP(-LN(2)/25)*GM57+(1-EXP(-LN(2)/25))/(LN(2)/25)*Calculateur!GH58*Calculateur!GJ58*VLOOKUP('Données projet'!$B$17,Paramètres!$A$1:$I$89,3,0)*0.475*44/12</f>
        <v>6.9400561159193179</v>
      </c>
      <c r="GN58" s="23">
        <f>EXP(-LN(2)/2)*GN57+(1-EXP(-LN(2)/2))/(LN(2)/2)*GH58*GK58*VLOOKUP('Données projet'!$B$17,Paramètres!$A$1:$I$89,3,0)*0.475*44/12</f>
        <v>1.7500888490316405E-3</v>
      </c>
      <c r="GO58" s="23">
        <f t="shared" si="27"/>
        <v>23.162899242898639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161.47939006156008</v>
      </c>
      <c r="GS58" s="13">
        <f>VLOOKUP(A58,'Données projet'!$A$269:$I$289,9,0)</f>
        <v>3.6590249865060742</v>
      </c>
      <c r="GT58" s="13">
        <f t="array" ref="GT58">INDEX(GS:GS,MIN(IF(ISNUMBER(GS58:GS254),ROW(GS58:GS254),"")))</f>
        <v>3.6590249865060742</v>
      </c>
      <c r="GU58" s="13">
        <f>IF('Données projet'!$A$270&gt;35,GU57+GT58-HC57,IF(A58&lt;'Données projet'!$A$270,$GR$205^A58,IF(A58='Données projet'!$A$270,'Données projet'!$B$270,GU57+GT58-HC57)))</f>
        <v>161.47939006156005</v>
      </c>
      <c r="GV58" s="18">
        <f>GU58*VLOOKUP('Données projet'!$B$18,Paramètres!$A$1:$I$89,3,0)*VLOOKUP('Données projet'!$B$18,Paramètres!$A$1:$I$89,5,0)</f>
        <v>176.33549394722357</v>
      </c>
      <c r="GW58" s="14">
        <f t="shared" si="51"/>
        <v>44.505927689878746</v>
      </c>
      <c r="GX58" s="22">
        <f t="shared" si="28"/>
        <v>384.63214268461985</v>
      </c>
      <c r="GY58" s="62">
        <f t="shared" si="29"/>
        <v>642.95459816509128</v>
      </c>
      <c r="GZ58" s="62">
        <f ca="1">AVERAGE(OFFSET($GY$3,0,0,'Données projet'!$E$18+1,1))-AVERAGE(OFFSET($H$3,0,0,'Données projet'!$E$18+1,1))</f>
        <v>754.33260592777049</v>
      </c>
      <c r="HA58" s="62">
        <f t="shared" si="52"/>
        <v>250.97643915279005</v>
      </c>
      <c r="HB58" s="16">
        <f>IF(ISNA(VLOOKUP(A58,'Données projet'!$A$269:$I$289,3,0)),0,VLOOKUP(A58,'Données projet'!$A$269:$I$289,3,0))</f>
        <v>3</v>
      </c>
      <c r="HC58" s="16">
        <f>IF(ISNA(VLOOKUP(A58,'Données projet'!$A$269:$I$289,4,0)),0,VLOOKUP(A58,'Données projet'!$A$269:$I$289,4,0))</f>
        <v>17.942154451284448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9">
        <f t="shared" si="1"/>
        <v>183.33333333333334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721.47875790189846</v>
      </c>
      <c r="S59" s="62">
        <f ca="1">AVERAGE(OFFSET($R$3,0,0,'Données projet'!$E$9+1,1))-AVERAGE(OFFSET($H$3,0,0,'Données projet'!$E$9+1,1))</f>
        <v>550.39292625253665</v>
      </c>
      <c r="T59" s="62">
        <f t="shared" si="34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238.69559999999998</v>
      </c>
      <c r="AK59" s="14">
        <f t="shared" si="35"/>
        <v>58.158793514165929</v>
      </c>
      <c r="AL59" s="22">
        <f t="shared" si="4"/>
        <v>517.02140203717238</v>
      </c>
      <c r="AM59" s="62">
        <f t="shared" si="5"/>
        <v>775.95121797579418</v>
      </c>
      <c r="AN59" s="62">
        <f ca="1">AVERAGE(OFFSET($AM$3,0,0,'Données projet'!$E$10+1,1))-AVERAGE(OFFSET($H$3,0,0,'Données projet'!$E$10+1,1))</f>
        <v>606.55142836375308</v>
      </c>
      <c r="AO59" s="62">
        <f t="shared" si="36"/>
        <v>325.72635759450861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6.4102564102564035</v>
      </c>
      <c r="BD59" s="13">
        <f>IF('Données projet'!$A$88&gt;35,BD58+BC59-BL58,IF(A59&lt;'Données projet'!$A$88,$BA$205^A59,IF(A59='Données projet'!$A$88,'Données projet'!$B$88,BD58+BC59-BL58)))</f>
        <v>250.64102564102572</v>
      </c>
      <c r="BE59" s="14">
        <f>BD59*VLOOKUP('Données projet'!$B$11,Paramètres!$A$1:$I$89,3,0)*VLOOKUP('Données projet'!$B$11,Paramètres!$A$1:$I$89,5,0)</f>
        <v>261.97000000000008</v>
      </c>
      <c r="BF59" s="14">
        <f t="shared" si="37"/>
        <v>63.142117689740587</v>
      </c>
      <c r="BG59" s="22">
        <f t="shared" si="7"/>
        <v>566.23693830963157</v>
      </c>
      <c r="BH59" s="62">
        <f t="shared" si="8"/>
        <v>825.16675424825326</v>
      </c>
      <c r="BI59" s="62">
        <f ca="1">AVERAGE(OFFSET($BH$3,0,0,'Données projet'!$E$11+1,1))-AVERAGE(OFFSET($H$3,0,0,'Données projet'!$E$11+1,1))</f>
        <v>635.13577238794812</v>
      </c>
      <c r="BJ59" s="62">
        <f t="shared" si="38"/>
        <v>374.35810525172019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22.4</v>
      </c>
      <c r="BY59" s="13">
        <f>IF('Données projet'!$A$114&gt;35,BY58+BX59-CG58,IF(A59&lt;'Données projet'!$A$114,$BV$205^A59,IF(A59='Données projet'!$A$114,'Données projet'!$B$114,BY58+BX59-CG58)))</f>
        <v>858.40000000000009</v>
      </c>
      <c r="BZ59" s="14">
        <f>BY59*VLOOKUP('Données projet'!$B$12,Paramètres!$A$1:$I$89,3,0)*VLOOKUP('Données projet'!$B$12,Paramètres!$A$1:$I$89,5,0)</f>
        <v>379.41280000000006</v>
      </c>
      <c r="CA59" s="14">
        <f t="shared" si="39"/>
        <v>87.590177997731288</v>
      </c>
      <c r="CB59" s="22">
        <f t="shared" si="10"/>
        <v>813.36352001271553</v>
      </c>
      <c r="CC59" s="62">
        <f t="shared" si="11"/>
        <v>1072.2933359513372</v>
      </c>
      <c r="CD59" s="62">
        <f ca="1">AVERAGE(OFFSET($CC$3,0,0,'Données projet'!$E$12+1,1))-AVERAGE(OFFSET($H$3,0,0,'Données projet'!$E$12+1,1))</f>
        <v>580.02817743695846</v>
      </c>
      <c r="CE59" s="62">
        <f t="shared" si="40"/>
        <v>551.23515633208865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11.170769230769235</v>
      </c>
      <c r="CT59" s="13">
        <f>IF('Données projet'!$A$140&gt;35,CT58+CS59-DB58,IF(A59&lt;'Données projet'!$A$140,$CQ$205^A59,IF(A59='Données projet'!$A$140,'Données projet'!$B$140,CT58+CS59-DB58)))</f>
        <v>273.26153846153869</v>
      </c>
      <c r="CU59" s="18">
        <f>CT59*VLOOKUP('Données projet'!$B$13,Paramètres!$A$1:$I$89,3,0)*VLOOKUP('Données projet'!$B$13,Paramètres!$A$1:$I$89,5,0)</f>
        <v>127.88640000000011</v>
      </c>
      <c r="CV59" s="14">
        <f t="shared" si="41"/>
        <v>33.507503472593491</v>
      </c>
      <c r="CW59" s="22">
        <f t="shared" si="13"/>
        <v>281.09438188143378</v>
      </c>
      <c r="CX59" s="62">
        <f t="shared" si="14"/>
        <v>540.02419782005552</v>
      </c>
      <c r="CY59" s="62">
        <f ca="1">AVERAGE(OFFSET($CX$3,0,0,'Données projet'!$E$13+1,1))-AVERAGE(OFFSET($H$3,0,0,'Données projet'!$E$13+1,1))</f>
        <v>321.05795935196863</v>
      </c>
      <c r="CZ59" s="62">
        <f t="shared" si="42"/>
        <v>209.59551322748908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IF('Données projet'!$A$166&gt;35,DO58+DN59-DW58,IF(A59&lt;'Données projet'!$A$166,$DL$205^A59,IF(A59='Données projet'!$A$166,'Données projet'!$B$166,DO58+DN59-DW58)))</f>
        <v>235.39999999999998</v>
      </c>
      <c r="DP59" s="18">
        <f>DO59*VLOOKUP('Données projet'!$B$14,Paramètres!$A$1:$I$89,3,0)*VLOOKUP('Données projet'!$B$14,Paramètres!$A$1:$I$89,5,0)</f>
        <v>253.38455999999994</v>
      </c>
      <c r="DQ59" s="14">
        <f t="shared" si="43"/>
        <v>61.310125241957316</v>
      </c>
      <c r="DR59" s="22">
        <f t="shared" si="16"/>
        <v>548.09324346307551</v>
      </c>
      <c r="DS59" s="62">
        <f t="shared" si="17"/>
        <v>807.02305940169731</v>
      </c>
      <c r="DT59" s="62">
        <f ca="1">AVERAGE(OFFSET($DS$3,0,0,'Données projet'!$E$14+1,1))-AVERAGE(OFFSET($H$3,0,0,'Données projet'!$E$14+1,1))</f>
        <v>638.58602907610805</v>
      </c>
      <c r="DU59" s="62">
        <f t="shared" si="44"/>
        <v>341.9250949809848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5.6843418860808015E-14</v>
      </c>
      <c r="EK59" s="18">
        <f>EJ59*VLOOKUP('Données projet'!$B$15,Paramètres!$A$1:$I$89,3,0)*VLOOKUP('Données projet'!$B$15,Paramètres!$A$1:$I$89,5,0)</f>
        <v>3.3992364478763198E-14</v>
      </c>
      <c r="EL59" s="14">
        <f t="shared" si="45"/>
        <v>5.790027782444094E-13</v>
      </c>
      <c r="EM59" s="22">
        <f t="shared" si="19"/>
        <v>1.0676332069095257E-12</v>
      </c>
      <c r="EN59" s="62">
        <f t="shared" si="20"/>
        <v>258.92981593862282</v>
      </c>
      <c r="EO59" s="62">
        <f ca="1">AVERAGE(OFFSET($EN$3,0,0,'Données projet'!$E$15+1,1))-AVERAGE(OFFSET($H$3,0,0,'Données projet'!$E$15+1,1))</f>
        <v>223.57443551076992</v>
      </c>
      <c r="EP59" s="62">
        <f t="shared" si="46"/>
        <v>382.12751862619427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15.903007297542366</v>
      </c>
      <c r="EW59" s="23">
        <f>EXP(-LN(2)/25)*EW58+(1-EXP(-LN(2)/25))/(LN(2)/25)*Calculateur!ER59*Calculateur!ET59*VLOOKUP('Données projet'!$B$15,Paramètres!$A$1:$I$89,3,0)*0.475*44/12</f>
        <v>6.7502799164678144</v>
      </c>
      <c r="EX59" s="23">
        <f>EXP(-LN(2)/2)*EX58+(1-EXP(-LN(2)/2))/(LN(2)/2)*ER59*EU59*VLOOKUP('Données projet'!$B$15,Paramètres!$A$1:$I$89,3,0)*0.475*44/12</f>
        <v>1.237499692829233E-3</v>
      </c>
      <c r="EY59" s="24">
        <f t="shared" si="21"/>
        <v>22.654524713703012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1.7724999999999995</v>
      </c>
      <c r="FE59" s="13">
        <f>IF('Données projet'!$A$218&gt;35,FE58+FD59-FM58,IF(A59&lt;'Données projet'!$A$218,$FB$205^A59,IF(A59='Données projet'!$A$218,'Données projet'!$B$218,FE58+FD59-FM58)))</f>
        <v>77.272499999999994</v>
      </c>
      <c r="FF59" s="18">
        <f>FE59*VLOOKUP('Données projet'!$B$16,Paramètres!$A$1:$I$89,3,0)*VLOOKUP('Données projet'!$B$16,Paramètres!$A$1:$I$89,5,0)</f>
        <v>89.017919999999989</v>
      </c>
      <c r="FG59" s="14">
        <f t="shared" si="47"/>
        <v>24.328219911088187</v>
      </c>
      <c r="FH59" s="22">
        <f t="shared" si="22"/>
        <v>197.41119367847855</v>
      </c>
      <c r="FI59" s="62">
        <f t="shared" si="23"/>
        <v>456.34100961710033</v>
      </c>
      <c r="FJ59" s="62">
        <f ca="1">AVERAGE(OFFSET($FI$3,0,0,'Données projet'!$E$16+1,1))-AVERAGE(OFFSET($H$3,0,0,'Données projet'!$E$16+1,1))</f>
        <v>283.95543623515323</v>
      </c>
      <c r="FK59" s="62">
        <f t="shared" si="48"/>
        <v>196.96883829830929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5.6843418860808015E-14</v>
      </c>
      <c r="GA59" s="18">
        <f>FZ59*VLOOKUP('Données projet'!$B$17,Paramètres!$A$1:$I$89,3,0)*VLOOKUP('Données projet'!$B$17,Paramètres!$A$1:$I$89,5,0)</f>
        <v>3.3992364478763198E-14</v>
      </c>
      <c r="GB59" s="14">
        <f t="shared" si="49"/>
        <v>5.790027782444094E-13</v>
      </c>
      <c r="GC59" s="22">
        <f t="shared" si="25"/>
        <v>1.0676332069095257E-12</v>
      </c>
      <c r="GD59" s="62">
        <f t="shared" si="26"/>
        <v>258.92981593862282</v>
      </c>
      <c r="GE59" s="62">
        <f ca="1">AVERAGE(OFFSET($GD$3,0,0,'Données projet'!$E$17+1,1))-AVERAGE(OFFSET($H$3,0,0,'Données projet'!$E$17+1,1))</f>
        <v>223.57443551076992</v>
      </c>
      <c r="GF59" s="62">
        <f t="shared" si="50"/>
        <v>382.12751862619427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15.903007297542366</v>
      </c>
      <c r="GM59" s="23">
        <f>EXP(-LN(2)/25)*GM58+(1-EXP(-LN(2)/25))/(LN(2)/25)*Calculateur!GH59*Calculateur!GJ59*VLOOKUP('Données projet'!$B$17,Paramètres!$A$1:$I$89,3,0)*0.475*44/12</f>
        <v>6.7502799164678144</v>
      </c>
      <c r="GN59" s="23">
        <f>EXP(-LN(2)/2)*GN58+(1-EXP(-LN(2)/2))/(LN(2)/2)*GH59*GK59*VLOOKUP('Données projet'!$B$17,Paramètres!$A$1:$I$89,3,0)*0.475*44/12</f>
        <v>1.237499692829233E-3</v>
      </c>
      <c r="GO59" s="23">
        <f t="shared" si="27"/>
        <v>22.654524713703012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5.9057862592636559</v>
      </c>
      <c r="GU59" s="13">
        <f>IF('Données projet'!$A$270&gt;35,GU58+GT59-HC58,IF(A59&lt;'Données projet'!$A$270,$GR$205^A59,IF(A59='Données projet'!$A$270,'Données projet'!$B$270,GU58+GT59-HC58)))</f>
        <v>149.44302186953928</v>
      </c>
      <c r="GV59" s="18">
        <f>GU59*VLOOKUP('Données projet'!$B$18,Paramètres!$A$1:$I$89,3,0)*VLOOKUP('Données projet'!$B$18,Paramètres!$A$1:$I$89,5,0)</f>
        <v>163.19177988153689</v>
      </c>
      <c r="GW59" s="14">
        <f t="shared" si="51"/>
        <v>41.561600580118252</v>
      </c>
      <c r="GX59" s="22">
        <f t="shared" si="28"/>
        <v>356.61213763738266</v>
      </c>
      <c r="GY59" s="62">
        <f t="shared" si="29"/>
        <v>615.5419535760044</v>
      </c>
      <c r="GZ59" s="62">
        <f ca="1">AVERAGE(OFFSET($GY$3,0,0,'Données projet'!$E$18+1,1))-AVERAGE(OFFSET($H$3,0,0,'Données projet'!$E$18+1,1))</f>
        <v>754.33260592777049</v>
      </c>
      <c r="HA59" s="62">
        <f t="shared" si="52"/>
        <v>250.97643915279005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9">
        <f t="shared" si="1"/>
        <v>183.33333333333334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740.11297380909809</v>
      </c>
      <c r="S60" s="62">
        <f ca="1">AVERAGE(OFFSET($R$3,0,0,'Données projet'!$E$9+1,1))-AVERAGE(OFFSET($H$3,0,0,'Données projet'!$E$9+1,1))</f>
        <v>550.39292625253665</v>
      </c>
      <c r="T60" s="62">
        <f t="shared" si="34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248.22720000000001</v>
      </c>
      <c r="AK60" s="14">
        <f t="shared" si="35"/>
        <v>60.20616532763993</v>
      </c>
      <c r="AL60" s="22">
        <f t="shared" si="4"/>
        <v>537.18811127897277</v>
      </c>
      <c r="AM60" s="62">
        <f t="shared" si="5"/>
        <v>796.71475132965043</v>
      </c>
      <c r="AN60" s="62">
        <f ca="1">AVERAGE(OFFSET($AM$3,0,0,'Données projet'!$E$10+1,1))-AVERAGE(OFFSET($H$3,0,0,'Données projet'!$E$10+1,1))</f>
        <v>606.55142836375308</v>
      </c>
      <c r="AO60" s="62">
        <f t="shared" si="36"/>
        <v>325.72635759450861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6.4102564102564035</v>
      </c>
      <c r="BD60" s="13">
        <f>IF('Données projet'!$A$88&gt;35,BD59+BC60-BL59,IF(A60&lt;'Données projet'!$A$88,$BA$205^A60,IF(A60='Données projet'!$A$88,'Données projet'!$B$88,BD59+BC60-BL59)))</f>
        <v>257.0512820512821</v>
      </c>
      <c r="BE60" s="14">
        <f>BD60*VLOOKUP('Données projet'!$B$11,Paramètres!$A$1:$I$89,3,0)*VLOOKUP('Données projet'!$B$11,Paramètres!$A$1:$I$89,5,0)</f>
        <v>268.67000000000007</v>
      </c>
      <c r="BF60" s="14">
        <f t="shared" si="37"/>
        <v>64.566928651485966</v>
      </c>
      <c r="BG60" s="22">
        <f t="shared" si="7"/>
        <v>580.38765073467152</v>
      </c>
      <c r="BH60" s="62">
        <f t="shared" si="8"/>
        <v>839.91429078534929</v>
      </c>
      <c r="BI60" s="62">
        <f ca="1">AVERAGE(OFFSET($BH$3,0,0,'Données projet'!$E$11+1,1))-AVERAGE(OFFSET($H$3,0,0,'Données projet'!$E$11+1,1))</f>
        <v>635.13577238794812</v>
      </c>
      <c r="BJ60" s="62">
        <f t="shared" si="38"/>
        <v>374.35810525172019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22.4</v>
      </c>
      <c r="BY60" s="13">
        <f>IF('Données projet'!$A$114&gt;35,BY59+BX60-CG59,IF(A60&lt;'Données projet'!$A$114,$BV$205^A60,IF(A60='Données projet'!$A$114,'Données projet'!$B$114,BY59+BX60-CG59)))</f>
        <v>880.80000000000007</v>
      </c>
      <c r="BZ60" s="14">
        <f>BY60*VLOOKUP('Données projet'!$B$12,Paramètres!$A$1:$I$89,3,0)*VLOOKUP('Données projet'!$B$12,Paramètres!$A$1:$I$89,5,0)</f>
        <v>389.31360000000006</v>
      </c>
      <c r="CA60" s="14">
        <f t="shared" si="39"/>
        <v>89.606759014204158</v>
      </c>
      <c r="CB60" s="22">
        <f t="shared" si="10"/>
        <v>834.11962528307231</v>
      </c>
      <c r="CC60" s="62">
        <f t="shared" si="11"/>
        <v>1093.6462653337501</v>
      </c>
      <c r="CD60" s="62">
        <f ca="1">AVERAGE(OFFSET($CC$3,0,0,'Données projet'!$E$12+1,1))-AVERAGE(OFFSET($H$3,0,0,'Données projet'!$E$12+1,1))</f>
        <v>580.02817743695846</v>
      </c>
      <c r="CE60" s="62">
        <f t="shared" si="40"/>
        <v>551.23515633208865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11.170769230769235</v>
      </c>
      <c r="CT60" s="13">
        <f>IF('Données projet'!$A$140&gt;35,CT59+CS60-DB59,IF(A60&lt;'Données projet'!$A$140,$CQ$205^A60,IF(A60='Données projet'!$A$140,'Données projet'!$B$140,CT59+CS60-DB59)))</f>
        <v>284.43230769230792</v>
      </c>
      <c r="CU60" s="18">
        <f>CT60*VLOOKUP('Données projet'!$B$13,Paramètres!$A$1:$I$89,3,0)*VLOOKUP('Données projet'!$B$13,Paramètres!$A$1:$I$89,5,0)</f>
        <v>133.11432000000011</v>
      </c>
      <c r="CV60" s="14">
        <f t="shared" si="41"/>
        <v>34.714992732392233</v>
      </c>
      <c r="CW60" s="22">
        <f t="shared" si="13"/>
        <v>292.30271967558332</v>
      </c>
      <c r="CX60" s="62">
        <f t="shared" si="14"/>
        <v>551.82935972626103</v>
      </c>
      <c r="CY60" s="62">
        <f ca="1">AVERAGE(OFFSET($CX$3,0,0,'Données projet'!$E$13+1,1))-AVERAGE(OFFSET($H$3,0,0,'Données projet'!$E$13+1,1))</f>
        <v>321.05795935196863</v>
      </c>
      <c r="CZ60" s="62">
        <f t="shared" si="42"/>
        <v>209.59551322748908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IF('Données projet'!$A$166&gt;35,DO59+DN60-DW59,IF(A60&lt;'Données projet'!$A$166,$DL$205^A60,IF(A60='Données projet'!$A$166,'Données projet'!$B$166,DO59+DN60-DW59)))</f>
        <v>244.79999999999998</v>
      </c>
      <c r="DP60" s="18">
        <f>DO60*VLOOKUP('Données projet'!$B$14,Paramètres!$A$1:$I$89,3,0)*VLOOKUP('Données projet'!$B$14,Paramètres!$A$1:$I$89,5,0)</f>
        <v>263.50271999999995</v>
      </c>
      <c r="DQ60" s="14">
        <f t="shared" si="43"/>
        <v>63.468433809179686</v>
      </c>
      <c r="DR60" s="22">
        <f t="shared" si="16"/>
        <v>569.47475955098787</v>
      </c>
      <c r="DS60" s="62">
        <f t="shared" si="17"/>
        <v>829.00139960166553</v>
      </c>
      <c r="DT60" s="62">
        <f ca="1">AVERAGE(OFFSET($DS$3,0,0,'Données projet'!$E$14+1,1))-AVERAGE(OFFSET($H$3,0,0,'Données projet'!$E$14+1,1))</f>
        <v>638.58602907610805</v>
      </c>
      <c r="DU60" s="62">
        <f t="shared" si="44"/>
        <v>341.9250949809848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5.6843418860808015E-14</v>
      </c>
      <c r="EK60" s="18">
        <f>EJ60*VLOOKUP('Données projet'!$B$15,Paramètres!$A$1:$I$89,3,0)*VLOOKUP('Données projet'!$B$15,Paramètres!$A$1:$I$89,5,0)</f>
        <v>3.3992364478763198E-14</v>
      </c>
      <c r="EL60" s="14">
        <f t="shared" si="45"/>
        <v>5.790027782444094E-13</v>
      </c>
      <c r="EM60" s="22">
        <f t="shared" si="19"/>
        <v>1.0676332069095257E-12</v>
      </c>
      <c r="EN60" s="62">
        <f t="shared" si="20"/>
        <v>259.52664005067879</v>
      </c>
      <c r="EO60" s="62">
        <f ca="1">AVERAGE(OFFSET($EN$3,0,0,'Données projet'!$E$15+1,1))-AVERAGE(OFFSET($H$3,0,0,'Données projet'!$E$15+1,1))</f>
        <v>223.57443551076992</v>
      </c>
      <c r="EP60" s="62">
        <f t="shared" si="46"/>
        <v>382.12751862619427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15.591159024314228</v>
      </c>
      <c r="EW60" s="23">
        <f>EXP(-LN(2)/25)*EW59+(1-EXP(-LN(2)/25))/(LN(2)/25)*Calculateur!ER60*Calculateur!ET60*VLOOKUP('Données projet'!$B$15,Paramètres!$A$1:$I$89,3,0)*0.475*44/12</f>
        <v>6.5656931571702088</v>
      </c>
      <c r="EX60" s="23">
        <f>EXP(-LN(2)/2)*EX59+(1-EXP(-LN(2)/2))/(LN(2)/2)*ER60*EU60*VLOOKUP('Données projet'!$B$15,Paramètres!$A$1:$I$89,3,0)*0.475*44/12</f>
        <v>8.7504442451582023E-4</v>
      </c>
      <c r="EY60" s="24">
        <f t="shared" si="21"/>
        <v>22.157727225908953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1.7724999999999995</v>
      </c>
      <c r="FE60" s="13">
        <f>IF('Données projet'!$A$218&gt;35,FE59+FD60-FM59,IF(A60&lt;'Données projet'!$A$218,$FB$205^A60,IF(A60='Données projet'!$A$218,'Données projet'!$B$218,FE59+FD60-FM59)))</f>
        <v>79.044999999999987</v>
      </c>
      <c r="FF60" s="18">
        <f>FE60*VLOOKUP('Données projet'!$B$16,Paramètres!$A$1:$I$89,3,0)*VLOOKUP('Données projet'!$B$16,Paramètres!$A$1:$I$89,5,0)</f>
        <v>91.05983999999998</v>
      </c>
      <c r="FG60" s="14">
        <f t="shared" si="47"/>
        <v>24.820658459728463</v>
      </c>
      <c r="FH60" s="22">
        <f t="shared" si="22"/>
        <v>201.82520148402705</v>
      </c>
      <c r="FI60" s="62">
        <f t="shared" si="23"/>
        <v>461.35184153470476</v>
      </c>
      <c r="FJ60" s="62">
        <f ca="1">AVERAGE(OFFSET($FI$3,0,0,'Données projet'!$E$16+1,1))-AVERAGE(OFFSET($H$3,0,0,'Données projet'!$E$16+1,1))</f>
        <v>283.95543623515323</v>
      </c>
      <c r="FK60" s="62">
        <f t="shared" si="48"/>
        <v>196.96883829830929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5.6843418860808015E-14</v>
      </c>
      <c r="GA60" s="18">
        <f>FZ60*VLOOKUP('Données projet'!$B$17,Paramètres!$A$1:$I$89,3,0)*VLOOKUP('Données projet'!$B$17,Paramètres!$A$1:$I$89,5,0)</f>
        <v>3.3992364478763198E-14</v>
      </c>
      <c r="GB60" s="14">
        <f t="shared" si="49"/>
        <v>5.790027782444094E-13</v>
      </c>
      <c r="GC60" s="22">
        <f t="shared" si="25"/>
        <v>1.0676332069095257E-12</v>
      </c>
      <c r="GD60" s="62">
        <f t="shared" si="26"/>
        <v>259.52664005067879</v>
      </c>
      <c r="GE60" s="62">
        <f ca="1">AVERAGE(OFFSET($GD$3,0,0,'Données projet'!$E$17+1,1))-AVERAGE(OFFSET($H$3,0,0,'Données projet'!$E$17+1,1))</f>
        <v>223.57443551076992</v>
      </c>
      <c r="GF60" s="62">
        <f t="shared" si="50"/>
        <v>382.12751862619427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15.591159024314228</v>
      </c>
      <c r="GM60" s="23">
        <f>EXP(-LN(2)/25)*GM59+(1-EXP(-LN(2)/25))/(LN(2)/25)*Calculateur!GH60*Calculateur!GJ60*VLOOKUP('Données projet'!$B$17,Paramètres!$A$1:$I$89,3,0)*0.475*44/12</f>
        <v>6.5656931571702088</v>
      </c>
      <c r="GN60" s="23">
        <f>EXP(-LN(2)/2)*GN59+(1-EXP(-LN(2)/2))/(LN(2)/2)*GH60*GK60*VLOOKUP('Données projet'!$B$17,Paramètres!$A$1:$I$89,3,0)*0.475*44/12</f>
        <v>8.7504442451582023E-4</v>
      </c>
      <c r="GO60" s="23">
        <f t="shared" si="27"/>
        <v>22.157727225908953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5.9057862592636559</v>
      </c>
      <c r="GU60" s="13">
        <f>IF('Données projet'!$A$270&gt;35,GU59+GT60-HC59,IF(A60&lt;'Données projet'!$A$270,$GR$205^A60,IF(A60='Données projet'!$A$270,'Données projet'!$B$270,GU59+GT60-HC59)))</f>
        <v>155.34880812880294</v>
      </c>
      <c r="GV60" s="18">
        <f>GU60*VLOOKUP('Données projet'!$B$18,Paramètres!$A$1:$I$89,3,0)*VLOOKUP('Données projet'!$B$18,Paramètres!$A$1:$I$89,5,0)</f>
        <v>169.64089847665281</v>
      </c>
      <c r="GW60" s="14">
        <f t="shared" si="51"/>
        <v>43.009586894418732</v>
      </c>
      <c r="GX60" s="22">
        <f t="shared" si="28"/>
        <v>370.36626202128286</v>
      </c>
      <c r="GY60" s="62">
        <f t="shared" si="29"/>
        <v>629.89290207196063</v>
      </c>
      <c r="GZ60" s="62">
        <f ca="1">AVERAGE(OFFSET($GY$3,0,0,'Données projet'!$E$18+1,1))-AVERAGE(OFFSET($H$3,0,0,'Données projet'!$E$18+1,1))</f>
        <v>754.33260592777049</v>
      </c>
      <c r="HA60" s="62">
        <f t="shared" si="52"/>
        <v>250.97643915279005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9">
        <f t="shared" si="1"/>
        <v>183.33333333333334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758.7224531863385</v>
      </c>
      <c r="S61" s="62">
        <f ca="1">AVERAGE(OFFSET($R$3,0,0,'Données projet'!$E$9+1,1))-AVERAGE(OFFSET($H$3,0,0,'Données projet'!$E$9+1,1))</f>
        <v>550.39292625253665</v>
      </c>
      <c r="T61" s="62">
        <f t="shared" si="34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257.75880000000001</v>
      </c>
      <c r="AK61" s="14">
        <f t="shared" si="35"/>
        <v>62.244404241627407</v>
      </c>
      <c r="AL61" s="22">
        <f t="shared" si="4"/>
        <v>557.33891405416773</v>
      </c>
      <c r="AM61" s="62">
        <f t="shared" si="5"/>
        <v>817.45202465285615</v>
      </c>
      <c r="AN61" s="62">
        <f ca="1">AVERAGE(OFFSET($AM$3,0,0,'Données projet'!$E$10+1,1))-AVERAGE(OFFSET($H$3,0,0,'Données projet'!$E$10+1,1))</f>
        <v>606.55142836375308</v>
      </c>
      <c r="AO61" s="62">
        <f t="shared" si="36"/>
        <v>325.72635759450861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6.4102564102564035</v>
      </c>
      <c r="BD61" s="13">
        <f>IF('Données projet'!$A$88&gt;35,BD60+BC61-BL60,IF(A61&lt;'Données projet'!$A$88,$BA$205^A61,IF(A61='Données projet'!$A$88,'Données projet'!$B$88,BD60+BC61-BL60)))</f>
        <v>263.46153846153851</v>
      </c>
      <c r="BE61" s="14">
        <f>BD61*VLOOKUP('Données projet'!$B$11,Paramètres!$A$1:$I$89,3,0)*VLOOKUP('Données projet'!$B$11,Paramètres!$A$1:$I$89,5,0)</f>
        <v>275.37000000000006</v>
      </c>
      <c r="BF61" s="14">
        <f t="shared" si="37"/>
        <v>65.987609297424981</v>
      </c>
      <c r="BG61" s="22">
        <f t="shared" si="7"/>
        <v>594.53116952634855</v>
      </c>
      <c r="BH61" s="62">
        <f t="shared" si="8"/>
        <v>854.64428012503697</v>
      </c>
      <c r="BI61" s="62">
        <f ca="1">AVERAGE(OFFSET($BH$3,0,0,'Données projet'!$E$11+1,1))-AVERAGE(OFFSET($H$3,0,0,'Données projet'!$E$11+1,1))</f>
        <v>635.13577238794812</v>
      </c>
      <c r="BJ61" s="62">
        <f t="shared" si="38"/>
        <v>374.35810525172019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22.4</v>
      </c>
      <c r="BY61" s="13">
        <f>IF('Données projet'!$A$114&gt;35,BY60+BX61-CG60,IF(A61&lt;'Données projet'!$A$114,$BV$205^A61,IF(A61='Données projet'!$A$114,'Données projet'!$B$114,BY60+BX61-CG60)))</f>
        <v>903.2</v>
      </c>
      <c r="BZ61" s="14">
        <f>BY61*VLOOKUP('Données projet'!$B$12,Paramètres!$A$1:$I$89,3,0)*VLOOKUP('Données projet'!$B$12,Paramètres!$A$1:$I$89,5,0)</f>
        <v>399.21440000000007</v>
      </c>
      <c r="CA61" s="14">
        <f t="shared" si="39"/>
        <v>91.617378659021043</v>
      </c>
      <c r="CB61" s="22">
        <f t="shared" si="10"/>
        <v>854.86534783112836</v>
      </c>
      <c r="CC61" s="62">
        <f t="shared" si="11"/>
        <v>1114.9784584298168</v>
      </c>
      <c r="CD61" s="62">
        <f ca="1">AVERAGE(OFFSET($CC$3,0,0,'Données projet'!$E$12+1,1))-AVERAGE(OFFSET($H$3,0,0,'Données projet'!$E$12+1,1))</f>
        <v>580.02817743695846</v>
      </c>
      <c r="CE61" s="62">
        <f t="shared" si="40"/>
        <v>551.23515633208865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11.170769230769235</v>
      </c>
      <c r="CT61" s="13">
        <f>IF('Données projet'!$A$140&gt;35,CT60+CS61-DB60,IF(A61&lt;'Données projet'!$A$140,$CQ$205^A61,IF(A61='Données projet'!$A$140,'Données projet'!$B$140,CT60+CS61-DB60)))</f>
        <v>295.60307692307714</v>
      </c>
      <c r="CU61" s="18">
        <f>CT61*VLOOKUP('Données projet'!$B$13,Paramètres!$A$1:$I$89,3,0)*VLOOKUP('Données projet'!$B$13,Paramètres!$A$1:$I$89,5,0)</f>
        <v>138.34224000000009</v>
      </c>
      <c r="CV61" s="14">
        <f t="shared" si="41"/>
        <v>35.916973077604602</v>
      </c>
      <c r="CW61" s="22">
        <f t="shared" si="13"/>
        <v>303.50146277682819</v>
      </c>
      <c r="CX61" s="62">
        <f t="shared" si="14"/>
        <v>563.61457337551656</v>
      </c>
      <c r="CY61" s="62">
        <f ca="1">AVERAGE(OFFSET($CX$3,0,0,'Données projet'!$E$13+1,1))-AVERAGE(OFFSET($H$3,0,0,'Données projet'!$E$13+1,1))</f>
        <v>321.05795935196863</v>
      </c>
      <c r="CZ61" s="62">
        <f t="shared" si="42"/>
        <v>209.59551322748908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IF('Données projet'!$A$166&gt;35,DO60+DN61-DW60,IF(A61&lt;'Données projet'!$A$166,$DL$205^A61,IF(A61='Données projet'!$A$166,'Données projet'!$B$166,DO60+DN61-DW60)))</f>
        <v>254.2</v>
      </c>
      <c r="DP61" s="18">
        <f>DO61*VLOOKUP('Données projet'!$B$14,Paramètres!$A$1:$I$89,3,0)*VLOOKUP('Données projet'!$B$14,Paramètres!$A$1:$I$89,5,0)</f>
        <v>273.62087999999994</v>
      </c>
      <c r="DQ61" s="14">
        <f t="shared" si="43"/>
        <v>65.617114611149361</v>
      </c>
      <c r="DR61" s="22">
        <f t="shared" si="16"/>
        <v>590.83950728108505</v>
      </c>
      <c r="DS61" s="62">
        <f t="shared" si="17"/>
        <v>850.95261787977347</v>
      </c>
      <c r="DT61" s="62">
        <f ca="1">AVERAGE(OFFSET($DS$3,0,0,'Données projet'!$E$14+1,1))-AVERAGE(OFFSET($H$3,0,0,'Données projet'!$E$14+1,1))</f>
        <v>638.58602907610805</v>
      </c>
      <c r="DU61" s="62">
        <f t="shared" si="44"/>
        <v>341.9250949809848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5.6843418860808015E-14</v>
      </c>
      <c r="EK61" s="18">
        <f>EJ61*VLOOKUP('Données projet'!$B$15,Paramètres!$A$1:$I$89,3,0)*VLOOKUP('Données projet'!$B$15,Paramètres!$A$1:$I$89,5,0)</f>
        <v>3.3992364478763198E-14</v>
      </c>
      <c r="EL61" s="14">
        <f t="shared" si="45"/>
        <v>5.790027782444094E-13</v>
      </c>
      <c r="EM61" s="22">
        <f t="shared" si="19"/>
        <v>1.0676332069095257E-12</v>
      </c>
      <c r="EN61" s="62">
        <f t="shared" si="20"/>
        <v>260.1131105986895</v>
      </c>
      <c r="EO61" s="62">
        <f ca="1">AVERAGE(OFFSET($EN$3,0,0,'Données projet'!$E$15+1,1))-AVERAGE(OFFSET($H$3,0,0,'Données projet'!$E$15+1,1))</f>
        <v>223.57443551076992</v>
      </c>
      <c r="EP61" s="62">
        <f t="shared" si="46"/>
        <v>382.12751862619427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15.28542590551543</v>
      </c>
      <c r="EW61" s="23">
        <f>EXP(-LN(2)/25)*EW60+(1-EXP(-LN(2)/25))/(LN(2)/25)*Calculateur!ER61*Calculateur!ET61*VLOOKUP('Données projet'!$B$15,Paramètres!$A$1:$I$89,3,0)*0.475*44/12</f>
        <v>6.3861539325125927</v>
      </c>
      <c r="EX61" s="23">
        <f>EXP(-LN(2)/2)*EX60+(1-EXP(-LN(2)/2))/(LN(2)/2)*ER61*EU61*VLOOKUP('Données projet'!$B$15,Paramètres!$A$1:$I$89,3,0)*0.475*44/12</f>
        <v>6.1874984641461649E-4</v>
      </c>
      <c r="EY61" s="24">
        <f t="shared" si="21"/>
        <v>21.672198587874437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1.7724999999999995</v>
      </c>
      <c r="FE61" s="13">
        <f>IF('Données projet'!$A$218&gt;35,FE60+FD61-FM60,IF(A61&lt;'Données projet'!$A$218,$FB$205^A61,IF(A61='Données projet'!$A$218,'Données projet'!$B$218,FE60+FD61-FM60)))</f>
        <v>80.817499999999981</v>
      </c>
      <c r="FF61" s="18">
        <f>FE61*VLOOKUP('Données projet'!$B$16,Paramètres!$A$1:$I$89,3,0)*VLOOKUP('Données projet'!$B$16,Paramètres!$A$1:$I$89,5,0)</f>
        <v>93.10175999999997</v>
      </c>
      <c r="FG61" s="14">
        <f t="shared" si="47"/>
        <v>25.311813234087357</v>
      </c>
      <c r="FH61" s="22">
        <f t="shared" si="22"/>
        <v>206.23697338270208</v>
      </c>
      <c r="FI61" s="62">
        <f t="shared" si="23"/>
        <v>466.35008398139053</v>
      </c>
      <c r="FJ61" s="62">
        <f ca="1">AVERAGE(OFFSET($FI$3,0,0,'Données projet'!$E$16+1,1))-AVERAGE(OFFSET($H$3,0,0,'Données projet'!$E$16+1,1))</f>
        <v>283.95543623515323</v>
      </c>
      <c r="FK61" s="62">
        <f t="shared" si="48"/>
        <v>196.96883829830929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5.6843418860808015E-14</v>
      </c>
      <c r="GA61" s="18">
        <f>FZ61*VLOOKUP('Données projet'!$B$17,Paramètres!$A$1:$I$89,3,0)*VLOOKUP('Données projet'!$B$17,Paramètres!$A$1:$I$89,5,0)</f>
        <v>3.3992364478763198E-14</v>
      </c>
      <c r="GB61" s="14">
        <f t="shared" si="49"/>
        <v>5.790027782444094E-13</v>
      </c>
      <c r="GC61" s="22">
        <f t="shared" si="25"/>
        <v>1.0676332069095257E-12</v>
      </c>
      <c r="GD61" s="62">
        <f t="shared" si="26"/>
        <v>260.1131105986895</v>
      </c>
      <c r="GE61" s="62">
        <f ca="1">AVERAGE(OFFSET($GD$3,0,0,'Données projet'!$E$17+1,1))-AVERAGE(OFFSET($H$3,0,0,'Données projet'!$E$17+1,1))</f>
        <v>223.57443551076992</v>
      </c>
      <c r="GF61" s="62">
        <f t="shared" si="50"/>
        <v>382.12751862619427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15.28542590551543</v>
      </c>
      <c r="GM61" s="23">
        <f>EXP(-LN(2)/25)*GM60+(1-EXP(-LN(2)/25))/(LN(2)/25)*Calculateur!GH61*Calculateur!GJ61*VLOOKUP('Données projet'!$B$17,Paramètres!$A$1:$I$89,3,0)*0.475*44/12</f>
        <v>6.3861539325125927</v>
      </c>
      <c r="GN61" s="23">
        <f>EXP(-LN(2)/2)*GN60+(1-EXP(-LN(2)/2))/(LN(2)/2)*GH61*GK61*VLOOKUP('Données projet'!$B$17,Paramètres!$A$1:$I$89,3,0)*0.475*44/12</f>
        <v>6.1874984641461649E-4</v>
      </c>
      <c r="GO61" s="23">
        <f t="shared" si="27"/>
        <v>21.672198587874437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5.9057862592636559</v>
      </c>
      <c r="GU61" s="13">
        <f>IF('Données projet'!$A$270&gt;35,GU60+GT61-HC60,IF(A61&lt;'Données projet'!$A$270,$GR$205^A61,IF(A61='Données projet'!$A$270,'Données projet'!$B$270,GU60+GT61-HC60)))</f>
        <v>161.25459438806661</v>
      </c>
      <c r="GV61" s="18">
        <f>GU61*VLOOKUP('Données projet'!$B$18,Paramètres!$A$1:$I$89,3,0)*VLOOKUP('Données projet'!$B$18,Paramètres!$A$1:$I$89,5,0)</f>
        <v>176.09001707176873</v>
      </c>
      <c r="GW61" s="14">
        <f t="shared" si="51"/>
        <v>44.451178258032684</v>
      </c>
      <c r="GX61" s="22">
        <f t="shared" si="28"/>
        <v>384.10924853273741</v>
      </c>
      <c r="GY61" s="62">
        <f t="shared" si="29"/>
        <v>644.22235913142583</v>
      </c>
      <c r="GZ61" s="62">
        <f ca="1">AVERAGE(OFFSET($GY$3,0,0,'Données projet'!$E$18+1,1))-AVERAGE(OFFSET($H$3,0,0,'Données projet'!$E$18+1,1))</f>
        <v>754.33260592777049</v>
      </c>
      <c r="HA61" s="62">
        <f t="shared" si="52"/>
        <v>250.97643915279005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9">
        <f t="shared" si="1"/>
        <v>183.33333333333334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777.30796841682741</v>
      </c>
      <c r="S62" s="62">
        <f ca="1">AVERAGE(OFFSET($R$3,0,0,'Données projet'!$E$9+1,1))-AVERAGE(OFFSET($H$3,0,0,'Données projet'!$E$9+1,1))</f>
        <v>550.39292625253665</v>
      </c>
      <c r="T62" s="62">
        <f t="shared" si="34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267.29039999999998</v>
      </c>
      <c r="AK62" s="14">
        <f t="shared" si="35"/>
        <v>64.273886654661325</v>
      </c>
      <c r="AL62" s="22">
        <f t="shared" si="4"/>
        <v>577.47446592353515</v>
      </c>
      <c r="AM62" s="62">
        <f t="shared" si="5"/>
        <v>838.16387311737799</v>
      </c>
      <c r="AN62" s="62">
        <f ca="1">AVERAGE(OFFSET($AM$3,0,0,'Données projet'!$E$10+1,1))-AVERAGE(OFFSET($H$3,0,0,'Données projet'!$E$10+1,1))</f>
        <v>606.55142836375308</v>
      </c>
      <c r="AO62" s="62">
        <f t="shared" si="36"/>
        <v>325.72635759450861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6.4102564102564035</v>
      </c>
      <c r="BD62" s="13">
        <f>IF('Données projet'!$A$88&gt;35,BD61+BC62-BL61,IF(A62&lt;'Données projet'!$A$88,$BA$205^A62,IF(A62='Données projet'!$A$88,'Données projet'!$B$88,BD61+BC62-BL61)))</f>
        <v>269.87179487179492</v>
      </c>
      <c r="BE62" s="14">
        <f>BD62*VLOOKUP('Données projet'!$B$11,Paramètres!$A$1:$I$89,3,0)*VLOOKUP('Données projet'!$B$11,Paramètres!$A$1:$I$89,5,0)</f>
        <v>282.07000000000005</v>
      </c>
      <c r="BF62" s="14">
        <f t="shared" si="37"/>
        <v>67.404271683035319</v>
      </c>
      <c r="BG62" s="22">
        <f t="shared" si="7"/>
        <v>608.66768984795328</v>
      </c>
      <c r="BH62" s="62">
        <f t="shared" si="8"/>
        <v>869.35709704179612</v>
      </c>
      <c r="BI62" s="62">
        <f ca="1">AVERAGE(OFFSET($BH$3,0,0,'Données projet'!$E$11+1,1))-AVERAGE(OFFSET($H$3,0,0,'Données projet'!$E$11+1,1))</f>
        <v>635.13577238794812</v>
      </c>
      <c r="BJ62" s="62">
        <f t="shared" si="38"/>
        <v>374.35810525172019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22.4</v>
      </c>
      <c r="BY62" s="13">
        <f>IF('Données projet'!$A$114&gt;35,BY61+BX62-CG61,IF(A62&lt;'Données projet'!$A$114,$BV$205^A62,IF(A62='Données projet'!$A$114,'Données projet'!$B$114,BY61+BX62-CG61)))</f>
        <v>925.6</v>
      </c>
      <c r="BZ62" s="14">
        <f>BY62*VLOOKUP('Données projet'!$B$12,Paramètres!$A$1:$I$89,3,0)*VLOOKUP('Données projet'!$B$12,Paramètres!$A$1:$I$89,5,0)</f>
        <v>409.11520000000002</v>
      </c>
      <c r="CA62" s="14">
        <f t="shared" si="39"/>
        <v>93.622201783897765</v>
      </c>
      <c r="CB62" s="22">
        <f t="shared" si="10"/>
        <v>875.60097477362194</v>
      </c>
      <c r="CC62" s="62">
        <f t="shared" si="11"/>
        <v>1136.2903819674648</v>
      </c>
      <c r="CD62" s="62">
        <f ca="1">AVERAGE(OFFSET($CC$3,0,0,'Données projet'!$E$12+1,1))-AVERAGE(OFFSET($H$3,0,0,'Données projet'!$E$12+1,1))</f>
        <v>580.02817743695846</v>
      </c>
      <c r="CE62" s="62">
        <f t="shared" si="40"/>
        <v>551.23515633208865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11.170769230769235</v>
      </c>
      <c r="CT62" s="13">
        <f>IF('Données projet'!$A$140&gt;35,CT61+CS62-DB61,IF(A62&lt;'Données projet'!$A$140,$CQ$205^A62,IF(A62='Données projet'!$A$140,'Données projet'!$B$140,CT61+CS62-DB61)))</f>
        <v>306.77384615384636</v>
      </c>
      <c r="CU62" s="18">
        <f>CT62*VLOOKUP('Données projet'!$B$13,Paramètres!$A$1:$I$89,3,0)*VLOOKUP('Données projet'!$B$13,Paramètres!$A$1:$I$89,5,0)</f>
        <v>143.5701600000001</v>
      </c>
      <c r="CV62" s="14">
        <f t="shared" si="41"/>
        <v>37.113676523004848</v>
      </c>
      <c r="CW62" s="22">
        <f t="shared" si="13"/>
        <v>314.69101527756692</v>
      </c>
      <c r="CX62" s="62">
        <f t="shared" si="14"/>
        <v>575.3804224714097</v>
      </c>
      <c r="CY62" s="62">
        <f ca="1">AVERAGE(OFFSET($CX$3,0,0,'Données projet'!$E$13+1,1))-AVERAGE(OFFSET($H$3,0,0,'Données projet'!$E$13+1,1))</f>
        <v>321.05795935196863</v>
      </c>
      <c r="CZ62" s="62">
        <f t="shared" si="42"/>
        <v>209.59551322748908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IF('Données projet'!$A$166&gt;35,DO61+DN62-DW61,IF(A62&lt;'Données projet'!$A$166,$DL$205^A62,IF(A62='Données projet'!$A$166,'Données projet'!$B$166,DO61+DN62-DW61)))</f>
        <v>263.59999999999997</v>
      </c>
      <c r="DP62" s="18">
        <f>DO62*VLOOKUP('Données projet'!$B$14,Paramètres!$A$1:$I$89,3,0)*VLOOKUP('Données projet'!$B$14,Paramètres!$A$1:$I$89,5,0)</f>
        <v>283.73903999999993</v>
      </c>
      <c r="DQ62" s="14">
        <f t="shared" si="43"/>
        <v>67.756564441537463</v>
      </c>
      <c r="DR62" s="22">
        <f t="shared" si="16"/>
        <v>612.18817773567764</v>
      </c>
      <c r="DS62" s="62">
        <f t="shared" si="17"/>
        <v>872.87758492952048</v>
      </c>
      <c r="DT62" s="62">
        <f ca="1">AVERAGE(OFFSET($DS$3,0,0,'Données projet'!$E$14+1,1))-AVERAGE(OFFSET($H$3,0,0,'Données projet'!$E$14+1,1))</f>
        <v>638.58602907610805</v>
      </c>
      <c r="DU62" s="62">
        <f t="shared" si="44"/>
        <v>341.9250949809848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5.6843418860808015E-14</v>
      </c>
      <c r="EK62" s="18">
        <f>EJ62*VLOOKUP('Données projet'!$B$15,Paramètres!$A$1:$I$89,3,0)*VLOOKUP('Données projet'!$B$15,Paramètres!$A$1:$I$89,5,0)</f>
        <v>3.3992364478763198E-14</v>
      </c>
      <c r="EL62" s="14">
        <f t="shared" si="45"/>
        <v>5.790027782444094E-13</v>
      </c>
      <c r="EM62" s="22">
        <f t="shared" si="19"/>
        <v>1.0676332069095257E-12</v>
      </c>
      <c r="EN62" s="62">
        <f t="shared" si="20"/>
        <v>260.68940719384386</v>
      </c>
      <c r="EO62" s="62">
        <f ca="1">AVERAGE(OFFSET($EN$3,0,0,'Données projet'!$E$15+1,1))-AVERAGE(OFFSET($H$3,0,0,'Données projet'!$E$15+1,1))</f>
        <v>223.57443551076992</v>
      </c>
      <c r="EP62" s="62">
        <f t="shared" si="46"/>
        <v>382.12751862619427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14.985688026697487</v>
      </c>
      <c r="EW62" s="23">
        <f>EXP(-LN(2)/25)*EW61+(1-EXP(-LN(2)/25))/(LN(2)/25)*Calculateur!ER62*Calculateur!ET62*VLOOKUP('Données projet'!$B$15,Paramètres!$A$1:$I$89,3,0)*0.475*44/12</f>
        <v>6.2115242173947962</v>
      </c>
      <c r="EX62" s="23">
        <f>EXP(-LN(2)/2)*EX61+(1-EXP(-LN(2)/2))/(LN(2)/2)*ER62*EU62*VLOOKUP('Données projet'!$B$15,Paramètres!$A$1:$I$89,3,0)*0.475*44/12</f>
        <v>4.3752221225791012E-4</v>
      </c>
      <c r="EY62" s="24">
        <f t="shared" si="21"/>
        <v>21.197649766304544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1.7724999999999995</v>
      </c>
      <c r="FE62" s="13">
        <f>IF('Données projet'!$A$218&gt;35,FE61+FD62-FM61,IF(A62&lt;'Données projet'!$A$218,$FB$205^A62,IF(A62='Données projet'!$A$218,'Données projet'!$B$218,FE61+FD62-FM61)))</f>
        <v>82.589999999999975</v>
      </c>
      <c r="FF62" s="18">
        <f>FE62*VLOOKUP('Données projet'!$B$16,Paramètres!$A$1:$I$89,3,0)*VLOOKUP('Données projet'!$B$16,Paramètres!$A$1:$I$89,5,0)</f>
        <v>95.143679999999961</v>
      </c>
      <c r="FG62" s="14">
        <f t="shared" si="47"/>
        <v>25.801715632414158</v>
      </c>
      <c r="FH62" s="22">
        <f t="shared" si="22"/>
        <v>210.64656405978792</v>
      </c>
      <c r="FI62" s="62">
        <f t="shared" si="23"/>
        <v>471.3359712536307</v>
      </c>
      <c r="FJ62" s="62">
        <f ca="1">AVERAGE(OFFSET($FI$3,0,0,'Données projet'!$E$16+1,1))-AVERAGE(OFFSET($H$3,0,0,'Données projet'!$E$16+1,1))</f>
        <v>283.95543623515323</v>
      </c>
      <c r="FK62" s="62">
        <f t="shared" si="48"/>
        <v>196.96883829830929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5.6843418860808015E-14</v>
      </c>
      <c r="GA62" s="18">
        <f>FZ62*VLOOKUP('Données projet'!$B$17,Paramètres!$A$1:$I$89,3,0)*VLOOKUP('Données projet'!$B$17,Paramètres!$A$1:$I$89,5,0)</f>
        <v>3.3992364478763198E-14</v>
      </c>
      <c r="GB62" s="14">
        <f t="shared" si="49"/>
        <v>5.790027782444094E-13</v>
      </c>
      <c r="GC62" s="22">
        <f t="shared" si="25"/>
        <v>1.0676332069095257E-12</v>
      </c>
      <c r="GD62" s="62">
        <f t="shared" si="26"/>
        <v>260.68940719384386</v>
      </c>
      <c r="GE62" s="62">
        <f ca="1">AVERAGE(OFFSET($GD$3,0,0,'Données projet'!$E$17+1,1))-AVERAGE(OFFSET($H$3,0,0,'Données projet'!$E$17+1,1))</f>
        <v>223.57443551076992</v>
      </c>
      <c r="GF62" s="62">
        <f t="shared" si="50"/>
        <v>382.12751862619427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14.985688026697487</v>
      </c>
      <c r="GM62" s="23">
        <f>EXP(-LN(2)/25)*GM61+(1-EXP(-LN(2)/25))/(LN(2)/25)*Calculateur!GH62*Calculateur!GJ62*VLOOKUP('Données projet'!$B$17,Paramètres!$A$1:$I$89,3,0)*0.475*44/12</f>
        <v>6.2115242173947962</v>
      </c>
      <c r="GN62" s="23">
        <f>EXP(-LN(2)/2)*GN61+(1-EXP(-LN(2)/2))/(LN(2)/2)*GH62*GK62*VLOOKUP('Données projet'!$B$17,Paramètres!$A$1:$I$89,3,0)*0.475*44/12</f>
        <v>4.3752221225791012E-4</v>
      </c>
      <c r="GO62" s="23">
        <f t="shared" si="27"/>
        <v>21.197649766304544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5.9057862592636559</v>
      </c>
      <c r="GU62" s="13">
        <f>IF('Données projet'!$A$270&gt;35,GU61+GT62-HC61,IF(A62&lt;'Données projet'!$A$270,$GR$205^A62,IF(A62='Données projet'!$A$270,'Données projet'!$B$270,GU61+GT62-HC61)))</f>
        <v>167.16038064733027</v>
      </c>
      <c r="GV62" s="18">
        <f>GU62*VLOOKUP('Données projet'!$B$18,Paramètres!$A$1:$I$89,3,0)*VLOOKUP('Données projet'!$B$18,Paramètres!$A$1:$I$89,5,0)</f>
        <v>182.53913566688465</v>
      </c>
      <c r="GW62" s="14">
        <f t="shared" si="51"/>
        <v>45.886635703616442</v>
      </c>
      <c r="GX62" s="22">
        <f t="shared" si="28"/>
        <v>397.84155180362268</v>
      </c>
      <c r="GY62" s="62">
        <f t="shared" si="29"/>
        <v>658.5309589974654</v>
      </c>
      <c r="GZ62" s="62">
        <f ca="1">AVERAGE(OFFSET($GY$3,0,0,'Données projet'!$E$18+1,1))-AVERAGE(OFFSET($H$3,0,0,'Données projet'!$E$18+1,1))</f>
        <v>754.33260592777049</v>
      </c>
      <c r="HA62" s="62">
        <f t="shared" si="52"/>
        <v>250.97643915279005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9">
        <f t="shared" si="1"/>
        <v>183.33333333333334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550.39292625253665</v>
      </c>
      <c r="T63" s="62">
        <f t="shared" si="34"/>
        <v>297.32483725004136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276.82199999999995</v>
      </c>
      <c r="AK63" s="14">
        <f t="shared" si="35"/>
        <v>66.29496059864374</v>
      </c>
      <c r="AL63" s="22">
        <f t="shared" si="4"/>
        <v>597.59537304263779</v>
      </c>
      <c r="AM63" s="62">
        <f t="shared" si="5"/>
        <v>858.85107937411522</v>
      </c>
      <c r="AN63" s="62">
        <f ca="1">AVERAGE(OFFSET($AM$3,0,0,'Données projet'!$E$10+1,1))-AVERAGE(OFFSET($H$3,0,0,'Données projet'!$E$10+1,1))</f>
        <v>606.55142836375308</v>
      </c>
      <c r="AO63" s="62">
        <f t="shared" si="36"/>
        <v>325.72635759450861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276.28205128205127</v>
      </c>
      <c r="BB63" s="13">
        <f>VLOOKUP(A63,'Données projet'!$A$87:$I$107,9,0)</f>
        <v>6.4102564102564035</v>
      </c>
      <c r="BC63" s="13">
        <f t="array" ref="BC63">INDEX(BB:BB,MIN(IF(ISNUMBER(BB63:BB259),ROW(BB63:BB259),"")))</f>
        <v>6.4102564102564035</v>
      </c>
      <c r="BD63" s="13">
        <f>IF('Données projet'!$A$88&gt;35,BD62+BC63-BL62,IF(A63&lt;'Données projet'!$A$88,$BA$205^A63,IF(A63='Données projet'!$A$88,'Données projet'!$B$88,BD62+BC63-BL62)))</f>
        <v>276.28205128205133</v>
      </c>
      <c r="BE63" s="14">
        <f>BD63*VLOOKUP('Données projet'!$B$11,Paramètres!$A$1:$I$89,3,0)*VLOOKUP('Données projet'!$B$11,Paramètres!$A$1:$I$89,5,0)</f>
        <v>288.77000000000004</v>
      </c>
      <c r="BF63" s="14">
        <f t="shared" si="37"/>
        <v>68.817022236864929</v>
      </c>
      <c r="BG63" s="22">
        <f t="shared" si="7"/>
        <v>622.79739706253974</v>
      </c>
      <c r="BH63" s="62">
        <f t="shared" si="8"/>
        <v>884.05310339401717</v>
      </c>
      <c r="BI63" s="62">
        <f ca="1">AVERAGE(OFFSET($BH$3,0,0,'Données projet'!$E$11+1,1))-AVERAGE(OFFSET($H$3,0,0,'Données projet'!$E$11+1,1))</f>
        <v>635.13577238794812</v>
      </c>
      <c r="BJ63" s="62">
        <f t="shared" si="38"/>
        <v>374.35810525172019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948</v>
      </c>
      <c r="BW63" s="13">
        <f>VLOOKUP(A63,'Données projet'!$A$113:$I$133,9,0)</f>
        <v>22.4</v>
      </c>
      <c r="BX63" s="13">
        <f t="array" ref="BX63">INDEX(BW:BW,MIN(IF(ISNUMBER(BW63:BW259),ROW(BW63:BW259),"")))</f>
        <v>22.4</v>
      </c>
      <c r="BY63" s="13">
        <f>IF('Données projet'!$A$114&gt;35,BY62+BX63-CG62,IF(A63&lt;'Données projet'!$A$114,$BV$205^A63,IF(A63='Données projet'!$A$114,'Données projet'!$B$114,BY62+BX63-CG62)))</f>
        <v>948</v>
      </c>
      <c r="BZ63" s="14">
        <f>BY63*VLOOKUP('Données projet'!$B$12,Paramètres!$A$1:$I$89,3,0)*VLOOKUP('Données projet'!$B$12,Paramètres!$A$1:$I$89,5,0)</f>
        <v>419.01600000000008</v>
      </c>
      <c r="CA63" s="14">
        <f t="shared" si="39"/>
        <v>95.621384806579954</v>
      </c>
      <c r="CB63" s="22">
        <f t="shared" si="10"/>
        <v>896.32677853812675</v>
      </c>
      <c r="CC63" s="62">
        <f t="shared" si="11"/>
        <v>1157.5824848696043</v>
      </c>
      <c r="CD63" s="62">
        <f ca="1">AVERAGE(OFFSET($CC$3,0,0,'Données projet'!$E$12+1,1))-AVERAGE(OFFSET($H$3,0,0,'Données projet'!$E$12+1,1))</f>
        <v>580.02817743695846</v>
      </c>
      <c r="CE63" s="62">
        <f t="shared" si="40"/>
        <v>551.23515633208865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103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11.170769230769235</v>
      </c>
      <c r="CT63" s="13">
        <f>IF('Données projet'!$A$140&gt;35,CT62+CS63-DB62,IF(A63&lt;'Données projet'!$A$140,$CQ$205^A63,IF(A63='Données projet'!$A$140,'Données projet'!$B$140,CT62+CS63-DB62)))</f>
        <v>317.94461538461559</v>
      </c>
      <c r="CU63" s="18">
        <f>CT63*VLOOKUP('Données projet'!$B$13,Paramètres!$A$1:$I$89,3,0)*VLOOKUP('Données projet'!$B$13,Paramètres!$A$1:$I$89,5,0)</f>
        <v>148.79808000000008</v>
      </c>
      <c r="CV63" s="14">
        <f t="shared" si="41"/>
        <v>38.305317228732633</v>
      </c>
      <c r="CW63" s="22">
        <f t="shared" si="13"/>
        <v>325.87175017337614</v>
      </c>
      <c r="CX63" s="62">
        <f t="shared" si="14"/>
        <v>587.12745650485363</v>
      </c>
      <c r="CY63" s="62">
        <f ca="1">AVERAGE(OFFSET($CX$3,0,0,'Données projet'!$E$13+1,1))-AVERAGE(OFFSET($H$3,0,0,'Données projet'!$E$13+1,1))</f>
        <v>321.05795935196863</v>
      </c>
      <c r="CZ63" s="62">
        <f t="shared" si="42"/>
        <v>209.59551322748908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IF('Données projet'!$A$166&gt;35,DO62+DN63-DW62,IF(A63&lt;'Données projet'!$A$166,$DL$205^A63,IF(A63='Données projet'!$A$166,'Données projet'!$B$166,DO62+DN63-DW62)))</f>
        <v>272.99999999999994</v>
      </c>
      <c r="DP63" s="18">
        <f>DO63*VLOOKUP('Données projet'!$B$14,Paramètres!$A$1:$I$89,3,0)*VLOOKUP('Données projet'!$B$14,Paramètres!$A$1:$I$89,5,0)</f>
        <v>293.85719999999992</v>
      </c>
      <c r="DQ63" s="14">
        <f t="shared" si="43"/>
        <v>69.887150190339781</v>
      </c>
      <c r="DR63" s="22">
        <f t="shared" si="16"/>
        <v>633.52140991484157</v>
      </c>
      <c r="DS63" s="62">
        <f t="shared" si="17"/>
        <v>894.77711624631911</v>
      </c>
      <c r="DT63" s="62">
        <f ca="1">AVERAGE(OFFSET($DS$3,0,0,'Données projet'!$E$14+1,1))-AVERAGE(OFFSET($H$3,0,0,'Données projet'!$E$14+1,1))</f>
        <v>638.58602907610805</v>
      </c>
      <c r="DU63" s="62">
        <f t="shared" si="44"/>
        <v>341.9250949809848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5.6843418860808015E-14</v>
      </c>
      <c r="EK63" s="18">
        <f>EJ63*VLOOKUP('Données projet'!$B$15,Paramètres!$A$1:$I$89,3,0)*VLOOKUP('Données projet'!$B$15,Paramètres!$A$1:$I$89,5,0)</f>
        <v>3.3992364478763198E-14</v>
      </c>
      <c r="EL63" s="14">
        <f t="shared" si="45"/>
        <v>5.790027782444094E-13</v>
      </c>
      <c r="EM63" s="22">
        <f t="shared" si="19"/>
        <v>1.0676332069095257E-12</v>
      </c>
      <c r="EN63" s="62">
        <f t="shared" si="20"/>
        <v>261.25570633147856</v>
      </c>
      <c r="EO63" s="62">
        <f ca="1">AVERAGE(OFFSET($EN$3,0,0,'Données projet'!$E$15+1,1))-AVERAGE(OFFSET($H$3,0,0,'Données projet'!$E$15+1,1))</f>
        <v>223.57443551076992</v>
      </c>
      <c r="EP63" s="62">
        <f t="shared" si="46"/>
        <v>382.12751862619427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14.691827824861109</v>
      </c>
      <c r="EW63" s="23">
        <f>EXP(-LN(2)/25)*EW62+(1-EXP(-LN(2)/25))/(LN(2)/25)*Calculateur!ER63*Calculateur!ET63*VLOOKUP('Données projet'!$B$15,Paramètres!$A$1:$I$89,3,0)*0.475*44/12</f>
        <v>6.0416697610202732</v>
      </c>
      <c r="EX63" s="23">
        <f>EXP(-LN(2)/2)*EX62+(1-EXP(-LN(2)/2))/(LN(2)/2)*ER63*EU63*VLOOKUP('Données projet'!$B$15,Paramètres!$A$1:$I$89,3,0)*0.475*44/12</f>
        <v>3.0937492320730825E-4</v>
      </c>
      <c r="EY63" s="24">
        <f t="shared" si="21"/>
        <v>20.733806960804589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84.362499999999997</v>
      </c>
      <c r="FC63" s="13">
        <f>VLOOKUP(A63,'Données projet'!$A$217:$I$237,9,0)</f>
        <v>1.7724999999999995</v>
      </c>
      <c r="FD63" s="13">
        <f t="array" ref="FD63">INDEX(FC:FC,MIN(IF(ISNUMBER(FC63:FC259),ROW(FC63:FC259),"")))</f>
        <v>1.7724999999999995</v>
      </c>
      <c r="FE63" s="13">
        <f>IF('Données projet'!$A$218&gt;35,FE62+FD63-FM62,IF(A63&lt;'Données projet'!$A$218,$FB$205^A63,IF(A63='Données projet'!$A$218,'Données projet'!$B$218,FE62+FD63-FM62)))</f>
        <v>84.362499999999969</v>
      </c>
      <c r="FF63" s="18">
        <f>FE63*VLOOKUP('Données projet'!$B$16,Paramètres!$A$1:$I$89,3,0)*VLOOKUP('Données projet'!$B$16,Paramètres!$A$1:$I$89,5,0)</f>
        <v>97.185599999999965</v>
      </c>
      <c r="FG63" s="14">
        <f t="shared" si="47"/>
        <v>26.290395628270069</v>
      </c>
      <c r="FH63" s="22">
        <f t="shared" si="22"/>
        <v>215.05402571923696</v>
      </c>
      <c r="FI63" s="62">
        <f t="shared" si="23"/>
        <v>476.30973205071444</v>
      </c>
      <c r="FJ63" s="62">
        <f ca="1">AVERAGE(OFFSET($FI$3,0,0,'Données projet'!$E$16+1,1))-AVERAGE(OFFSET($H$3,0,0,'Données projet'!$E$16+1,1))</f>
        <v>283.95543623515323</v>
      </c>
      <c r="FK63" s="62">
        <f t="shared" si="48"/>
        <v>196.96883829830929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8.25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5.6843418860808015E-14</v>
      </c>
      <c r="GA63" s="18">
        <f>FZ63*VLOOKUP('Données projet'!$B$17,Paramètres!$A$1:$I$89,3,0)*VLOOKUP('Données projet'!$B$17,Paramètres!$A$1:$I$89,5,0)</f>
        <v>3.3992364478763198E-14</v>
      </c>
      <c r="GB63" s="14">
        <f t="shared" si="49"/>
        <v>5.790027782444094E-13</v>
      </c>
      <c r="GC63" s="22">
        <f t="shared" si="25"/>
        <v>1.0676332069095257E-12</v>
      </c>
      <c r="GD63" s="62">
        <f t="shared" si="26"/>
        <v>261.25570633147856</v>
      </c>
      <c r="GE63" s="62">
        <f ca="1">AVERAGE(OFFSET($GD$3,0,0,'Données projet'!$E$17+1,1))-AVERAGE(OFFSET($H$3,0,0,'Données projet'!$E$17+1,1))</f>
        <v>223.57443551076992</v>
      </c>
      <c r="GF63" s="62">
        <f t="shared" si="50"/>
        <v>382.12751862619427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14.691827824861109</v>
      </c>
      <c r="GM63" s="23">
        <f>EXP(-LN(2)/25)*GM62+(1-EXP(-LN(2)/25))/(LN(2)/25)*Calculateur!GH63*Calculateur!GJ63*VLOOKUP('Données projet'!$B$17,Paramètres!$A$1:$I$89,3,0)*0.475*44/12</f>
        <v>6.0416697610202732</v>
      </c>
      <c r="GN63" s="23">
        <f>EXP(-LN(2)/2)*GN62+(1-EXP(-LN(2)/2))/(LN(2)/2)*GH63*GK63*VLOOKUP('Données projet'!$B$17,Paramètres!$A$1:$I$89,3,0)*0.475*44/12</f>
        <v>3.0937492320730825E-4</v>
      </c>
      <c r="GO63" s="23">
        <f t="shared" si="27"/>
        <v>20.733806960804589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5.9057862592636559</v>
      </c>
      <c r="GU63" s="13">
        <f>IF('Données projet'!$A$270&gt;35,GU62+GT63-HC62,IF(A63&lt;'Données projet'!$A$270,$GR$205^A63,IF(A63='Données projet'!$A$270,'Données projet'!$B$270,GU62+GT63-HC62)))</f>
        <v>173.06616690659393</v>
      </c>
      <c r="GV63" s="18">
        <f>GU63*VLOOKUP('Données projet'!$B$18,Paramètres!$A$1:$I$89,3,0)*VLOOKUP('Données projet'!$B$18,Paramètres!$A$1:$I$89,5,0)</f>
        <v>188.98825426200057</v>
      </c>
      <c r="GW63" s="14">
        <f t="shared" si="51"/>
        <v>47.316200773474861</v>
      </c>
      <c r="GX63" s="22">
        <f t="shared" si="28"/>
        <v>411.5635925201197</v>
      </c>
      <c r="GY63" s="62">
        <f t="shared" si="29"/>
        <v>672.81929885159718</v>
      </c>
      <c r="GZ63" s="62">
        <f ca="1">AVERAGE(OFFSET($GY$3,0,0,'Données projet'!$E$18+1,1))-AVERAGE(OFFSET($H$3,0,0,'Données projet'!$E$18+1,1))</f>
        <v>754.33260592777049</v>
      </c>
      <c r="HA63" s="62">
        <f t="shared" si="52"/>
        <v>250.97643915279005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9">
        <f t="shared" si="1"/>
        <v>183.33333333333334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813.26246649179245</v>
      </c>
      <c r="S64" s="62">
        <f ca="1">AVERAGE(OFFSET($R$3,0,0,'Données projet'!$E$9+1,1))-AVERAGE(OFFSET($H$3,0,0,'Données projet'!$E$9+1,1))</f>
        <v>550.39292625253665</v>
      </c>
      <c r="T64" s="62">
        <f t="shared" si="34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281.79999999999995</v>
      </c>
      <c r="AJ64" s="14">
        <f>AI64*VLOOKUP('Données projet'!$B$10,Paramètres!$A$1:$I$89,3,0)*VLOOKUP('Données projet'!$B$10,Paramètres!$A$1:$I$89,5,0)</f>
        <v>285.74520000000001</v>
      </c>
      <c r="AK64" s="14">
        <f t="shared" si="35"/>
        <v>68.179695862275295</v>
      </c>
      <c r="AL64" s="22">
        <f t="shared" si="4"/>
        <v>616.41919362679607</v>
      </c>
      <c r="AM64" s="62">
        <f t="shared" si="5"/>
        <v>878.23137507192541</v>
      </c>
      <c r="AN64" s="62">
        <f ca="1">AVERAGE(OFFSET($AM$3,0,0,'Données projet'!$E$10+1,1))-AVERAGE(OFFSET($H$3,0,0,'Données projet'!$E$10+1,1))</f>
        <v>606.55142836375308</v>
      </c>
      <c r="AO64" s="62">
        <f t="shared" si="36"/>
        <v>325.72635759450861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6.0256410256410273</v>
      </c>
      <c r="BD64" s="13">
        <f>IF('Données projet'!$A$88&gt;35,BD63+BC64-BL63,IF(A64&lt;'Données projet'!$A$88,$BA$205^A64,IF(A64='Données projet'!$A$88,'Données projet'!$B$88,BD63+BC64-BL63)))</f>
        <v>282.30769230769238</v>
      </c>
      <c r="BE64" s="14">
        <f>BD64*VLOOKUP('Données projet'!$B$11,Paramètres!$A$1:$I$89,3,0)*VLOOKUP('Données projet'!$B$11,Paramètres!$A$1:$I$89,5,0)</f>
        <v>295.0680000000001</v>
      </c>
      <c r="BF64" s="14">
        <f t="shared" si="37"/>
        <v>70.141531451157491</v>
      </c>
      <c r="BG64" s="22">
        <f t="shared" si="7"/>
        <v>636.07326727743282</v>
      </c>
      <c r="BH64" s="62">
        <f t="shared" si="8"/>
        <v>897.88544872256216</v>
      </c>
      <c r="BI64" s="62">
        <f ca="1">AVERAGE(OFFSET($BH$3,0,0,'Données projet'!$E$11+1,1))-AVERAGE(OFFSET($H$3,0,0,'Données projet'!$E$11+1,1))</f>
        <v>635.13577238794812</v>
      </c>
      <c r="BJ64" s="62">
        <f t="shared" si="38"/>
        <v>374.35810525172019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18.8</v>
      </c>
      <c r="BY64" s="13">
        <f>IF('Données projet'!$A$114&gt;35,BY63+BX64-CG63,IF(A64&lt;'Données projet'!$A$114,$BV$205^A64,IF(A64='Données projet'!$A$114,'Données projet'!$B$114,BY63+BX64-CG63)))</f>
        <v>863.8</v>
      </c>
      <c r="BZ64" s="14">
        <f>BY64*VLOOKUP('Données projet'!$B$12,Paramètres!$A$1:$I$89,3,0)*VLOOKUP('Données projet'!$B$12,Paramètres!$A$1:$I$89,5,0)</f>
        <v>381.7996</v>
      </c>
      <c r="CA64" s="14">
        <f t="shared" si="39"/>
        <v>88.076872570964596</v>
      </c>
      <c r="CB64" s="22">
        <f t="shared" si="10"/>
        <v>818.36818972776337</v>
      </c>
      <c r="CC64" s="62">
        <f t="shared" si="11"/>
        <v>1080.1803711728926</v>
      </c>
      <c r="CD64" s="62">
        <f ca="1">AVERAGE(OFFSET($CC$3,0,0,'Données projet'!$E$12+1,1))-AVERAGE(OFFSET($H$3,0,0,'Données projet'!$E$12+1,1))</f>
        <v>580.02817743695846</v>
      </c>
      <c r="CE64" s="62">
        <f t="shared" si="40"/>
        <v>551.23515633208865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>
        <f>VLOOKUP(A64,'Données projet'!$A$139:$I$159,2,0)</f>
        <v>329.11538461538464</v>
      </c>
      <c r="CR64" s="13">
        <f>VLOOKUP(A64,'Données projet'!$A$139:$I$159,9,0)</f>
        <v>11.170769230769235</v>
      </c>
      <c r="CS64" s="13">
        <f t="array" ref="CS64">INDEX(CR:CR,MIN(IF(ISNUMBER(CR64:CR260),ROW(CR64:CR260),"")))</f>
        <v>11.170769230769235</v>
      </c>
      <c r="CT64" s="13">
        <f>IF('Données projet'!$A$140&gt;35,CT63+CS64-DB63,IF(A64&lt;'Données projet'!$A$140,$CQ$205^A64,IF(A64='Données projet'!$A$140,'Données projet'!$B$140,CT63+CS64-DB63)))</f>
        <v>329.11538461538481</v>
      </c>
      <c r="CU64" s="18">
        <f>CT64*VLOOKUP('Données projet'!$B$13,Paramètres!$A$1:$I$89,3,0)*VLOOKUP('Données projet'!$B$13,Paramètres!$A$1:$I$89,5,0)</f>
        <v>154.0260000000001</v>
      </c>
      <c r="CV64" s="14">
        <f t="shared" si="41"/>
        <v>39.492093452898274</v>
      </c>
      <c r="CW64" s="22">
        <f t="shared" si="13"/>
        <v>337.04401276379798</v>
      </c>
      <c r="CX64" s="62">
        <f t="shared" si="14"/>
        <v>598.85619420892726</v>
      </c>
      <c r="CY64" s="62">
        <f ca="1">AVERAGE(OFFSET($CX$3,0,0,'Données projet'!$E$13+1,1))-AVERAGE(OFFSET($H$3,0,0,'Données projet'!$E$13+1,1))</f>
        <v>321.05795935196863</v>
      </c>
      <c r="CZ64" s="62">
        <f t="shared" si="42"/>
        <v>209.59551322748908</v>
      </c>
      <c r="DA64" s="16">
        <f>IF(ISNA(VLOOKUP(A64,'Données projet'!$A$139:$I$159,3,0)),0,VLOOKUP(A64,'Données projet'!$A$139:$I$159,3,0))</f>
        <v>2</v>
      </c>
      <c r="DB64" s="16">
        <f>IF(ISNA(VLOOKUP(A64,'Données projet'!$A$139:$I$159,4,0)),0,VLOOKUP(A64,'Données projet'!$A$139:$I$159,4,0))</f>
        <v>94.76153846153845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IF('Données projet'!$A$166&gt;35,DO63+DN64-DW63,IF(A64&lt;'Données projet'!$A$166,$DL$205^A64,IF(A64='Données projet'!$A$166,'Données projet'!$B$166,DO63+DN64-DW63)))</f>
        <v>281.79999999999995</v>
      </c>
      <c r="DP64" s="18">
        <f>DO64*VLOOKUP('Données projet'!$B$14,Paramètres!$A$1:$I$89,3,0)*VLOOKUP('Données projet'!$B$14,Paramètres!$A$1:$I$89,5,0)</f>
        <v>303.32951999999995</v>
      </c>
      <c r="DQ64" s="14">
        <f t="shared" si="43"/>
        <v>71.874009753254171</v>
      </c>
      <c r="DR64" s="22">
        <f t="shared" si="16"/>
        <v>653.47948098691757</v>
      </c>
      <c r="DS64" s="62">
        <f t="shared" si="17"/>
        <v>915.29166243204691</v>
      </c>
      <c r="DT64" s="62">
        <f ca="1">AVERAGE(OFFSET($DS$3,0,0,'Données projet'!$E$14+1,1))-AVERAGE(OFFSET($H$3,0,0,'Données projet'!$E$14+1,1))</f>
        <v>638.58602907610805</v>
      </c>
      <c r="DU64" s="62">
        <f t="shared" si="44"/>
        <v>341.9250949809848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5.6843418860808015E-14</v>
      </c>
      <c r="EK64" s="18">
        <f>EJ64*VLOOKUP('Données projet'!$B$15,Paramètres!$A$1:$I$89,3,0)*VLOOKUP('Données projet'!$B$15,Paramètres!$A$1:$I$89,5,0)</f>
        <v>3.3992364478763198E-14</v>
      </c>
      <c r="EL64" s="14">
        <f t="shared" si="45"/>
        <v>5.790027782444094E-13</v>
      </c>
      <c r="EM64" s="22">
        <f t="shared" si="19"/>
        <v>1.0676332069095257E-12</v>
      </c>
      <c r="EN64" s="62">
        <f t="shared" si="20"/>
        <v>261.81218144513042</v>
      </c>
      <c r="EO64" s="62">
        <f ca="1">AVERAGE(OFFSET($EN$3,0,0,'Données projet'!$E$15+1,1))-AVERAGE(OFFSET($H$3,0,0,'Données projet'!$E$15+1,1))</f>
        <v>223.57443551076992</v>
      </c>
      <c r="EP64" s="62">
        <f t="shared" si="46"/>
        <v>382.12751862619427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14.403730042345718</v>
      </c>
      <c r="EW64" s="23">
        <f>EXP(-LN(2)/25)*EW63+(1-EXP(-LN(2)/25))/(LN(2)/25)*Calculateur!ER64*Calculateur!ET64*VLOOKUP('Données projet'!$B$15,Paramètres!$A$1:$I$89,3,0)*0.475*44/12</f>
        <v>5.8764599836875693</v>
      </c>
      <c r="EX64" s="23">
        <f>EXP(-LN(2)/2)*EX63+(1-EXP(-LN(2)/2))/(LN(2)/2)*ER64*EU64*VLOOKUP('Données projet'!$B$15,Paramètres!$A$1:$I$89,3,0)*0.475*44/12</f>
        <v>2.1876110612895506E-4</v>
      </c>
      <c r="EY64" s="24">
        <f t="shared" si="21"/>
        <v>20.280408787139418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1.6750000000000014</v>
      </c>
      <c r="FE64" s="13">
        <f>IF('Données projet'!$A$218&gt;35,FE63+FD64-FM63,IF(A64&lt;'Données projet'!$A$218,$FB$205^A64,IF(A64='Données projet'!$A$218,'Données projet'!$B$218,FE63+FD64-FM63)))</f>
        <v>77.787499999999966</v>
      </c>
      <c r="FF64" s="18">
        <f>FE64*VLOOKUP('Données projet'!$B$16,Paramètres!$A$1:$I$89,3,0)*VLOOKUP('Données projet'!$B$16,Paramètres!$A$1:$I$89,5,0)</f>
        <v>89.611199999999954</v>
      </c>
      <c r="FG64" s="14">
        <f t="shared" si="47"/>
        <v>24.471432182378969</v>
      </c>
      <c r="FH64" s="22">
        <f t="shared" si="22"/>
        <v>198.6939177176433</v>
      </c>
      <c r="FI64" s="62">
        <f t="shared" si="23"/>
        <v>460.50609916277267</v>
      </c>
      <c r="FJ64" s="62">
        <f ca="1">AVERAGE(OFFSET($FI$3,0,0,'Données projet'!$E$16+1,1))-AVERAGE(OFFSET($H$3,0,0,'Données projet'!$E$16+1,1))</f>
        <v>283.95543623515323</v>
      </c>
      <c r="FK64" s="62">
        <f t="shared" si="48"/>
        <v>196.96883829830929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5.6843418860808015E-14</v>
      </c>
      <c r="GA64" s="18">
        <f>FZ64*VLOOKUP('Données projet'!$B$17,Paramètres!$A$1:$I$89,3,0)*VLOOKUP('Données projet'!$B$17,Paramètres!$A$1:$I$89,5,0)</f>
        <v>3.3992364478763198E-14</v>
      </c>
      <c r="GB64" s="14">
        <f t="shared" si="49"/>
        <v>5.790027782444094E-13</v>
      </c>
      <c r="GC64" s="22">
        <f t="shared" si="25"/>
        <v>1.0676332069095257E-12</v>
      </c>
      <c r="GD64" s="62">
        <f t="shared" si="26"/>
        <v>261.81218144513042</v>
      </c>
      <c r="GE64" s="62">
        <f ca="1">AVERAGE(OFFSET($GD$3,0,0,'Données projet'!$E$17+1,1))-AVERAGE(OFFSET($H$3,0,0,'Données projet'!$E$17+1,1))</f>
        <v>223.57443551076992</v>
      </c>
      <c r="GF64" s="62">
        <f t="shared" si="50"/>
        <v>382.12751862619427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14.403730042345718</v>
      </c>
      <c r="GM64" s="23">
        <f>EXP(-LN(2)/25)*GM63+(1-EXP(-LN(2)/25))/(LN(2)/25)*Calculateur!GH64*Calculateur!GJ64*VLOOKUP('Données projet'!$B$17,Paramètres!$A$1:$I$89,3,0)*0.475*44/12</f>
        <v>5.8764599836875693</v>
      </c>
      <c r="GN64" s="23">
        <f>EXP(-LN(2)/2)*GN63+(1-EXP(-LN(2)/2))/(LN(2)/2)*GH64*GK64*VLOOKUP('Données projet'!$B$17,Paramètres!$A$1:$I$89,3,0)*0.475*44/12</f>
        <v>2.1876110612895506E-4</v>
      </c>
      <c r="GO64" s="23">
        <f t="shared" si="27"/>
        <v>20.280408787139418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5.9057862592636559</v>
      </c>
      <c r="GU64" s="13">
        <f>IF('Données projet'!$A$270&gt;35,GU63+GT64-HC63,IF(A64&lt;'Données projet'!$A$270,$GR$205^A64,IF(A64='Données projet'!$A$270,'Données projet'!$B$270,GU63+GT64-HC63)))</f>
        <v>178.9719531658576</v>
      </c>
      <c r="GV64" s="18">
        <f>GU64*VLOOKUP('Données projet'!$B$18,Paramètres!$A$1:$I$89,3,0)*VLOOKUP('Données projet'!$B$18,Paramètres!$A$1:$I$89,5,0)</f>
        <v>195.43737285711649</v>
      </c>
      <c r="GW64" s="14">
        <f t="shared" si="51"/>
        <v>48.740097589804073</v>
      </c>
      <c r="GX64" s="22">
        <f t="shared" si="28"/>
        <v>425.27576102838657</v>
      </c>
      <c r="GY64" s="62">
        <f t="shared" si="29"/>
        <v>687.08794247351591</v>
      </c>
      <c r="GZ64" s="62">
        <f ca="1">AVERAGE(OFFSET($GY$3,0,0,'Données projet'!$E$18+1,1))-AVERAGE(OFFSET($H$3,0,0,'Données projet'!$E$18+1,1))</f>
        <v>754.33260592777049</v>
      </c>
      <c r="HA64" s="62">
        <f t="shared" si="52"/>
        <v>250.97643915279005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9">
        <f t="shared" si="1"/>
        <v>183.33333333333334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830.63426393571331</v>
      </c>
      <c r="S65" s="62">
        <f ca="1">AVERAGE(OFFSET($R$3,0,0,'Données projet'!$E$9+1,1))-AVERAGE(OFFSET($H$3,0,0,'Données projet'!$E$9+1,1))</f>
        <v>550.39292625253665</v>
      </c>
      <c r="T65" s="62">
        <f t="shared" si="34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290.59999999999997</v>
      </c>
      <c r="AJ65" s="14">
        <f>AI65*VLOOKUP('Données projet'!$B$10,Paramètres!$A$1:$I$89,3,0)*VLOOKUP('Données projet'!$B$10,Paramètres!$A$1:$I$89,5,0)</f>
        <v>294.66839999999996</v>
      </c>
      <c r="AK65" s="14">
        <f t="shared" si="35"/>
        <v>70.057591528661547</v>
      </c>
      <c r="AL65" s="22">
        <f t="shared" si="4"/>
        <v>635.23110191241869</v>
      </c>
      <c r="AM65" s="62">
        <f t="shared" si="5"/>
        <v>897.59010487207001</v>
      </c>
      <c r="AN65" s="62">
        <f ca="1">AVERAGE(OFFSET($AM$3,0,0,'Données projet'!$E$10+1,1))-AVERAGE(OFFSET($H$3,0,0,'Données projet'!$E$10+1,1))</f>
        <v>606.55142836375308</v>
      </c>
      <c r="AO65" s="62">
        <f t="shared" si="36"/>
        <v>325.72635759450861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6.0256410256410273</v>
      </c>
      <c r="BD65" s="13">
        <f>IF('Données projet'!$A$88&gt;35,BD64+BC65-BL64,IF(A65&lt;'Données projet'!$A$88,$BA$205^A65,IF(A65='Données projet'!$A$88,'Données projet'!$B$88,BD64+BC65-BL64)))</f>
        <v>288.33333333333343</v>
      </c>
      <c r="BE65" s="14">
        <f>BD65*VLOOKUP('Données projet'!$B$11,Paramètres!$A$1:$I$89,3,0)*VLOOKUP('Données projet'!$B$11,Paramètres!$A$1:$I$89,5,0)</f>
        <v>301.36600000000016</v>
      </c>
      <c r="BF65" s="14">
        <f t="shared" si="37"/>
        <v>71.462753784453042</v>
      </c>
      <c r="BG65" s="22">
        <f t="shared" si="7"/>
        <v>649.34341284125583</v>
      </c>
      <c r="BH65" s="62">
        <f t="shared" si="8"/>
        <v>911.70241580090715</v>
      </c>
      <c r="BI65" s="62">
        <f ca="1">AVERAGE(OFFSET($BH$3,0,0,'Données projet'!$E$11+1,1))-AVERAGE(OFFSET($H$3,0,0,'Données projet'!$E$11+1,1))</f>
        <v>635.13577238794812</v>
      </c>
      <c r="BJ65" s="62">
        <f t="shared" si="38"/>
        <v>374.35810525172019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18.8</v>
      </c>
      <c r="BY65" s="13">
        <f>IF('Données projet'!$A$114&gt;35,BY64+BX65-CG64,IF(A65&lt;'Données projet'!$A$114,$BV$205^A65,IF(A65='Données projet'!$A$114,'Données projet'!$B$114,BY64+BX65-CG64)))</f>
        <v>882.59999999999991</v>
      </c>
      <c r="BZ65" s="14">
        <f>BY65*VLOOKUP('Données projet'!$B$12,Paramètres!$A$1:$I$89,3,0)*VLOOKUP('Données projet'!$B$12,Paramètres!$A$1:$I$89,5,0)</f>
        <v>390.10920000000004</v>
      </c>
      <c r="CA65" s="14">
        <f t="shared" si="39"/>
        <v>89.768544686629525</v>
      </c>
      <c r="CB65" s="22">
        <f t="shared" si="10"/>
        <v>835.78707199587973</v>
      </c>
      <c r="CC65" s="62">
        <f t="shared" si="11"/>
        <v>1098.146074955531</v>
      </c>
      <c r="CD65" s="62">
        <f ca="1">AVERAGE(OFFSET($CC$3,0,0,'Données projet'!$E$12+1,1))-AVERAGE(OFFSET($H$3,0,0,'Données projet'!$E$12+1,1))</f>
        <v>580.02817743695846</v>
      </c>
      <c r="CE65" s="62">
        <f t="shared" si="40"/>
        <v>551.23515633208865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10.314743589743586</v>
      </c>
      <c r="CT65" s="13">
        <f>IF('Données projet'!$A$140&gt;35,CT64+CS65-DB64,IF(A65&lt;'Données projet'!$A$140,$CQ$205^A65,IF(A65='Données projet'!$A$140,'Données projet'!$B$140,CT64+CS65-DB64)))</f>
        <v>244.66858974358996</v>
      </c>
      <c r="CU65" s="18">
        <f>CT65*VLOOKUP('Données projet'!$B$13,Paramètres!$A$1:$I$89,3,0)*VLOOKUP('Données projet'!$B$13,Paramètres!$A$1:$I$89,5,0)</f>
        <v>114.50490000000011</v>
      </c>
      <c r="CV65" s="14">
        <f t="shared" si="41"/>
        <v>30.389882066052234</v>
      </c>
      <c r="CW65" s="22">
        <f t="shared" si="13"/>
        <v>252.35841209837443</v>
      </c>
      <c r="CX65" s="62">
        <f t="shared" si="14"/>
        <v>514.71741505802572</v>
      </c>
      <c r="CY65" s="62">
        <f ca="1">AVERAGE(OFFSET($CX$3,0,0,'Données projet'!$E$13+1,1))-AVERAGE(OFFSET($H$3,0,0,'Données projet'!$E$13+1,1))</f>
        <v>321.05795935196863</v>
      </c>
      <c r="CZ65" s="62">
        <f t="shared" si="42"/>
        <v>209.59551322748908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IF('Données projet'!$A$166&gt;35,DO64+DN65-DW64,IF(A65&lt;'Données projet'!$A$166,$DL$205^A65,IF(A65='Données projet'!$A$166,'Données projet'!$B$166,DO64+DN65-DW64)))</f>
        <v>290.59999999999997</v>
      </c>
      <c r="DP65" s="18">
        <f>DO65*VLOOKUP('Données projet'!$B$14,Paramètres!$A$1:$I$89,3,0)*VLOOKUP('Données projet'!$B$14,Paramètres!$A$1:$I$89,5,0)</f>
        <v>312.80183999999991</v>
      </c>
      <c r="DQ65" s="14">
        <f t="shared" si="43"/>
        <v>73.853659115640383</v>
      </c>
      <c r="DR65" s="22">
        <f t="shared" si="16"/>
        <v>673.42499429307338</v>
      </c>
      <c r="DS65" s="62">
        <f t="shared" si="17"/>
        <v>935.7839972527247</v>
      </c>
      <c r="DT65" s="62">
        <f ca="1">AVERAGE(OFFSET($DS$3,0,0,'Données projet'!$E$14+1,1))-AVERAGE(OFFSET($H$3,0,0,'Données projet'!$E$14+1,1))</f>
        <v>638.58602907610805</v>
      </c>
      <c r="DU65" s="62">
        <f t="shared" si="44"/>
        <v>341.9250949809848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5.6843418860808015E-14</v>
      </c>
      <c r="EK65" s="18">
        <f>EJ65*VLOOKUP('Données projet'!$B$15,Paramètres!$A$1:$I$89,3,0)*VLOOKUP('Données projet'!$B$15,Paramètres!$A$1:$I$89,5,0)</f>
        <v>3.3992364478763198E-14</v>
      </c>
      <c r="EL65" s="14">
        <f t="shared" si="45"/>
        <v>5.790027782444094E-13</v>
      </c>
      <c r="EM65" s="22">
        <f t="shared" si="19"/>
        <v>1.0676332069095257E-12</v>
      </c>
      <c r="EN65" s="62">
        <f t="shared" si="20"/>
        <v>262.3590029596524</v>
      </c>
      <c r="EO65" s="62">
        <f ca="1">AVERAGE(OFFSET($EN$3,0,0,'Données projet'!$E$15+1,1))-AVERAGE(OFFSET($H$3,0,0,'Données projet'!$E$15+1,1))</f>
        <v>223.57443551076992</v>
      </c>
      <c r="EP65" s="62">
        <f t="shared" si="46"/>
        <v>382.12751862619427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14.121281681623158</v>
      </c>
      <c r="EW65" s="23">
        <f>EXP(-LN(2)/25)*EW64+(1-EXP(-LN(2)/25))/(LN(2)/25)*Calculateur!ER65*Calculateur!ET65*VLOOKUP('Données projet'!$B$15,Paramètres!$A$1:$I$89,3,0)*0.475*44/12</f>
        <v>5.7157678764040334</v>
      </c>
      <c r="EX65" s="23">
        <f>EXP(-LN(2)/2)*EX64+(1-EXP(-LN(2)/2))/(LN(2)/2)*ER65*EU65*VLOOKUP('Données projet'!$B$15,Paramètres!$A$1:$I$89,3,0)*0.475*44/12</f>
        <v>1.5468746160365412E-4</v>
      </c>
      <c r="EY65" s="24">
        <f t="shared" si="21"/>
        <v>19.837204245488792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1.6750000000000014</v>
      </c>
      <c r="FE65" s="13">
        <f>IF('Données projet'!$A$218&gt;35,FE64+FD65-FM64,IF(A65&lt;'Données projet'!$A$218,$FB$205^A65,IF(A65='Données projet'!$A$218,'Données projet'!$B$218,FE64+FD65-FM64)))</f>
        <v>79.462499999999963</v>
      </c>
      <c r="FF65" s="18">
        <f>FE65*VLOOKUP('Données projet'!$B$16,Paramètres!$A$1:$I$89,3,0)*VLOOKUP('Données projet'!$B$16,Paramètres!$A$1:$I$89,5,0)</f>
        <v>91.540799999999948</v>
      </c>
      <c r="FG65" s="14">
        <f t="shared" si="47"/>
        <v>24.93646092914312</v>
      </c>
      <c r="FH65" s="22">
        <f t="shared" si="22"/>
        <v>202.86456278492415</v>
      </c>
      <c r="FI65" s="62">
        <f t="shared" si="23"/>
        <v>465.22356574457547</v>
      </c>
      <c r="FJ65" s="62">
        <f ca="1">AVERAGE(OFFSET($FI$3,0,0,'Données projet'!$E$16+1,1))-AVERAGE(OFFSET($H$3,0,0,'Données projet'!$E$16+1,1))</f>
        <v>283.95543623515323</v>
      </c>
      <c r="FK65" s="62">
        <f t="shared" si="48"/>
        <v>196.96883829830929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5.6843418860808015E-14</v>
      </c>
      <c r="GA65" s="18">
        <f>FZ65*VLOOKUP('Données projet'!$B$17,Paramètres!$A$1:$I$89,3,0)*VLOOKUP('Données projet'!$B$17,Paramètres!$A$1:$I$89,5,0)</f>
        <v>3.3992364478763198E-14</v>
      </c>
      <c r="GB65" s="14">
        <f t="shared" si="49"/>
        <v>5.790027782444094E-13</v>
      </c>
      <c r="GC65" s="22">
        <f t="shared" si="25"/>
        <v>1.0676332069095257E-12</v>
      </c>
      <c r="GD65" s="62">
        <f t="shared" si="26"/>
        <v>262.3590029596524</v>
      </c>
      <c r="GE65" s="62">
        <f ca="1">AVERAGE(OFFSET($GD$3,0,0,'Données projet'!$E$17+1,1))-AVERAGE(OFFSET($H$3,0,0,'Données projet'!$E$17+1,1))</f>
        <v>223.57443551076992</v>
      </c>
      <c r="GF65" s="62">
        <f t="shared" si="50"/>
        <v>382.12751862619427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14.121281681623158</v>
      </c>
      <c r="GM65" s="23">
        <f>EXP(-LN(2)/25)*GM64+(1-EXP(-LN(2)/25))/(LN(2)/25)*Calculateur!GH65*Calculateur!GJ65*VLOOKUP('Données projet'!$B$17,Paramètres!$A$1:$I$89,3,0)*0.475*44/12</f>
        <v>5.7157678764040334</v>
      </c>
      <c r="GN65" s="23">
        <f>EXP(-LN(2)/2)*GN64+(1-EXP(-LN(2)/2))/(LN(2)/2)*GH65*GK65*VLOOKUP('Données projet'!$B$17,Paramètres!$A$1:$I$89,3,0)*0.475*44/12</f>
        <v>1.5468746160365412E-4</v>
      </c>
      <c r="GO65" s="23">
        <f t="shared" si="27"/>
        <v>19.837204245488792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5.9057862592636559</v>
      </c>
      <c r="GU65" s="13">
        <f>IF('Données projet'!$A$270&gt;35,GU64+GT65-HC64,IF(A65&lt;'Données projet'!$A$270,$GR$205^A65,IF(A65='Données projet'!$A$270,'Données projet'!$B$270,GU64+GT65-HC64)))</f>
        <v>184.87773942512126</v>
      </c>
      <c r="GV65" s="18">
        <f>GU65*VLOOKUP('Données projet'!$B$18,Paramètres!$A$1:$I$89,3,0)*VLOOKUP('Données projet'!$B$18,Paramètres!$A$1:$I$89,5,0)</f>
        <v>201.88649145223241</v>
      </c>
      <c r="GW65" s="14">
        <f t="shared" si="51"/>
        <v>50.158534643999729</v>
      </c>
      <c r="GX65" s="22">
        <f t="shared" si="28"/>
        <v>438.97842045093762</v>
      </c>
      <c r="GY65" s="62">
        <f t="shared" si="29"/>
        <v>701.33742341058894</v>
      </c>
      <c r="GZ65" s="62">
        <f ca="1">AVERAGE(OFFSET($GY$3,0,0,'Données projet'!$E$18+1,1))-AVERAGE(OFFSET($H$3,0,0,'Données projet'!$E$18+1,1))</f>
        <v>754.33260592777049</v>
      </c>
      <c r="HA65" s="62">
        <f t="shared" si="52"/>
        <v>250.97643915279005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9">
        <f t="shared" si="1"/>
        <v>183.33333333333334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847.98616751386385</v>
      </c>
      <c r="S66" s="62">
        <f ca="1">AVERAGE(OFFSET($R$3,0,0,'Données projet'!$E$9+1,1))-AVERAGE(OFFSET($H$3,0,0,'Données projet'!$E$9+1,1))</f>
        <v>550.39292625253665</v>
      </c>
      <c r="T66" s="62">
        <f t="shared" si="34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299.39999999999998</v>
      </c>
      <c r="AJ66" s="14">
        <f>AI66*VLOOKUP('Données projet'!$B$10,Paramètres!$A$1:$I$89,3,0)*VLOOKUP('Données projet'!$B$10,Paramètres!$A$1:$I$89,5,0)</f>
        <v>303.59159999999997</v>
      </c>
      <c r="AK66" s="14">
        <f t="shared" si="35"/>
        <v>71.928878488732749</v>
      </c>
      <c r="AL66" s="22">
        <f t="shared" si="4"/>
        <v>654.03150003454277</v>
      </c>
      <c r="AM66" s="62">
        <f t="shared" si="5"/>
        <v>916.92783837794889</v>
      </c>
      <c r="AN66" s="62">
        <f ca="1">AVERAGE(OFFSET($AM$3,0,0,'Données projet'!$E$10+1,1))-AVERAGE(OFFSET($H$3,0,0,'Données projet'!$E$10+1,1))</f>
        <v>606.55142836375308</v>
      </c>
      <c r="AO66" s="62">
        <f t="shared" si="36"/>
        <v>325.72635759450861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6.0256410256410273</v>
      </c>
      <c r="BD66" s="13">
        <f>IF('Données projet'!$A$88&gt;35,BD65+BC66-BL65,IF(A66&lt;'Données projet'!$A$88,$BA$205^A66,IF(A66='Données projet'!$A$88,'Données projet'!$B$88,BD65+BC66-BL65)))</f>
        <v>294.35897435897448</v>
      </c>
      <c r="BE66" s="14">
        <f>BD66*VLOOKUP('Données projet'!$B$11,Paramètres!$A$1:$I$89,3,0)*VLOOKUP('Données projet'!$B$11,Paramètres!$A$1:$I$89,5,0)</f>
        <v>307.66400000000016</v>
      </c>
      <c r="BF66" s="14">
        <f t="shared" si="37"/>
        <v>72.780765840130968</v>
      </c>
      <c r="BG66" s="22">
        <f t="shared" si="7"/>
        <v>662.60796717156165</v>
      </c>
      <c r="BH66" s="62">
        <f t="shared" si="8"/>
        <v>925.50430551496777</v>
      </c>
      <c r="BI66" s="62">
        <f ca="1">AVERAGE(OFFSET($BH$3,0,0,'Données projet'!$E$11+1,1))-AVERAGE(OFFSET($H$3,0,0,'Données projet'!$E$11+1,1))</f>
        <v>635.13577238794812</v>
      </c>
      <c r="BJ66" s="62">
        <f t="shared" si="38"/>
        <v>374.35810525172019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18.8</v>
      </c>
      <c r="BY66" s="13">
        <f>IF('Données projet'!$A$114&gt;35,BY65+BX66-CG65,IF(A66&lt;'Données projet'!$A$114,$BV$205^A66,IF(A66='Données projet'!$A$114,'Données projet'!$B$114,BY65+BX66-CG65)))</f>
        <v>901.39999999999986</v>
      </c>
      <c r="BZ66" s="14">
        <f>BY66*VLOOKUP('Données projet'!$B$12,Paramètres!$A$1:$I$89,3,0)*VLOOKUP('Données projet'!$B$12,Paramètres!$A$1:$I$89,5,0)</f>
        <v>398.41880000000003</v>
      </c>
      <c r="CA66" s="14">
        <f t="shared" si="39"/>
        <v>91.456027328019175</v>
      </c>
      <c r="CB66" s="22">
        <f t="shared" si="10"/>
        <v>853.19865759630011</v>
      </c>
      <c r="CC66" s="62">
        <f t="shared" si="11"/>
        <v>1116.0949959397062</v>
      </c>
      <c r="CD66" s="62">
        <f ca="1">AVERAGE(OFFSET($CC$3,0,0,'Données projet'!$E$12+1,1))-AVERAGE(OFFSET($H$3,0,0,'Données projet'!$E$12+1,1))</f>
        <v>580.02817743695846</v>
      </c>
      <c r="CE66" s="62">
        <f t="shared" si="40"/>
        <v>551.23515633208865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10.314743589743586</v>
      </c>
      <c r="CT66" s="13">
        <f>IF('Données projet'!$A$140&gt;35,CT65+CS66-DB65,IF(A66&lt;'Données projet'!$A$140,$CQ$205^A66,IF(A66='Données projet'!$A$140,'Données projet'!$B$140,CT65+CS66-DB65)))</f>
        <v>254.98333333333355</v>
      </c>
      <c r="CU66" s="18">
        <f>CT66*VLOOKUP('Données projet'!$B$13,Paramètres!$A$1:$I$89,3,0)*VLOOKUP('Données projet'!$B$13,Paramètres!$A$1:$I$89,5,0)</f>
        <v>119.33220000000009</v>
      </c>
      <c r="CV66" s="14">
        <f t="shared" si="41"/>
        <v>31.519195359992793</v>
      </c>
      <c r="CW66" s="22">
        <f t="shared" si="13"/>
        <v>262.73284691865422</v>
      </c>
      <c r="CX66" s="62">
        <f t="shared" si="14"/>
        <v>525.62918526206033</v>
      </c>
      <c r="CY66" s="62">
        <f ca="1">AVERAGE(OFFSET($CX$3,0,0,'Données projet'!$E$13+1,1))-AVERAGE(OFFSET($H$3,0,0,'Données projet'!$E$13+1,1))</f>
        <v>321.05795935196863</v>
      </c>
      <c r="CZ66" s="62">
        <f t="shared" si="42"/>
        <v>209.59551322748908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IF('Données projet'!$A$166&gt;35,DO65+DN66-DW65,IF(A66&lt;'Données projet'!$A$166,$DL$205^A66,IF(A66='Données projet'!$A$166,'Données projet'!$B$166,DO65+DN66-DW65)))</f>
        <v>299.39999999999998</v>
      </c>
      <c r="DP66" s="18">
        <f>DO66*VLOOKUP('Données projet'!$B$14,Paramètres!$A$1:$I$89,3,0)*VLOOKUP('Données projet'!$B$14,Paramètres!$A$1:$I$89,5,0)</f>
        <v>322.27415999999994</v>
      </c>
      <c r="DQ66" s="14">
        <f t="shared" si="43"/>
        <v>75.826341679243811</v>
      </c>
      <c r="DR66" s="22">
        <f t="shared" si="16"/>
        <v>693.35837375801611</v>
      </c>
      <c r="DS66" s="62">
        <f t="shared" si="17"/>
        <v>956.25471210142223</v>
      </c>
      <c r="DT66" s="62">
        <f ca="1">AVERAGE(OFFSET($DS$3,0,0,'Données projet'!$E$14+1,1))-AVERAGE(OFFSET($H$3,0,0,'Données projet'!$E$14+1,1))</f>
        <v>638.58602907610805</v>
      </c>
      <c r="DU66" s="62">
        <f t="shared" si="44"/>
        <v>341.9250949809848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5.6843418860808015E-14</v>
      </c>
      <c r="EK66" s="18">
        <f>EJ66*VLOOKUP('Données projet'!$B$15,Paramètres!$A$1:$I$89,3,0)*VLOOKUP('Données projet'!$B$15,Paramètres!$A$1:$I$89,5,0)</f>
        <v>3.3992364478763198E-14</v>
      </c>
      <c r="EL66" s="14">
        <f t="shared" si="45"/>
        <v>5.790027782444094E-13</v>
      </c>
      <c r="EM66" s="22">
        <f t="shared" si="19"/>
        <v>1.0676332069095257E-12</v>
      </c>
      <c r="EN66" s="62">
        <f t="shared" si="20"/>
        <v>262.89633834340719</v>
      </c>
      <c r="EO66" s="62">
        <f ca="1">AVERAGE(OFFSET($EN$3,0,0,'Données projet'!$E$15+1,1))-AVERAGE(OFFSET($H$3,0,0,'Données projet'!$E$15+1,1))</f>
        <v>223.57443551076992</v>
      </c>
      <c r="EP66" s="62">
        <f t="shared" si="46"/>
        <v>382.12751862619427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13.844371960977877</v>
      </c>
      <c r="EW66" s="23">
        <f>EXP(-LN(2)/25)*EW65+(1-EXP(-LN(2)/25))/(LN(2)/25)*Calculateur!ER66*Calculateur!ET66*VLOOKUP('Données projet'!$B$15,Paramètres!$A$1:$I$89,3,0)*0.475*44/12</f>
        <v>5.5594699032445964</v>
      </c>
      <c r="EX66" s="23">
        <f>EXP(-LN(2)/2)*EX65+(1-EXP(-LN(2)/2))/(LN(2)/2)*ER66*EU66*VLOOKUP('Données projet'!$B$15,Paramètres!$A$1:$I$89,3,0)*0.475*44/12</f>
        <v>1.0938055306447753E-4</v>
      </c>
      <c r="EY66" s="24">
        <f t="shared" si="21"/>
        <v>19.403951244775538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1.6750000000000014</v>
      </c>
      <c r="FE66" s="13">
        <f>IF('Données projet'!$A$218&gt;35,FE65+FD66-FM65,IF(A66&lt;'Données projet'!$A$218,$FB$205^A66,IF(A66='Données projet'!$A$218,'Données projet'!$B$218,FE65+FD66-FM65)))</f>
        <v>81.13749999999996</v>
      </c>
      <c r="FF66" s="18">
        <f>FE66*VLOOKUP('Données projet'!$B$16,Paramètres!$A$1:$I$89,3,0)*VLOOKUP('Données projet'!$B$16,Paramètres!$A$1:$I$89,5,0)</f>
        <v>93.470399999999941</v>
      </c>
      <c r="FG66" s="14">
        <f t="shared" si="47"/>
        <v>25.400349986061777</v>
      </c>
      <c r="FH66" s="22">
        <f t="shared" si="22"/>
        <v>207.03322289239085</v>
      </c>
      <c r="FI66" s="62">
        <f t="shared" si="23"/>
        <v>469.929561235797</v>
      </c>
      <c r="FJ66" s="62">
        <f ca="1">AVERAGE(OFFSET($FI$3,0,0,'Données projet'!$E$16+1,1))-AVERAGE(OFFSET($H$3,0,0,'Données projet'!$E$16+1,1))</f>
        <v>283.95543623515323</v>
      </c>
      <c r="FK66" s="62">
        <f t="shared" si="48"/>
        <v>196.96883829830929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5.6843418860808015E-14</v>
      </c>
      <c r="GA66" s="18">
        <f>FZ66*VLOOKUP('Données projet'!$B$17,Paramètres!$A$1:$I$89,3,0)*VLOOKUP('Données projet'!$B$17,Paramètres!$A$1:$I$89,5,0)</f>
        <v>3.3992364478763198E-14</v>
      </c>
      <c r="GB66" s="14">
        <f t="shared" si="49"/>
        <v>5.790027782444094E-13</v>
      </c>
      <c r="GC66" s="22">
        <f t="shared" si="25"/>
        <v>1.0676332069095257E-12</v>
      </c>
      <c r="GD66" s="62">
        <f t="shared" si="26"/>
        <v>262.89633834340719</v>
      </c>
      <c r="GE66" s="62">
        <f ca="1">AVERAGE(OFFSET($GD$3,0,0,'Données projet'!$E$17+1,1))-AVERAGE(OFFSET($H$3,0,0,'Données projet'!$E$17+1,1))</f>
        <v>223.57443551076992</v>
      </c>
      <c r="GF66" s="62">
        <f t="shared" si="50"/>
        <v>382.12751862619427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13.844371960977877</v>
      </c>
      <c r="GM66" s="23">
        <f>EXP(-LN(2)/25)*GM65+(1-EXP(-LN(2)/25))/(LN(2)/25)*Calculateur!GH66*Calculateur!GJ66*VLOOKUP('Données projet'!$B$17,Paramètres!$A$1:$I$89,3,0)*0.475*44/12</f>
        <v>5.5594699032445964</v>
      </c>
      <c r="GN66" s="23">
        <f>EXP(-LN(2)/2)*GN65+(1-EXP(-LN(2)/2))/(LN(2)/2)*GH66*GK66*VLOOKUP('Données projet'!$B$17,Paramètres!$A$1:$I$89,3,0)*0.475*44/12</f>
        <v>1.0938055306447753E-4</v>
      </c>
      <c r="GO66" s="23">
        <f t="shared" si="27"/>
        <v>19.403951244775538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5.9057862592636559</v>
      </c>
      <c r="GU66" s="13">
        <f>IF('Données projet'!$A$270&gt;35,GU65+GT66-HC65,IF(A66&lt;'Données projet'!$A$270,$GR$205^A66,IF(A66='Données projet'!$A$270,'Données projet'!$B$270,GU65+GT66-HC65)))</f>
        <v>190.78352568438493</v>
      </c>
      <c r="GV66" s="18">
        <f>GU66*VLOOKUP('Données projet'!$B$18,Paramètres!$A$1:$I$89,3,0)*VLOOKUP('Données projet'!$B$18,Paramètres!$A$1:$I$89,5,0)</f>
        <v>208.33561004734833</v>
      </c>
      <c r="GW66" s="14">
        <f t="shared" si="51"/>
        <v>51.571706350910162</v>
      </c>
      <c r="GX66" s="22">
        <f t="shared" si="28"/>
        <v>452.67190939363354</v>
      </c>
      <c r="GY66" s="62">
        <f t="shared" si="29"/>
        <v>715.56824773703966</v>
      </c>
      <c r="GZ66" s="62">
        <f ca="1">AVERAGE(OFFSET($GY$3,0,0,'Données projet'!$E$18+1,1))-AVERAGE(OFFSET($H$3,0,0,'Données projet'!$E$18+1,1))</f>
        <v>754.33260592777049</v>
      </c>
      <c r="HA66" s="62">
        <f t="shared" si="52"/>
        <v>250.97643915279005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9">
        <f t="shared" si="1"/>
        <v>183.33333333333334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865.31868281817174</v>
      </c>
      <c r="S67" s="62">
        <f ca="1">AVERAGE(OFFSET($R$3,0,0,'Données projet'!$E$9+1,1))-AVERAGE(OFFSET($H$3,0,0,'Données projet'!$E$9+1,1))</f>
        <v>550.39292625253665</v>
      </c>
      <c r="T67" s="62">
        <f t="shared" si="34"/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308.2</v>
      </c>
      <c r="AJ67" s="14">
        <f>AI67*VLOOKUP('Données projet'!$B$10,Paramètres!$A$1:$I$89,3,0)*VLOOKUP('Données projet'!$B$10,Paramètres!$A$1:$I$89,5,0)</f>
        <v>312.51480000000004</v>
      </c>
      <c r="AK67" s="14">
        <f t="shared" si="35"/>
        <v>73.793773289024969</v>
      </c>
      <c r="AL67" s="22">
        <f t="shared" si="4"/>
        <v>672.82076514505184</v>
      </c>
      <c r="AM67" s="62">
        <f t="shared" si="5"/>
        <v>936.24511730460654</v>
      </c>
      <c r="AN67" s="62">
        <f ca="1">AVERAGE(OFFSET($AM$3,0,0,'Données projet'!$E$10+1,1))-AVERAGE(OFFSET($H$3,0,0,'Données projet'!$E$10+1,1))</f>
        <v>606.55142836375308</v>
      </c>
      <c r="AO67" s="62">
        <f t="shared" si="36"/>
        <v>325.72635759450861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6.0256410256410273</v>
      </c>
      <c r="BD67" s="13">
        <f>IF('Données projet'!$A$88&gt;35,BD66+BC67-BL66,IF(A67&lt;'Données projet'!$A$88,$BA$205^A67,IF(A67='Données projet'!$A$88,'Données projet'!$B$88,BD66+BC67-BL66)))</f>
        <v>300.38461538461553</v>
      </c>
      <c r="BE67" s="14">
        <f>BD67*VLOOKUP('Données projet'!$B$11,Paramètres!$A$1:$I$89,3,0)*VLOOKUP('Données projet'!$B$11,Paramètres!$A$1:$I$89,5,0)</f>
        <v>313.96200000000022</v>
      </c>
      <c r="BF67" s="14">
        <f t="shared" si="37"/>
        <v>74.095640906098566</v>
      </c>
      <c r="BG67" s="22">
        <f t="shared" si="7"/>
        <v>675.86705791145528</v>
      </c>
      <c r="BH67" s="62">
        <f t="shared" si="8"/>
        <v>939.29141007100998</v>
      </c>
      <c r="BI67" s="62">
        <f ca="1">AVERAGE(OFFSET($BH$3,0,0,'Données projet'!$E$11+1,1))-AVERAGE(OFFSET($H$3,0,0,'Données projet'!$E$11+1,1))</f>
        <v>635.13577238794812</v>
      </c>
      <c r="BJ67" s="62">
        <f t="shared" si="38"/>
        <v>374.35810525172019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18.8</v>
      </c>
      <c r="BY67" s="13">
        <f>IF('Données projet'!$A$114&gt;35,BY66+BX67-CG66,IF(A67&lt;'Données projet'!$A$114,$BV$205^A67,IF(A67='Données projet'!$A$114,'Données projet'!$B$114,BY66+BX67-CG66)))</f>
        <v>920.19999999999982</v>
      </c>
      <c r="BZ67" s="14">
        <f>BY67*VLOOKUP('Données projet'!$B$12,Paramètres!$A$1:$I$89,3,0)*VLOOKUP('Données projet'!$B$12,Paramètres!$A$1:$I$89,5,0)</f>
        <v>406.72839999999991</v>
      </c>
      <c r="CA67" s="14">
        <f t="shared" si="39"/>
        <v>93.139417939372251</v>
      </c>
      <c r="CB67" s="22">
        <f t="shared" si="10"/>
        <v>870.60311624440658</v>
      </c>
      <c r="CC67" s="62">
        <f t="shared" si="11"/>
        <v>1134.0274684039614</v>
      </c>
      <c r="CD67" s="62">
        <f ca="1">AVERAGE(OFFSET($CC$3,0,0,'Données projet'!$E$12+1,1))-AVERAGE(OFFSET($H$3,0,0,'Données projet'!$E$12+1,1))</f>
        <v>580.02817743695846</v>
      </c>
      <c r="CE67" s="62">
        <f t="shared" si="40"/>
        <v>551.23515633208865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10.314743589743586</v>
      </c>
      <c r="CT67" s="13">
        <f>IF('Données projet'!$A$140&gt;35,CT66+CS67-DB66,IF(A67&lt;'Données projet'!$A$140,$CQ$205^A67,IF(A67='Données projet'!$A$140,'Données projet'!$B$140,CT66+CS67-DB66)))</f>
        <v>265.29807692307713</v>
      </c>
      <c r="CU67" s="18">
        <f>CT67*VLOOKUP('Données projet'!$B$13,Paramètres!$A$1:$I$89,3,0)*VLOOKUP('Données projet'!$B$13,Paramètres!$A$1:$I$89,5,0)</f>
        <v>124.15950000000009</v>
      </c>
      <c r="CV67" s="14">
        <f t="shared" si="41"/>
        <v>32.643202044796318</v>
      </c>
      <c r="CW67" s="22">
        <f t="shared" si="13"/>
        <v>273.09803939468708</v>
      </c>
      <c r="CX67" s="62">
        <f t="shared" si="14"/>
        <v>536.52239155424184</v>
      </c>
      <c r="CY67" s="62">
        <f ca="1">AVERAGE(OFFSET($CX$3,0,0,'Données projet'!$E$13+1,1))-AVERAGE(OFFSET($H$3,0,0,'Données projet'!$E$13+1,1))</f>
        <v>321.05795935196863</v>
      </c>
      <c r="CZ67" s="62">
        <f t="shared" si="42"/>
        <v>209.59551322748908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IF('Données projet'!$A$166&gt;35,DO66+DN67-DW66,IF(A67&lt;'Données projet'!$A$166,$DL$205^A67,IF(A67='Données projet'!$A$166,'Données projet'!$B$166,DO66+DN67-DW66)))</f>
        <v>308.2</v>
      </c>
      <c r="DP67" s="18">
        <f>DO67*VLOOKUP('Données projet'!$B$14,Paramètres!$A$1:$I$89,3,0)*VLOOKUP('Données projet'!$B$14,Paramètres!$A$1:$I$89,5,0)</f>
        <v>331.74647999999996</v>
      </c>
      <c r="DQ67" s="14">
        <f t="shared" si="43"/>
        <v>77.792285724165268</v>
      </c>
      <c r="DR67" s="22">
        <f t="shared" si="16"/>
        <v>713.28001696958779</v>
      </c>
      <c r="DS67" s="62">
        <f t="shared" si="17"/>
        <v>976.70436912914261</v>
      </c>
      <c r="DT67" s="62">
        <f ca="1">AVERAGE(OFFSET($DS$3,0,0,'Données projet'!$E$14+1,1))-AVERAGE(OFFSET($H$3,0,0,'Données projet'!$E$14+1,1))</f>
        <v>638.58602907610805</v>
      </c>
      <c r="DU67" s="62">
        <f t="shared" si="44"/>
        <v>341.9250949809848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5.6843418860808015E-14</v>
      </c>
      <c r="EK67" s="18">
        <f>EJ67*VLOOKUP('Données projet'!$B$15,Paramètres!$A$1:$I$89,3,0)*VLOOKUP('Données projet'!$B$15,Paramètres!$A$1:$I$89,5,0)</f>
        <v>3.3992364478763198E-14</v>
      </c>
      <c r="EL67" s="14">
        <f t="shared" si="45"/>
        <v>5.790027782444094E-13</v>
      </c>
      <c r="EM67" s="22">
        <f t="shared" si="19"/>
        <v>1.0676332069095257E-12</v>
      </c>
      <c r="EN67" s="62">
        <f t="shared" si="20"/>
        <v>263.42435215955584</v>
      </c>
      <c r="EO67" s="62">
        <f ca="1">AVERAGE(OFFSET($EN$3,0,0,'Données projet'!$E$15+1,1))-AVERAGE(OFFSET($H$3,0,0,'Données projet'!$E$15+1,1))</f>
        <v>223.57443551076992</v>
      </c>
      <c r="EP67" s="62">
        <f t="shared" si="46"/>
        <v>382.12751862619427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13.572892271056199</v>
      </c>
      <c r="EW67" s="23">
        <f>EXP(-LN(2)/25)*EW66+(1-EXP(-LN(2)/25))/(LN(2)/25)*Calculateur!ER67*Calculateur!ET67*VLOOKUP('Données projet'!$B$15,Paramètres!$A$1:$I$89,3,0)*0.475*44/12</f>
        <v>5.4074459063805573</v>
      </c>
      <c r="EX67" s="23">
        <f>EXP(-LN(2)/2)*EX66+(1-EXP(-LN(2)/2))/(LN(2)/2)*ER67*EU67*VLOOKUP('Données projet'!$B$15,Paramètres!$A$1:$I$89,3,0)*0.475*44/12</f>
        <v>7.7343730801827061E-5</v>
      </c>
      <c r="EY67" s="24">
        <f t="shared" si="21"/>
        <v>18.980415521167558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1.6750000000000014</v>
      </c>
      <c r="FE67" s="13">
        <f>IF('Données projet'!$A$218&gt;35,FE66+FD67-FM66,IF(A67&lt;'Données projet'!$A$218,$FB$205^A67,IF(A67='Données projet'!$A$218,'Données projet'!$B$218,FE66+FD67-FM66)))</f>
        <v>82.812499999999957</v>
      </c>
      <c r="FF67" s="18">
        <f>FE67*VLOOKUP('Données projet'!$B$16,Paramètres!$A$1:$I$89,3,0)*VLOOKUP('Données projet'!$B$16,Paramètres!$A$1:$I$89,5,0)</f>
        <v>95.399999999999949</v>
      </c>
      <c r="FG67" s="14">
        <f t="shared" si="47"/>
        <v>25.863125591712326</v>
      </c>
      <c r="FH67" s="22">
        <f t="shared" si="22"/>
        <v>211.1999437388989</v>
      </c>
      <c r="FI67" s="62">
        <f t="shared" si="23"/>
        <v>474.62429589845362</v>
      </c>
      <c r="FJ67" s="62">
        <f ca="1">AVERAGE(OFFSET($FI$3,0,0,'Données projet'!$E$16+1,1))-AVERAGE(OFFSET($H$3,0,0,'Données projet'!$E$16+1,1))</f>
        <v>283.95543623515323</v>
      </c>
      <c r="FK67" s="62">
        <f t="shared" si="48"/>
        <v>196.96883829830929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5.6843418860808015E-14</v>
      </c>
      <c r="GA67" s="18">
        <f>FZ67*VLOOKUP('Données projet'!$B$17,Paramètres!$A$1:$I$89,3,0)*VLOOKUP('Données projet'!$B$17,Paramètres!$A$1:$I$89,5,0)</f>
        <v>3.3992364478763198E-14</v>
      </c>
      <c r="GB67" s="14">
        <f t="shared" si="49"/>
        <v>5.790027782444094E-13</v>
      </c>
      <c r="GC67" s="22">
        <f t="shared" si="25"/>
        <v>1.0676332069095257E-12</v>
      </c>
      <c r="GD67" s="62">
        <f t="shared" si="26"/>
        <v>263.42435215955584</v>
      </c>
      <c r="GE67" s="62">
        <f ca="1">AVERAGE(OFFSET($GD$3,0,0,'Données projet'!$E$17+1,1))-AVERAGE(OFFSET($H$3,0,0,'Données projet'!$E$17+1,1))</f>
        <v>223.57443551076992</v>
      </c>
      <c r="GF67" s="62">
        <f t="shared" si="50"/>
        <v>382.12751862619427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13.572892271056199</v>
      </c>
      <c r="GM67" s="23">
        <f>EXP(-LN(2)/25)*GM66+(1-EXP(-LN(2)/25))/(LN(2)/25)*Calculateur!GH67*Calculateur!GJ67*VLOOKUP('Données projet'!$B$17,Paramètres!$A$1:$I$89,3,0)*0.475*44/12</f>
        <v>5.4074459063805573</v>
      </c>
      <c r="GN67" s="23">
        <f>EXP(-LN(2)/2)*GN66+(1-EXP(-LN(2)/2))/(LN(2)/2)*GH67*GK67*VLOOKUP('Données projet'!$B$17,Paramètres!$A$1:$I$89,3,0)*0.475*44/12</f>
        <v>7.7343730801827061E-5</v>
      </c>
      <c r="GO67" s="23">
        <f t="shared" si="27"/>
        <v>18.980415521167558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5.9057862592636559</v>
      </c>
      <c r="GU67" s="13">
        <f>IF('Données projet'!$A$270&gt;35,GU66+GT67-HC66,IF(A67&lt;'Données projet'!$A$270,$GR$205^A67,IF(A67='Données projet'!$A$270,'Données projet'!$B$270,GU66+GT67-HC66)))</f>
        <v>196.68931194364859</v>
      </c>
      <c r="GV67" s="18">
        <f>GU67*VLOOKUP('Données projet'!$B$18,Paramètres!$A$1:$I$89,3,0)*VLOOKUP('Données projet'!$B$18,Paramètres!$A$1:$I$89,5,0)</f>
        <v>214.78472864246427</v>
      </c>
      <c r="GW67" s="14">
        <f t="shared" si="51"/>
        <v>52.979794405231928</v>
      </c>
      <c r="GX67" s="22">
        <f t="shared" si="28"/>
        <v>466.35654430807091</v>
      </c>
      <c r="GY67" s="62">
        <f t="shared" si="29"/>
        <v>729.78089646762567</v>
      </c>
      <c r="GZ67" s="62">
        <f ca="1">AVERAGE(OFFSET($GY$3,0,0,'Données projet'!$E$18+1,1))-AVERAGE(OFFSET($H$3,0,0,'Données projet'!$E$18+1,1))</f>
        <v>754.33260592777049</v>
      </c>
      <c r="HA67" s="62">
        <f t="shared" si="52"/>
        <v>250.97643915279005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9">
        <f t="shared" ref="H68:H131" si="56">(B68+E68+F68)*44/12+(C68+D68)*0.475*44/12</f>
        <v>183.33333333333334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882.63229200336741</v>
      </c>
      <c r="S68" s="62">
        <f ca="1">AVERAGE(OFFSET($R$3,0,0,'Données projet'!$E$9+1,1))-AVERAGE(OFFSET($H$3,0,0,'Données projet'!$E$9+1,1))</f>
        <v>550.39292625253665</v>
      </c>
      <c r="T68" s="62">
        <f t="shared" si="34"/>
        <v>297.32483725004136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317</v>
      </c>
      <c r="AJ68" s="14">
        <f>AI68*VLOOKUP('Données projet'!$B$10,Paramètres!$A$1:$I$89,3,0)*VLOOKUP('Données projet'!$B$10,Paramètres!$A$1:$I$89,5,0)</f>
        <v>321.43800000000005</v>
      </c>
      <c r="AK68" s="14">
        <f t="shared" si="35"/>
        <v>75.652479406660248</v>
      </c>
      <c r="AL68" s="22">
        <f t="shared" ref="AL68:AL131" si="58">(AJ68+AK68)*0.475*44/12</f>
        <v>691.59925163326659</v>
      </c>
      <c r="AM68" s="62">
        <f t="shared" ref="AM68:AM131" si="59">AL68+(AD68+AE68)*44/12</f>
        <v>955.54245774972173</v>
      </c>
      <c r="AN68" s="62">
        <f ca="1">AVERAGE(OFFSET($AM$3,0,0,'Données projet'!$E$10+1,1))-AVERAGE(OFFSET($H$3,0,0,'Données projet'!$E$10+1,1))</f>
        <v>606.55142836375308</v>
      </c>
      <c r="AO68" s="62">
        <f t="shared" si="36"/>
        <v>325.72635759450861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306.41025641025641</v>
      </c>
      <c r="BB68" s="13">
        <f>VLOOKUP(A68,'Données projet'!$A$87:$I$107,9,0)</f>
        <v>6.0256410256410273</v>
      </c>
      <c r="BC68" s="13">
        <f t="array" ref="BC68">INDEX(BB:BB,MIN(IF(ISNUMBER(BB68:BB264),ROW(BB68:BB264),"")))</f>
        <v>6.0256410256410273</v>
      </c>
      <c r="BD68" s="13">
        <f>IF('Données projet'!$A$88&gt;35,BD67+BC68-BL67,IF(A68&lt;'Données projet'!$A$88,$BA$205^A68,IF(A68='Données projet'!$A$88,'Données projet'!$B$88,BD67+BC68-BL67)))</f>
        <v>306.41025641025658</v>
      </c>
      <c r="BE68" s="14">
        <f>BD68*VLOOKUP('Données projet'!$B$11,Paramètres!$A$1:$I$89,3,0)*VLOOKUP('Données projet'!$B$11,Paramètres!$A$1:$I$89,5,0)</f>
        <v>320.26000000000016</v>
      </c>
      <c r="BF68" s="14">
        <f t="shared" si="37"/>
        <v>75.407449161868854</v>
      </c>
      <c r="BG68" s="22">
        <f t="shared" ref="BG68:BG131" si="61">(BE68+BF68)*0.475*44/12</f>
        <v>689.12080729025513</v>
      </c>
      <c r="BH68" s="62">
        <f t="shared" ref="BH68:BH131" si="62">BG68+(AY68+AZ68)*44/12</f>
        <v>953.06401340671027</v>
      </c>
      <c r="BI68" s="62">
        <f ca="1">AVERAGE(OFFSET($BH$3,0,0,'Données projet'!$E$11+1,1))-AVERAGE(OFFSET($H$3,0,0,'Données projet'!$E$11+1,1))</f>
        <v>635.13577238794812</v>
      </c>
      <c r="BJ68" s="62">
        <f t="shared" si="38"/>
        <v>374.35810525172019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29.487179487179485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939</v>
      </c>
      <c r="BW68" s="13">
        <f>VLOOKUP(A68,'Données projet'!$A$113:$I$133,9,0)</f>
        <v>18.8</v>
      </c>
      <c r="BX68" s="13">
        <f t="array" ref="BX68">INDEX(BW:BW,MIN(IF(ISNUMBER(BW68:BW264),ROW(BW68:BW264),"")))</f>
        <v>18.8</v>
      </c>
      <c r="BY68" s="13">
        <f>IF('Données projet'!$A$114&gt;35,BY67+BX68-CG67,IF(A68&lt;'Données projet'!$A$114,$BV$205^A68,IF(A68='Données projet'!$A$114,'Données projet'!$B$114,BY67+BX68-CG67)))</f>
        <v>938.99999999999977</v>
      </c>
      <c r="BZ68" s="14">
        <f>BY68*VLOOKUP('Données projet'!$B$12,Paramètres!$A$1:$I$89,3,0)*VLOOKUP('Données projet'!$B$12,Paramètres!$A$1:$I$89,5,0)</f>
        <v>415.03799999999995</v>
      </c>
      <c r="CA68" s="14">
        <f t="shared" si="39"/>
        <v>94.818809755685706</v>
      </c>
      <c r="CB68" s="22">
        <f t="shared" ref="CB68:CB131" si="64">(BZ68+CA68)*0.475*44/12</f>
        <v>888.00061032448593</v>
      </c>
      <c r="CC68" s="62">
        <f t="shared" ref="CC68:CC131" si="65">CB68+(BT68+BU68)*44/12</f>
        <v>1151.9438164409412</v>
      </c>
      <c r="CD68" s="62">
        <f ca="1">AVERAGE(OFFSET($CC$3,0,0,'Données projet'!$E$12+1,1))-AVERAGE(OFFSET($H$3,0,0,'Données projet'!$E$12+1,1))</f>
        <v>580.02817743695846</v>
      </c>
      <c r="CE68" s="62">
        <f t="shared" si="40"/>
        <v>551.23515633208865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10.314743589743586</v>
      </c>
      <c r="CT68" s="13">
        <f>IF('Données projet'!$A$140&gt;35,CT67+CS68-DB67,IF(A68&lt;'Données projet'!$A$140,$CQ$205^A68,IF(A68='Données projet'!$A$140,'Données projet'!$B$140,CT67+CS68-DB67)))</f>
        <v>275.61282051282069</v>
      </c>
      <c r="CU68" s="18">
        <f>CT68*VLOOKUP('Données projet'!$B$13,Paramètres!$A$1:$I$89,3,0)*VLOOKUP('Données projet'!$B$13,Paramètres!$A$1:$I$89,5,0)</f>
        <v>128.98680000000007</v>
      </c>
      <c r="CV68" s="14">
        <f t="shared" si="41"/>
        <v>33.762132053733033</v>
      </c>
      <c r="CW68" s="22">
        <f t="shared" ref="CW68:CW131" si="67">(CU68+CV68)*0.475*44/12</f>
        <v>283.45438999358515</v>
      </c>
      <c r="CX68" s="62">
        <f t="shared" ref="CX68:CX131" si="68">CW68+(CO68+CP68)*44/12</f>
        <v>547.39759611004035</v>
      </c>
      <c r="CY68" s="62">
        <f ca="1">AVERAGE(OFFSET($CX$3,0,0,'Données projet'!$E$13+1,1))-AVERAGE(OFFSET($H$3,0,0,'Données projet'!$E$13+1,1))</f>
        <v>321.05795935196863</v>
      </c>
      <c r="CZ68" s="62">
        <f t="shared" si="42"/>
        <v>209.59551322748908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317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IF('Données projet'!$A$166&gt;35,DO67+DN68-DW67,IF(A68&lt;'Données projet'!$A$166,$DL$205^A68,IF(A68='Données projet'!$A$166,'Données projet'!$B$166,DO67+DN68-DW67)))</f>
        <v>317</v>
      </c>
      <c r="DP68" s="18">
        <f>DO68*VLOOKUP('Données projet'!$B$14,Paramètres!$A$1:$I$89,3,0)*VLOOKUP('Données projet'!$B$14,Paramètres!$A$1:$I$89,5,0)</f>
        <v>341.21879999999999</v>
      </c>
      <c r="DQ68" s="14">
        <f t="shared" si="43"/>
        <v>79.751705752925901</v>
      </c>
      <c r="DR68" s="22">
        <f t="shared" ref="DR68:DR131" si="70">(DP68+DQ68)*0.475*44/12</f>
        <v>733.19029751967912</v>
      </c>
      <c r="DS68" s="62">
        <f t="shared" ref="DS68:DS131" si="71">DR68+(DJ68+DK68)*44/12</f>
        <v>997.13350363613426</v>
      </c>
      <c r="DT68" s="62">
        <f ca="1">AVERAGE(OFFSET($DS$3,0,0,'Données projet'!$E$14+1,1))-AVERAGE(OFFSET($H$3,0,0,'Données projet'!$E$14+1,1))</f>
        <v>638.58602907610805</v>
      </c>
      <c r="DU68" s="62">
        <f t="shared" si="44"/>
        <v>341.9250949809848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56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5.6843418860808015E-14</v>
      </c>
      <c r="EK68" s="18">
        <f>EJ68*VLOOKUP('Données projet'!$B$15,Paramètres!$A$1:$I$89,3,0)*VLOOKUP('Données projet'!$B$15,Paramètres!$A$1:$I$89,5,0)</f>
        <v>3.3992364478763198E-14</v>
      </c>
      <c r="EL68" s="14">
        <f t="shared" si="45"/>
        <v>5.790027782444094E-13</v>
      </c>
      <c r="EM68" s="22">
        <f t="shared" ref="EM68:EM131" si="73">(EK68+EL68)*0.475*44/12</f>
        <v>1.0676332069095257E-12</v>
      </c>
      <c r="EN68" s="62">
        <f t="shared" ref="EN68:EN131" si="74">EM68+(EE68+EF68)*44/12</f>
        <v>263.94320611645628</v>
      </c>
      <c r="EO68" s="62">
        <f ca="1">AVERAGE(OFFSET($EN$3,0,0,'Données projet'!$E$15+1,1))-AVERAGE(OFFSET($H$3,0,0,'Données projet'!$E$15+1,1))</f>
        <v>223.57443551076992</v>
      </c>
      <c r="EP68" s="62">
        <f t="shared" si="46"/>
        <v>382.12751862619427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13.306736132267623</v>
      </c>
      <c r="EW68" s="23">
        <f>EXP(-LN(2)/25)*EW67+(1-EXP(-LN(2)/25))/(LN(2)/25)*Calculateur!ER68*Calculateur!ET68*VLOOKUP('Données projet'!$B$15,Paramètres!$A$1:$I$89,3,0)*0.475*44/12</f>
        <v>5.25957901370536</v>
      </c>
      <c r="EX68" s="23">
        <f>EXP(-LN(2)/2)*EX67+(1-EXP(-LN(2)/2))/(LN(2)/2)*ER68*EU68*VLOOKUP('Données projet'!$B$15,Paramètres!$A$1:$I$89,3,0)*0.475*44/12</f>
        <v>5.4690276532238765E-5</v>
      </c>
      <c r="EY68" s="24">
        <f t="shared" ref="EY68:EY131" si="75">SUM(EV68:EX68)</f>
        <v>18.566369836249514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1.6750000000000014</v>
      </c>
      <c r="FE68" s="13">
        <f>IF('Données projet'!$A$218&gt;35,FE67+FD68-FM67,IF(A68&lt;'Données projet'!$A$218,$FB$205^A68,IF(A68='Données projet'!$A$218,'Données projet'!$B$218,FE67+FD68-FM67)))</f>
        <v>84.487499999999955</v>
      </c>
      <c r="FF68" s="18">
        <f>FE68*VLOOKUP('Données projet'!$B$16,Paramètres!$A$1:$I$89,3,0)*VLOOKUP('Données projet'!$B$16,Paramètres!$A$1:$I$89,5,0)</f>
        <v>97.329599999999928</v>
      </c>
      <c r="FG68" s="14">
        <f t="shared" si="47"/>
        <v>26.324812862564265</v>
      </c>
      <c r="FH68" s="22">
        <f t="shared" ref="FH68:FH131" si="76">(FF68+FG68)*0.475*44/12</f>
        <v>215.36476906896596</v>
      </c>
      <c r="FI68" s="62">
        <f t="shared" ref="FI68:FI131" si="77">FH68+(EZ68+FA68)*44/12</f>
        <v>479.30797518542113</v>
      </c>
      <c r="FJ68" s="62">
        <f ca="1">AVERAGE(OFFSET($FI$3,0,0,'Données projet'!$E$16+1,1))-AVERAGE(OFFSET($H$3,0,0,'Données projet'!$E$16+1,1))</f>
        <v>283.95543623515323</v>
      </c>
      <c r="FK68" s="62">
        <f t="shared" si="48"/>
        <v>196.96883829830929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5.6843418860808015E-14</v>
      </c>
      <c r="GA68" s="18">
        <f>FZ68*VLOOKUP('Données projet'!$B$17,Paramètres!$A$1:$I$89,3,0)*VLOOKUP('Données projet'!$B$17,Paramètres!$A$1:$I$89,5,0)</f>
        <v>3.3992364478763198E-14</v>
      </c>
      <c r="GB68" s="14">
        <f t="shared" si="49"/>
        <v>5.790027782444094E-13</v>
      </c>
      <c r="GC68" s="22">
        <f t="shared" ref="GC68:GC131" si="79">(GA68+GB68)*0.475*44/12</f>
        <v>1.0676332069095257E-12</v>
      </c>
      <c r="GD68" s="62">
        <f t="shared" ref="GD68:GD131" si="80">GC68+(FU68+FV68)*44/12</f>
        <v>263.94320611645628</v>
      </c>
      <c r="GE68" s="62">
        <f ca="1">AVERAGE(OFFSET($GD$3,0,0,'Données projet'!$E$17+1,1))-AVERAGE(OFFSET($H$3,0,0,'Données projet'!$E$17+1,1))</f>
        <v>223.57443551076992</v>
      </c>
      <c r="GF68" s="62">
        <f t="shared" si="50"/>
        <v>382.12751862619427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13.306736132267623</v>
      </c>
      <c r="GM68" s="23">
        <f>EXP(-LN(2)/25)*GM67+(1-EXP(-LN(2)/25))/(LN(2)/25)*Calculateur!GH68*Calculateur!GJ68*VLOOKUP('Données projet'!$B$17,Paramètres!$A$1:$I$89,3,0)*0.475*44/12</f>
        <v>5.25957901370536</v>
      </c>
      <c r="GN68" s="23">
        <f>EXP(-LN(2)/2)*GN67+(1-EXP(-LN(2)/2))/(LN(2)/2)*GH68*GK68*VLOOKUP('Données projet'!$B$17,Paramètres!$A$1:$I$89,3,0)*0.475*44/12</f>
        <v>5.4690276532238765E-5</v>
      </c>
      <c r="GO68" s="23">
        <f t="shared" ref="GO68:GO131" si="81">SUM(GL68:GN68)</f>
        <v>18.566369836249514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5.9057862592636559</v>
      </c>
      <c r="GU68" s="13">
        <f>IF('Données projet'!$A$270&gt;35,GU67+GT68-HC67,IF(A68&lt;'Données projet'!$A$270,$GR$205^A68,IF(A68='Données projet'!$A$270,'Données projet'!$B$270,GU67+GT68-HC67)))</f>
        <v>202.59509820291225</v>
      </c>
      <c r="GV68" s="18">
        <f>GU68*VLOOKUP('Données projet'!$B$18,Paramètres!$A$1:$I$89,3,0)*VLOOKUP('Données projet'!$B$18,Paramètres!$A$1:$I$89,5,0)</f>
        <v>221.23384723758016</v>
      </c>
      <c r="GW68" s="14">
        <f t="shared" si="51"/>
        <v>54.382968970420869</v>
      </c>
      <c r="GX68" s="22">
        <f t="shared" ref="GX68:GX131" si="82">(GV68+GW68)*0.475*44/12</f>
        <v>480.0326215622685</v>
      </c>
      <c r="GY68" s="62">
        <f t="shared" ref="GY68:GY131" si="83">GX68+(GP68+GQ68)*44/12</f>
        <v>743.9758276787237</v>
      </c>
      <c r="GZ68" s="62">
        <f ca="1">AVERAGE(OFFSET($GY$3,0,0,'Données projet'!$E$18+1,1))-AVERAGE(OFFSET($H$3,0,0,'Données projet'!$E$18+1,1))</f>
        <v>754.33260592777049</v>
      </c>
      <c r="HA68" s="62">
        <f t="shared" si="52"/>
        <v>250.97643915279005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9">
        <f t="shared" si="56"/>
        <v>183.33333333333334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791.79418880959736</v>
      </c>
      <c r="S69" s="62">
        <f ca="1">AVERAGE(OFFSET($R$3,0,0,'Données projet'!$E$9+1,1))-AVERAGE(OFFSET($H$3,0,0,'Données projet'!$E$9+1,1))</f>
        <v>550.39292625253665</v>
      </c>
      <c r="T69" s="62">
        <f t="shared" ref="T69:T132" si="88">$T$3</f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272.96879999999999</v>
      </c>
      <c r="AK69" s="14">
        <f t="shared" ref="AK69:AK132" si="89">EXP(-1.0587+0.8836*LN(AJ69)+0.284)</f>
        <v>65.478922017818945</v>
      </c>
      <c r="AL69" s="22">
        <f t="shared" si="58"/>
        <v>589.46311584770126</v>
      </c>
      <c r="AM69" s="62">
        <f t="shared" si="59"/>
        <v>853.91617496488834</v>
      </c>
      <c r="AN69" s="62">
        <f ca="1">AVERAGE(OFFSET($AM$3,0,0,'Données projet'!$E$10+1,1))-AVERAGE(OFFSET($H$3,0,0,'Données projet'!$E$10+1,1))</f>
        <v>606.55142836375308</v>
      </c>
      <c r="AO69" s="62">
        <f t="shared" ref="AO69:AO132" si="90">$AO$3</f>
        <v>325.72635759450861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5.6410256410256467</v>
      </c>
      <c r="BD69" s="13">
        <f>IF('Données projet'!$A$88&gt;35,BD68+BC69-BL68,IF(A69&lt;'Données projet'!$A$88,$BA$205^A69,IF(A69='Données projet'!$A$88,'Données projet'!$B$88,BD68+BC69-BL68)))</f>
        <v>282.56410256410271</v>
      </c>
      <c r="BE69" s="14">
        <f>BD69*VLOOKUP('Données projet'!$B$11,Paramètres!$A$1:$I$89,3,0)*VLOOKUP('Données projet'!$B$11,Paramètres!$A$1:$I$89,5,0)</f>
        <v>295.33600000000018</v>
      </c>
      <c r="BF69" s="14">
        <f t="shared" ref="BF69:BF132" si="91">EXP(-1.0587+0.8836*LN(BE69)+0.284)</f>
        <v>70.197820081607631</v>
      </c>
      <c r="BG69" s="22">
        <f t="shared" si="61"/>
        <v>636.63806997546692</v>
      </c>
      <c r="BH69" s="62">
        <f t="shared" si="62"/>
        <v>901.091129092654</v>
      </c>
      <c r="BI69" s="62">
        <f ca="1">AVERAGE(OFFSET($BH$3,0,0,'Données projet'!$E$11+1,1))-AVERAGE(OFFSET($H$3,0,0,'Données projet'!$E$11+1,1))</f>
        <v>635.13577238794812</v>
      </c>
      <c r="BJ69" s="62">
        <f t="shared" ref="BJ69:BJ132" si="92">$BJ$3</f>
        <v>374.35810525172019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15.8</v>
      </c>
      <c r="BY69" s="13">
        <f>IF('Données projet'!$A$114&gt;35,BY68+BX69-CG68,IF(A69&lt;'Données projet'!$A$114,$BV$205^A69,IF(A69='Données projet'!$A$114,'Données projet'!$B$114,BY68+BX69-CG68)))</f>
        <v>954.79999999999973</v>
      </c>
      <c r="BZ69" s="14">
        <f>BY69*VLOOKUP('Données projet'!$B$12,Paramètres!$A$1:$I$89,3,0)*VLOOKUP('Données projet'!$B$12,Paramètres!$A$1:$I$89,5,0)</f>
        <v>422.02159999999992</v>
      </c>
      <c r="CA69" s="14">
        <f t="shared" ref="CA69:CA132" si="93">EXP(-1.0587+0.8836*LN(BZ69)+0.284)</f>
        <v>96.22718645645088</v>
      </c>
      <c r="CB69" s="22">
        <f t="shared" si="64"/>
        <v>902.61663641165171</v>
      </c>
      <c r="CC69" s="62">
        <f t="shared" si="65"/>
        <v>1167.0696955288388</v>
      </c>
      <c r="CD69" s="62">
        <f ca="1">AVERAGE(OFFSET($CC$3,0,0,'Données projet'!$E$12+1,1))-AVERAGE(OFFSET($H$3,0,0,'Données projet'!$E$12+1,1))</f>
        <v>580.02817743695846</v>
      </c>
      <c r="CE69" s="62">
        <f t="shared" ref="CE69:CE132" si="94">$CE$3</f>
        <v>551.23515633208865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10.314743589743586</v>
      </c>
      <c r="CT69" s="13">
        <f>IF('Données projet'!$A$140&gt;35,CT68+CS69-DB68,IF(A69&lt;'Données projet'!$A$140,$CQ$205^A69,IF(A69='Données projet'!$A$140,'Données projet'!$B$140,CT68+CS69-DB68)))</f>
        <v>285.92756410256425</v>
      </c>
      <c r="CU69" s="18">
        <f>CT69*VLOOKUP('Données projet'!$B$13,Paramètres!$A$1:$I$89,3,0)*VLOOKUP('Données projet'!$B$13,Paramètres!$A$1:$I$89,5,0)</f>
        <v>133.81410000000005</v>
      </c>
      <c r="CV69" s="14">
        <f t="shared" ref="CV69:CV132" si="95">EXP(-1.0587+0.8836*LN(CU69)+0.284)</f>
        <v>34.876197134679366</v>
      </c>
      <c r="CW69" s="22">
        <f t="shared" si="67"/>
        <v>293.8022675095666</v>
      </c>
      <c r="CX69" s="62">
        <f t="shared" si="68"/>
        <v>558.25532662675369</v>
      </c>
      <c r="CY69" s="62">
        <f ca="1">AVERAGE(OFFSET($CX$3,0,0,'Données projet'!$E$13+1,1))-AVERAGE(OFFSET($H$3,0,0,'Données projet'!$E$13+1,1))</f>
        <v>321.05795935196863</v>
      </c>
      <c r="CZ69" s="62">
        <f t="shared" ref="CZ69:CZ132" si="96">$CZ$3</f>
        <v>209.59551322748908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IF('Données projet'!$A$166&gt;35,DO68+DN69-DW68,IF(A69&lt;'Données projet'!$A$166,$DL$205^A69,IF(A69='Données projet'!$A$166,'Données projet'!$B$166,DO68+DN69-DW68)))</f>
        <v>269.2</v>
      </c>
      <c r="DP69" s="18">
        <f>DO69*VLOOKUP('Données projet'!$B$14,Paramètres!$A$1:$I$89,3,0)*VLOOKUP('Données projet'!$B$14,Paramètres!$A$1:$I$89,5,0)</f>
        <v>289.76688000000001</v>
      </c>
      <c r="DQ69" s="14">
        <f t="shared" ref="DQ69:DQ132" si="97">EXP(-1.0587+0.8836*LN(DP69)+0.284)</f>
        <v>69.026894594073823</v>
      </c>
      <c r="DR69" s="22">
        <f t="shared" si="70"/>
        <v>624.8991574180119</v>
      </c>
      <c r="DS69" s="62">
        <f t="shared" si="71"/>
        <v>889.35221653519898</v>
      </c>
      <c r="DT69" s="62">
        <f ca="1">AVERAGE(OFFSET($DS$3,0,0,'Données projet'!$E$14+1,1))-AVERAGE(OFFSET($H$3,0,0,'Données projet'!$E$14+1,1))</f>
        <v>638.58602907610805</v>
      </c>
      <c r="DU69" s="62">
        <f t="shared" ref="DU69:DU132" si="98">$DU$3</f>
        <v>341.9250949809848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5.6843418860808015E-14</v>
      </c>
      <c r="EK69" s="18">
        <f>EJ69*VLOOKUP('Données projet'!$B$15,Paramètres!$A$1:$I$89,3,0)*VLOOKUP('Données projet'!$B$15,Paramètres!$A$1:$I$89,5,0)</f>
        <v>3.3992364478763198E-14</v>
      </c>
      <c r="EL69" s="14">
        <f t="shared" ref="EL69:EL132" si="99">EXP(-1.0587+0.8836*LN(EK69)+0.284)</f>
        <v>5.790027782444094E-13</v>
      </c>
      <c r="EM69" s="22">
        <f t="shared" si="73"/>
        <v>1.0676332069095257E-12</v>
      </c>
      <c r="EN69" s="62">
        <f t="shared" si="74"/>
        <v>264.45305911718816</v>
      </c>
      <c r="EO69" s="62">
        <f ca="1">AVERAGE(OFFSET($EN$3,0,0,'Données projet'!$E$15+1,1))-AVERAGE(OFFSET($H$3,0,0,'Données projet'!$E$15+1,1))</f>
        <v>223.57443551076992</v>
      </c>
      <c r="EP69" s="62">
        <f t="shared" ref="EP69:EP132" si="100">$EP$3</f>
        <v>382.12751862619427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13.045799153021477</v>
      </c>
      <c r="EW69" s="23">
        <f>EXP(-LN(2)/25)*EW68+(1-EXP(-LN(2)/25))/(LN(2)/25)*Calculateur!ER69*Calculateur!ET69*VLOOKUP('Données projet'!$B$15,Paramètres!$A$1:$I$89,3,0)*0.475*44/12</f>
        <v>5.1157555489863471</v>
      </c>
      <c r="EX69" s="23">
        <f>EXP(-LN(2)/2)*EX68+(1-EXP(-LN(2)/2))/(LN(2)/2)*ER69*EU69*VLOOKUP('Données projet'!$B$15,Paramètres!$A$1:$I$89,3,0)*0.475*44/12</f>
        <v>3.8671865400913531E-5</v>
      </c>
      <c r="EY69" s="24">
        <f t="shared" si="75"/>
        <v>18.161593373873224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1.6750000000000014</v>
      </c>
      <c r="FE69" s="13">
        <f>IF('Données projet'!$A$218&gt;35,FE68+FD69-FM68,IF(A69&lt;'Données projet'!$A$218,$FB$205^A69,IF(A69='Données projet'!$A$218,'Données projet'!$B$218,FE68+FD69-FM68)))</f>
        <v>86.162499999999952</v>
      </c>
      <c r="FF69" s="18">
        <f>FE69*VLOOKUP('Données projet'!$B$16,Paramètres!$A$1:$I$89,3,0)*VLOOKUP('Données projet'!$B$16,Paramètres!$A$1:$I$89,5,0)</f>
        <v>99.259199999999936</v>
      </c>
      <c r="FG69" s="14">
        <f t="shared" ref="FG69:FG132" si="101">EXP(-1.0587+0.8836*LN(FF69)+0.284)</f>
        <v>26.785435862245482</v>
      </c>
      <c r="FH69" s="22">
        <f t="shared" si="76"/>
        <v>219.52774079341077</v>
      </c>
      <c r="FI69" s="62">
        <f t="shared" si="77"/>
        <v>483.98079991059785</v>
      </c>
      <c r="FJ69" s="62">
        <f ca="1">AVERAGE(OFFSET($FI$3,0,0,'Données projet'!$E$16+1,1))-AVERAGE(OFFSET($H$3,0,0,'Données projet'!$E$16+1,1))</f>
        <v>283.95543623515323</v>
      </c>
      <c r="FK69" s="62">
        <f t="shared" ref="FK69:FK132" si="102">$FK$3</f>
        <v>196.96883829830929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5.6843418860808015E-14</v>
      </c>
      <c r="GA69" s="18">
        <f>FZ69*VLOOKUP('Données projet'!$B$17,Paramètres!$A$1:$I$89,3,0)*VLOOKUP('Données projet'!$B$17,Paramètres!$A$1:$I$89,5,0)</f>
        <v>3.3992364478763198E-14</v>
      </c>
      <c r="GB69" s="14">
        <f t="shared" ref="GB69:GB132" si="103">EXP(-1.0587+0.8836*LN(GA69)+0.284)</f>
        <v>5.790027782444094E-13</v>
      </c>
      <c r="GC69" s="22">
        <f t="shared" si="79"/>
        <v>1.0676332069095257E-12</v>
      </c>
      <c r="GD69" s="62">
        <f t="shared" si="80"/>
        <v>264.45305911718816</v>
      </c>
      <c r="GE69" s="62">
        <f ca="1">AVERAGE(OFFSET($GD$3,0,0,'Données projet'!$E$17+1,1))-AVERAGE(OFFSET($H$3,0,0,'Données projet'!$E$17+1,1))</f>
        <v>223.57443551076992</v>
      </c>
      <c r="GF69" s="62">
        <f t="shared" ref="GF69:GF132" si="104">$GF$3</f>
        <v>382.12751862619427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13.045799153021477</v>
      </c>
      <c r="GM69" s="23">
        <f>EXP(-LN(2)/25)*GM68+(1-EXP(-LN(2)/25))/(LN(2)/25)*Calculateur!GH69*Calculateur!GJ69*VLOOKUP('Données projet'!$B$17,Paramètres!$A$1:$I$89,3,0)*0.475*44/12</f>
        <v>5.1157555489863471</v>
      </c>
      <c r="GN69" s="23">
        <f>EXP(-LN(2)/2)*GN68+(1-EXP(-LN(2)/2))/(LN(2)/2)*GH69*GK69*VLOOKUP('Données projet'!$B$17,Paramètres!$A$1:$I$89,3,0)*0.475*44/12</f>
        <v>3.8671865400913531E-5</v>
      </c>
      <c r="GO69" s="23">
        <f t="shared" si="81"/>
        <v>18.161593373873224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5.9057862592636559</v>
      </c>
      <c r="GU69" s="13">
        <f>IF('Données projet'!$A$270&gt;35,GU68+GT69-HC68,IF(A69&lt;'Données projet'!$A$270,$GR$205^A69,IF(A69='Données projet'!$A$270,'Données projet'!$B$270,GU68+GT69-HC68)))</f>
        <v>208.50088446217592</v>
      </c>
      <c r="GV69" s="18">
        <f>GU69*VLOOKUP('Données projet'!$B$18,Paramètres!$A$1:$I$89,3,0)*VLOOKUP('Données projet'!$B$18,Paramètres!$A$1:$I$89,5,0)</f>
        <v>227.68296583269608</v>
      </c>
      <c r="GW69" s="14">
        <f t="shared" ref="GW69:GW132" si="105">EXP(-1.0587+0.8836*LN(GV69)+0.284)</f>
        <v>55.781389725075996</v>
      </c>
      <c r="GX69" s="22">
        <f t="shared" si="82"/>
        <v>493.70041926311961</v>
      </c>
      <c r="GY69" s="62">
        <f t="shared" si="83"/>
        <v>758.15347838030675</v>
      </c>
      <c r="GZ69" s="62">
        <f ca="1">AVERAGE(OFFSET($GY$3,0,0,'Données projet'!$E$18+1,1))-AVERAGE(OFFSET($H$3,0,0,'Données projet'!$E$18+1,1))</f>
        <v>754.33260592777049</v>
      </c>
      <c r="HA69" s="62">
        <f t="shared" ref="HA69:HA132" si="106">$HA$3</f>
        <v>250.97643915279005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9">
        <f t="shared" si="56"/>
        <v>183.33333333333334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807.98784880122344</v>
      </c>
      <c r="S70" s="62">
        <f ca="1">AVERAGE(OFFSET($R$3,0,0,'Données projet'!$E$9+1,1))-AVERAGE(OFFSET($H$3,0,0,'Données projet'!$E$9+1,1))</f>
        <v>550.39292625253665</v>
      </c>
      <c r="T70" s="62">
        <f t="shared" si="88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281.28360000000004</v>
      </c>
      <c r="AK70" s="14">
        <f t="shared" si="89"/>
        <v>67.238198209347928</v>
      </c>
      <c r="AL70" s="22">
        <f t="shared" si="58"/>
        <v>607.00879854794766</v>
      </c>
      <c r="AM70" s="62">
        <f t="shared" si="59"/>
        <v>871.96286585616463</v>
      </c>
      <c r="AN70" s="62">
        <f ca="1">AVERAGE(OFFSET($AM$3,0,0,'Données projet'!$E$10+1,1))-AVERAGE(OFFSET($H$3,0,0,'Données projet'!$E$10+1,1))</f>
        <v>606.55142836375308</v>
      </c>
      <c r="AO70" s="62">
        <f t="shared" si="90"/>
        <v>325.72635759450861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5.6410256410256467</v>
      </c>
      <c r="BD70" s="13">
        <f>IF('Données projet'!$A$88&gt;35,BD69+BC70-BL69,IF(A70&lt;'Données projet'!$A$88,$BA$205^A70,IF(A70='Données projet'!$A$88,'Données projet'!$B$88,BD69+BC70-BL69)))</f>
        <v>288.20512820512835</v>
      </c>
      <c r="BE70" s="14">
        <f>BD70*VLOOKUP('Données projet'!$B$11,Paramètres!$A$1:$I$89,3,0)*VLOOKUP('Données projet'!$B$11,Paramètres!$A$1:$I$89,5,0)</f>
        <v>301.2320000000002</v>
      </c>
      <c r="BF70" s="14">
        <f t="shared" si="91"/>
        <v>71.434676361786046</v>
      </c>
      <c r="BG70" s="22">
        <f t="shared" si="61"/>
        <v>649.0611279967776</v>
      </c>
      <c r="BH70" s="62">
        <f t="shared" si="62"/>
        <v>914.01519530499445</v>
      </c>
      <c r="BI70" s="62">
        <f ca="1">AVERAGE(OFFSET($BH$3,0,0,'Données projet'!$E$11+1,1))-AVERAGE(OFFSET($H$3,0,0,'Données projet'!$E$11+1,1))</f>
        <v>635.13577238794812</v>
      </c>
      <c r="BJ70" s="62">
        <f t="shared" si="92"/>
        <v>374.35810525172019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15.8</v>
      </c>
      <c r="BY70" s="13">
        <f>IF('Données projet'!$A$114&gt;35,BY69+BX70-CG69,IF(A70&lt;'Données projet'!$A$114,$BV$205^A70,IF(A70='Données projet'!$A$114,'Données projet'!$B$114,BY69+BX70-CG69)))</f>
        <v>970.59999999999968</v>
      </c>
      <c r="BZ70" s="14">
        <f>BY70*VLOOKUP('Données projet'!$B$12,Paramètres!$A$1:$I$89,3,0)*VLOOKUP('Données projet'!$B$12,Paramètres!$A$1:$I$89,5,0)</f>
        <v>429.00519999999989</v>
      </c>
      <c r="CA70" s="14">
        <f t="shared" si="93"/>
        <v>97.632852845474432</v>
      </c>
      <c r="CB70" s="22">
        <f t="shared" si="64"/>
        <v>917.22794203920114</v>
      </c>
      <c r="CC70" s="62">
        <f t="shared" si="65"/>
        <v>1182.182009347418</v>
      </c>
      <c r="CD70" s="62">
        <f ca="1">AVERAGE(OFFSET($CC$3,0,0,'Données projet'!$E$12+1,1))-AVERAGE(OFFSET($H$3,0,0,'Données projet'!$E$12+1,1))</f>
        <v>580.02817743695846</v>
      </c>
      <c r="CE70" s="62">
        <f t="shared" si="94"/>
        <v>551.23515633208865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10.314743589743586</v>
      </c>
      <c r="CT70" s="13">
        <f>IF('Données projet'!$A$140&gt;35,CT69+CS70-DB69,IF(A70&lt;'Données projet'!$A$140,$CQ$205^A70,IF(A70='Données projet'!$A$140,'Données projet'!$B$140,CT69+CS70-DB69)))</f>
        <v>296.2423076923078</v>
      </c>
      <c r="CU70" s="18">
        <f>CT70*VLOOKUP('Données projet'!$B$13,Paramètres!$A$1:$I$89,3,0)*VLOOKUP('Données projet'!$B$13,Paramètres!$A$1:$I$89,5,0)</f>
        <v>138.64140000000006</v>
      </c>
      <c r="CV70" s="14">
        <f t="shared" si="95"/>
        <v>35.985592892108897</v>
      </c>
      <c r="CW70" s="22">
        <f t="shared" si="67"/>
        <v>304.14201262042309</v>
      </c>
      <c r="CX70" s="62">
        <f t="shared" si="68"/>
        <v>569.09607992863994</v>
      </c>
      <c r="CY70" s="62">
        <f ca="1">AVERAGE(OFFSET($CX$3,0,0,'Données projet'!$E$13+1,1))-AVERAGE(OFFSET($H$3,0,0,'Données projet'!$E$13+1,1))</f>
        <v>321.05795935196863</v>
      </c>
      <c r="CZ70" s="62">
        <f t="shared" si="96"/>
        <v>209.59551322748908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IF('Données projet'!$A$166&gt;35,DO69+DN70-DW69,IF(A70&lt;'Données projet'!$A$166,$DL$205^A70,IF(A70='Données projet'!$A$166,'Données projet'!$B$166,DO69+DN70-DW69)))</f>
        <v>277.39999999999998</v>
      </c>
      <c r="DP70" s="18">
        <f>DO70*VLOOKUP('Données projet'!$B$14,Paramètres!$A$1:$I$89,3,0)*VLOOKUP('Données projet'!$B$14,Paramètres!$A$1:$I$89,5,0)</f>
        <v>298.59335999999996</v>
      </c>
      <c r="DQ70" s="14">
        <f t="shared" si="97"/>
        <v>70.88149709045409</v>
      </c>
      <c r="DR70" s="22">
        <f t="shared" si="70"/>
        <v>643.50204276587419</v>
      </c>
      <c r="DS70" s="62">
        <f t="shared" si="71"/>
        <v>908.45611007409116</v>
      </c>
      <c r="DT70" s="62">
        <f ca="1">AVERAGE(OFFSET($DS$3,0,0,'Données projet'!$E$14+1,1))-AVERAGE(OFFSET($H$3,0,0,'Données projet'!$E$14+1,1))</f>
        <v>638.58602907610805</v>
      </c>
      <c r="DU70" s="62">
        <f t="shared" si="98"/>
        <v>341.9250949809848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5.6843418860808015E-14</v>
      </c>
      <c r="EK70" s="18">
        <f>EJ70*VLOOKUP('Données projet'!$B$15,Paramètres!$A$1:$I$89,3,0)*VLOOKUP('Données projet'!$B$15,Paramètres!$A$1:$I$89,5,0)</f>
        <v>3.3992364478763198E-14</v>
      </c>
      <c r="EL70" s="14">
        <f t="shared" si="99"/>
        <v>5.790027782444094E-13</v>
      </c>
      <c r="EM70" s="22">
        <f t="shared" si="73"/>
        <v>1.0676332069095257E-12</v>
      </c>
      <c r="EN70" s="62">
        <f t="shared" si="74"/>
        <v>264.95406730821799</v>
      </c>
      <c r="EO70" s="62">
        <f ca="1">AVERAGE(OFFSET($EN$3,0,0,'Données projet'!$E$15+1,1))-AVERAGE(OFFSET($H$3,0,0,'Données projet'!$E$15+1,1))</f>
        <v>223.57443551076992</v>
      </c>
      <c r="EP70" s="62">
        <f t="shared" si="100"/>
        <v>382.12751862619427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12.789978988782506</v>
      </c>
      <c r="EW70" s="23">
        <f>EXP(-LN(2)/25)*EW69+(1-EXP(-LN(2)/25))/(LN(2)/25)*Calculateur!ER70*Calculateur!ET70*VLOOKUP('Données projet'!$B$15,Paramètres!$A$1:$I$89,3,0)*0.475*44/12</f>
        <v>4.9758649444734235</v>
      </c>
      <c r="EX70" s="23">
        <f>EXP(-LN(2)/2)*EX69+(1-EXP(-LN(2)/2))/(LN(2)/2)*ER70*EU70*VLOOKUP('Données projet'!$B$15,Paramètres!$A$1:$I$89,3,0)*0.475*44/12</f>
        <v>2.7345138266119382E-5</v>
      </c>
      <c r="EY70" s="24">
        <f t="shared" si="75"/>
        <v>17.765871278394197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1.6750000000000014</v>
      </c>
      <c r="FE70" s="13">
        <f>IF('Données projet'!$A$218&gt;35,FE69+FD70-FM69,IF(A70&lt;'Données projet'!$A$218,$FB$205^A70,IF(A70='Données projet'!$A$218,'Données projet'!$B$218,FE69+FD70-FM69)))</f>
        <v>87.837499999999949</v>
      </c>
      <c r="FF70" s="18">
        <f>FE70*VLOOKUP('Données projet'!$B$16,Paramètres!$A$1:$I$89,3,0)*VLOOKUP('Données projet'!$B$16,Paramètres!$A$1:$I$89,5,0)</f>
        <v>101.18879999999993</v>
      </c>
      <c r="FG70" s="14">
        <f t="shared" si="101"/>
        <v>27.245017665270392</v>
      </c>
      <c r="FH70" s="22">
        <f t="shared" si="76"/>
        <v>223.68889910034579</v>
      </c>
      <c r="FI70" s="62">
        <f t="shared" si="77"/>
        <v>488.6429664085627</v>
      </c>
      <c r="FJ70" s="62">
        <f ca="1">AVERAGE(OFFSET($FI$3,0,0,'Données projet'!$E$16+1,1))-AVERAGE(OFFSET($H$3,0,0,'Données projet'!$E$16+1,1))</f>
        <v>283.95543623515323</v>
      </c>
      <c r="FK70" s="62">
        <f t="shared" si="102"/>
        <v>196.96883829830929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5.6843418860808015E-14</v>
      </c>
      <c r="GA70" s="18">
        <f>FZ70*VLOOKUP('Données projet'!$B$17,Paramètres!$A$1:$I$89,3,0)*VLOOKUP('Données projet'!$B$17,Paramètres!$A$1:$I$89,5,0)</f>
        <v>3.3992364478763198E-14</v>
      </c>
      <c r="GB70" s="14">
        <f t="shared" si="103"/>
        <v>5.790027782444094E-13</v>
      </c>
      <c r="GC70" s="22">
        <f t="shared" si="79"/>
        <v>1.0676332069095257E-12</v>
      </c>
      <c r="GD70" s="62">
        <f t="shared" si="80"/>
        <v>264.95406730821799</v>
      </c>
      <c r="GE70" s="62">
        <f ca="1">AVERAGE(OFFSET($GD$3,0,0,'Données projet'!$E$17+1,1))-AVERAGE(OFFSET($H$3,0,0,'Données projet'!$E$17+1,1))</f>
        <v>223.57443551076992</v>
      </c>
      <c r="GF70" s="62">
        <f t="shared" si="104"/>
        <v>382.12751862619427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12.789978988782506</v>
      </c>
      <c r="GM70" s="23">
        <f>EXP(-LN(2)/25)*GM69+(1-EXP(-LN(2)/25))/(LN(2)/25)*Calculateur!GH70*Calculateur!GJ70*VLOOKUP('Données projet'!$B$17,Paramètres!$A$1:$I$89,3,0)*0.475*44/12</f>
        <v>4.9758649444734235</v>
      </c>
      <c r="GN70" s="23">
        <f>EXP(-LN(2)/2)*GN69+(1-EXP(-LN(2)/2))/(LN(2)/2)*GH70*GK70*VLOOKUP('Données projet'!$B$17,Paramètres!$A$1:$I$89,3,0)*0.475*44/12</f>
        <v>2.7345138266119382E-5</v>
      </c>
      <c r="GO70" s="23">
        <f t="shared" si="81"/>
        <v>17.765871278394197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5.9057862592636559</v>
      </c>
      <c r="GU70" s="13">
        <f>IF('Données projet'!$A$270&gt;35,GU69+GT70-HC69,IF(A70&lt;'Données projet'!$A$270,$GR$205^A70,IF(A70='Données projet'!$A$270,'Données projet'!$B$270,GU69+GT70-HC69)))</f>
        <v>214.40667072143958</v>
      </c>
      <c r="GV70" s="18">
        <f>GU70*VLOOKUP('Données projet'!$B$18,Paramètres!$A$1:$I$89,3,0)*VLOOKUP('Données projet'!$B$18,Paramètres!$A$1:$I$89,5,0)</f>
        <v>234.132084427812</v>
      </c>
      <c r="GW70" s="14">
        <f t="shared" si="105"/>
        <v>57.175206787436274</v>
      </c>
      <c r="GX70" s="22">
        <f t="shared" si="82"/>
        <v>507.36019886655737</v>
      </c>
      <c r="GY70" s="62">
        <f t="shared" si="83"/>
        <v>772.31426617477427</v>
      </c>
      <c r="GZ70" s="62">
        <f ca="1">AVERAGE(OFFSET($GY$3,0,0,'Données projet'!$E$18+1,1))-AVERAGE(OFFSET($H$3,0,0,'Données projet'!$E$18+1,1))</f>
        <v>754.33260592777049</v>
      </c>
      <c r="HA70" s="62">
        <f t="shared" si="106"/>
        <v>250.97643915279005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9">
        <f t="shared" si="56"/>
        <v>183.33333333333334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824.16329923760372</v>
      </c>
      <c r="S71" s="62">
        <f ca="1">AVERAGE(OFFSET($R$3,0,0,'Données projet'!$E$9+1,1))-AVERAGE(OFFSET($H$3,0,0,'Données projet'!$E$9+1,1))</f>
        <v>550.39292625253665</v>
      </c>
      <c r="T71" s="62">
        <f t="shared" si="88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289.59839999999997</v>
      </c>
      <c r="AK71" s="14">
        <f t="shared" si="89"/>
        <v>68.991430542388798</v>
      </c>
      <c r="AL71" s="22">
        <f t="shared" si="58"/>
        <v>624.54395486132705</v>
      </c>
      <c r="AM71" s="62">
        <f t="shared" si="59"/>
        <v>889.99033898854589</v>
      </c>
      <c r="AN71" s="62">
        <f ca="1">AVERAGE(OFFSET($AM$3,0,0,'Données projet'!$E$10+1,1))-AVERAGE(OFFSET($H$3,0,0,'Données projet'!$E$10+1,1))</f>
        <v>606.55142836375308</v>
      </c>
      <c r="AO71" s="62">
        <f t="shared" si="90"/>
        <v>325.72635759450861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5.6410256410256467</v>
      </c>
      <c r="BD71" s="13">
        <f>IF('Données projet'!$A$88&gt;35,BD70+BC71-BL70,IF(A71&lt;'Données projet'!$A$88,$BA$205^A71,IF(A71='Données projet'!$A$88,'Données projet'!$B$88,BD70+BC71-BL70)))</f>
        <v>293.84615384615398</v>
      </c>
      <c r="BE71" s="14">
        <f>BD71*VLOOKUP('Données projet'!$B$11,Paramètres!$A$1:$I$89,3,0)*VLOOKUP('Données projet'!$B$11,Paramètres!$A$1:$I$89,5,0)</f>
        <v>307.12800000000021</v>
      </c>
      <c r="BF71" s="14">
        <f t="shared" si="91"/>
        <v>72.66871774001693</v>
      </c>
      <c r="BG71" s="22">
        <f t="shared" si="61"/>
        <v>661.47928339719647</v>
      </c>
      <c r="BH71" s="62">
        <f t="shared" si="62"/>
        <v>926.9256675244153</v>
      </c>
      <c r="BI71" s="62">
        <f ca="1">AVERAGE(OFFSET($BH$3,0,0,'Données projet'!$E$11+1,1))-AVERAGE(OFFSET($H$3,0,0,'Données projet'!$E$11+1,1))</f>
        <v>635.13577238794812</v>
      </c>
      <c r="BJ71" s="62">
        <f t="shared" si="92"/>
        <v>374.35810525172019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15.8</v>
      </c>
      <c r="BY71" s="13">
        <f>IF('Données projet'!$A$114&gt;35,BY70+BX71-CG70,IF(A71&lt;'Données projet'!$A$114,$BV$205^A71,IF(A71='Données projet'!$A$114,'Données projet'!$B$114,BY70+BX71-CG70)))</f>
        <v>986.39999999999964</v>
      </c>
      <c r="BZ71" s="14">
        <f>BY71*VLOOKUP('Données projet'!$B$12,Paramètres!$A$1:$I$89,3,0)*VLOOKUP('Données projet'!$B$12,Paramètres!$A$1:$I$89,5,0)</f>
        <v>435.98879999999991</v>
      </c>
      <c r="CA71" s="14">
        <f t="shared" si="93"/>
        <v>99.03585813612888</v>
      </c>
      <c r="CB71" s="22">
        <f t="shared" si="64"/>
        <v>931.83461292042421</v>
      </c>
      <c r="CC71" s="62">
        <f t="shared" si="65"/>
        <v>1197.280997047643</v>
      </c>
      <c r="CD71" s="62">
        <f ca="1">AVERAGE(OFFSET($CC$3,0,0,'Données projet'!$E$12+1,1))-AVERAGE(OFFSET($H$3,0,0,'Données projet'!$E$12+1,1))</f>
        <v>580.02817743695846</v>
      </c>
      <c r="CE71" s="62">
        <f t="shared" si="94"/>
        <v>551.23515633208865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10.314743589743586</v>
      </c>
      <c r="CT71" s="13">
        <f>IF('Données projet'!$A$140&gt;35,CT70+CS71-DB70,IF(A71&lt;'Données projet'!$A$140,$CQ$205^A71,IF(A71='Données projet'!$A$140,'Données projet'!$B$140,CT70+CS71-DB70)))</f>
        <v>306.55705128205136</v>
      </c>
      <c r="CU71" s="18">
        <f>CT71*VLOOKUP('Données projet'!$B$13,Paramètres!$A$1:$I$89,3,0)*VLOOKUP('Données projet'!$B$13,Paramètres!$A$1:$I$89,5,0)</f>
        <v>143.46870000000004</v>
      </c>
      <c r="CV71" s="14">
        <f t="shared" si="95"/>
        <v>37.090500536695608</v>
      </c>
      <c r="CW71" s="22">
        <f t="shared" si="67"/>
        <v>314.47394093474492</v>
      </c>
      <c r="CX71" s="62">
        <f t="shared" si="68"/>
        <v>579.92032506196369</v>
      </c>
      <c r="CY71" s="62">
        <f ca="1">AVERAGE(OFFSET($CX$3,0,0,'Données projet'!$E$13+1,1))-AVERAGE(OFFSET($H$3,0,0,'Données projet'!$E$13+1,1))</f>
        <v>321.05795935196863</v>
      </c>
      <c r="CZ71" s="62">
        <f t="shared" si="96"/>
        <v>209.59551322748908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IF('Données projet'!$A$166&gt;35,DO70+DN71-DW70,IF(A71&lt;'Données projet'!$A$166,$DL$205^A71,IF(A71='Données projet'!$A$166,'Données projet'!$B$166,DO70+DN71-DW70)))</f>
        <v>285.59999999999997</v>
      </c>
      <c r="DP71" s="18">
        <f>DO71*VLOOKUP('Données projet'!$B$14,Paramètres!$A$1:$I$89,3,0)*VLOOKUP('Données projet'!$B$14,Paramètres!$A$1:$I$89,5,0)</f>
        <v>307.41983999999997</v>
      </c>
      <c r="DQ71" s="14">
        <f t="shared" si="97"/>
        <v>72.729728242133774</v>
      </c>
      <c r="DR71" s="22">
        <f t="shared" si="70"/>
        <v>662.09383135504959</v>
      </c>
      <c r="DS71" s="62">
        <f t="shared" si="71"/>
        <v>927.54021548226842</v>
      </c>
      <c r="DT71" s="62">
        <f ca="1">AVERAGE(OFFSET($DS$3,0,0,'Données projet'!$E$14+1,1))-AVERAGE(OFFSET($H$3,0,0,'Données projet'!$E$14+1,1))</f>
        <v>638.58602907610805</v>
      </c>
      <c r="DU71" s="62">
        <f t="shared" si="98"/>
        <v>341.9250949809848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5.6843418860808015E-14</v>
      </c>
      <c r="EK71" s="18">
        <f>EJ71*VLOOKUP('Données projet'!$B$15,Paramètres!$A$1:$I$89,3,0)*VLOOKUP('Données projet'!$B$15,Paramètres!$A$1:$I$89,5,0)</f>
        <v>3.3992364478763198E-14</v>
      </c>
      <c r="EL71" s="14">
        <f t="shared" si="99"/>
        <v>5.790027782444094E-13</v>
      </c>
      <c r="EM71" s="22">
        <f t="shared" si="73"/>
        <v>1.0676332069095257E-12</v>
      </c>
      <c r="EN71" s="62">
        <f t="shared" si="74"/>
        <v>265.44638412721991</v>
      </c>
      <c r="EO71" s="62">
        <f ca="1">AVERAGE(OFFSET($EN$3,0,0,'Données projet'!$E$15+1,1))-AVERAGE(OFFSET($H$3,0,0,'Données projet'!$E$15+1,1))</f>
        <v>223.57443551076992</v>
      </c>
      <c r="EP71" s="62">
        <f t="shared" si="100"/>
        <v>382.12751862619427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12.539175301929369</v>
      </c>
      <c r="EW71" s="23">
        <f>EXP(-LN(2)/25)*EW70+(1-EXP(-LN(2)/25))/(LN(2)/25)*Calculateur!ER71*Calculateur!ET71*VLOOKUP('Données projet'!$B$15,Paramètres!$A$1:$I$89,3,0)*0.475*44/12</f>
        <v>4.8397996558974326</v>
      </c>
      <c r="EX71" s="23">
        <f>EXP(-LN(2)/2)*EX70+(1-EXP(-LN(2)/2))/(LN(2)/2)*ER71*EU71*VLOOKUP('Données projet'!$B$15,Paramètres!$A$1:$I$89,3,0)*0.475*44/12</f>
        <v>1.9335932700456765E-5</v>
      </c>
      <c r="EY71" s="24">
        <f t="shared" si="75"/>
        <v>17.378994293759504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1.6750000000000014</v>
      </c>
      <c r="FE71" s="13">
        <f>IF('Données projet'!$A$218&gt;35,FE70+FD71-FM70,IF(A71&lt;'Données projet'!$A$218,$FB$205^A71,IF(A71='Données projet'!$A$218,'Données projet'!$B$218,FE70+FD71-FM70)))</f>
        <v>89.512499999999946</v>
      </c>
      <c r="FF71" s="18">
        <f>FE71*VLOOKUP('Données projet'!$B$16,Paramètres!$A$1:$I$89,3,0)*VLOOKUP('Données projet'!$B$16,Paramètres!$A$1:$I$89,5,0)</f>
        <v>103.11839999999994</v>
      </c>
      <c r="FG71" s="14">
        <f t="shared" si="101"/>
        <v>27.703580415769611</v>
      </c>
      <c r="FH71" s="22">
        <f t="shared" si="76"/>
        <v>227.8482825574653</v>
      </c>
      <c r="FI71" s="62">
        <f t="shared" si="77"/>
        <v>493.2946666846841</v>
      </c>
      <c r="FJ71" s="62">
        <f ca="1">AVERAGE(OFFSET($FI$3,0,0,'Données projet'!$E$16+1,1))-AVERAGE(OFFSET($H$3,0,0,'Données projet'!$E$16+1,1))</f>
        <v>283.95543623515323</v>
      </c>
      <c r="FK71" s="62">
        <f t="shared" si="102"/>
        <v>196.96883829830929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5.6843418860808015E-14</v>
      </c>
      <c r="GA71" s="18">
        <f>FZ71*VLOOKUP('Données projet'!$B$17,Paramètres!$A$1:$I$89,3,0)*VLOOKUP('Données projet'!$B$17,Paramètres!$A$1:$I$89,5,0)</f>
        <v>3.3992364478763198E-14</v>
      </c>
      <c r="GB71" s="14">
        <f t="shared" si="103"/>
        <v>5.790027782444094E-13</v>
      </c>
      <c r="GC71" s="22">
        <f t="shared" si="79"/>
        <v>1.0676332069095257E-12</v>
      </c>
      <c r="GD71" s="62">
        <f t="shared" si="80"/>
        <v>265.44638412721991</v>
      </c>
      <c r="GE71" s="62">
        <f ca="1">AVERAGE(OFFSET($GD$3,0,0,'Données projet'!$E$17+1,1))-AVERAGE(OFFSET($H$3,0,0,'Données projet'!$E$17+1,1))</f>
        <v>223.57443551076992</v>
      </c>
      <c r="GF71" s="62">
        <f t="shared" si="104"/>
        <v>382.12751862619427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12.539175301929369</v>
      </c>
      <c r="GM71" s="23">
        <f>EXP(-LN(2)/25)*GM70+(1-EXP(-LN(2)/25))/(LN(2)/25)*Calculateur!GH71*Calculateur!GJ71*VLOOKUP('Données projet'!$B$17,Paramètres!$A$1:$I$89,3,0)*0.475*44/12</f>
        <v>4.8397996558974326</v>
      </c>
      <c r="GN71" s="23">
        <f>EXP(-LN(2)/2)*GN70+(1-EXP(-LN(2)/2))/(LN(2)/2)*GH71*GK71*VLOOKUP('Données projet'!$B$17,Paramètres!$A$1:$I$89,3,0)*0.475*44/12</f>
        <v>1.9335932700456765E-5</v>
      </c>
      <c r="GO71" s="23">
        <f t="shared" si="81"/>
        <v>17.378994293759504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5.9057862592636559</v>
      </c>
      <c r="GU71" s="13">
        <f>IF('Données projet'!$A$270&gt;35,GU70+GT71-HC70,IF(A71&lt;'Données projet'!$A$270,$GR$205^A71,IF(A71='Données projet'!$A$270,'Données projet'!$B$270,GU70+GT71-HC70)))</f>
        <v>220.31245698070325</v>
      </c>
      <c r="GV71" s="18">
        <f>GU71*VLOOKUP('Données projet'!$B$18,Paramètres!$A$1:$I$89,3,0)*VLOOKUP('Données projet'!$B$18,Paramètres!$A$1:$I$89,5,0)</f>
        <v>240.58120302292795</v>
      </c>
      <c r="GW71" s="14">
        <f t="shared" si="105"/>
        <v>58.564561535152897</v>
      </c>
      <c r="GX71" s="22">
        <f t="shared" si="82"/>
        <v>521.0122066053242</v>
      </c>
      <c r="GY71" s="62">
        <f t="shared" si="83"/>
        <v>786.45859073254303</v>
      </c>
      <c r="GZ71" s="62">
        <f ca="1">AVERAGE(OFFSET($GY$3,0,0,'Données projet'!$E$18+1,1))-AVERAGE(OFFSET($H$3,0,0,'Données projet'!$E$18+1,1))</f>
        <v>754.33260592777049</v>
      </c>
      <c r="HA71" s="62">
        <f t="shared" si="106"/>
        <v>250.97643915279005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9">
        <f t="shared" si="56"/>
        <v>183.33333333333334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840.32099556130004</v>
      </c>
      <c r="S72" s="62">
        <f ca="1">AVERAGE(OFFSET($R$3,0,0,'Données projet'!$E$9+1,1))-AVERAGE(OFFSET($H$3,0,0,'Données projet'!$E$9+1,1))</f>
        <v>550.39292625253665</v>
      </c>
      <c r="T72" s="62">
        <f t="shared" si="88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297.91319999999996</v>
      </c>
      <c r="AK72" s="14">
        <f t="shared" si="89"/>
        <v>70.73881247427552</v>
      </c>
      <c r="AL72" s="22">
        <f t="shared" si="58"/>
        <v>642.06892172602977</v>
      </c>
      <c r="AM72" s="62">
        <f t="shared" si="59"/>
        <v>907.99908207609633</v>
      </c>
      <c r="AN72" s="62">
        <f ca="1">AVERAGE(OFFSET($AM$3,0,0,'Données projet'!$E$10+1,1))-AVERAGE(OFFSET($H$3,0,0,'Données projet'!$E$10+1,1))</f>
        <v>606.55142836375308</v>
      </c>
      <c r="AO72" s="62">
        <f t="shared" si="90"/>
        <v>325.72635759450861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5.6410256410256467</v>
      </c>
      <c r="BD72" s="13">
        <f>IF('Données projet'!$A$88&gt;35,BD71+BC72-BL71,IF(A72&lt;'Données projet'!$A$88,$BA$205^A72,IF(A72='Données projet'!$A$88,'Données projet'!$B$88,BD71+BC72-BL71)))</f>
        <v>299.48717948717962</v>
      </c>
      <c r="BE72" s="14">
        <f>BD72*VLOOKUP('Données projet'!$B$11,Paramètres!$A$1:$I$89,3,0)*VLOOKUP('Données projet'!$B$11,Paramètres!$A$1:$I$89,5,0)</f>
        <v>313.02400000000017</v>
      </c>
      <c r="BF72" s="14">
        <f t="shared" si="91"/>
        <v>73.900004484725841</v>
      </c>
      <c r="BG72" s="22">
        <f t="shared" si="61"/>
        <v>673.89264114423111</v>
      </c>
      <c r="BH72" s="62">
        <f t="shared" si="62"/>
        <v>939.82280149429766</v>
      </c>
      <c r="BI72" s="62">
        <f ca="1">AVERAGE(OFFSET($BH$3,0,0,'Données projet'!$E$11+1,1))-AVERAGE(OFFSET($H$3,0,0,'Données projet'!$E$11+1,1))</f>
        <v>635.13577238794812</v>
      </c>
      <c r="BJ72" s="62">
        <f t="shared" si="92"/>
        <v>374.35810525172019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15.8</v>
      </c>
      <c r="BY72" s="13">
        <f>IF('Données projet'!$A$114&gt;35,BY71+BX72-CG71,IF(A72&lt;'Données projet'!$A$114,$BV$205^A72,IF(A72='Données projet'!$A$114,'Données projet'!$B$114,BY71+BX72-CG71)))</f>
        <v>1002.1999999999996</v>
      </c>
      <c r="BZ72" s="14">
        <f>BY72*VLOOKUP('Données projet'!$B$12,Paramètres!$A$1:$I$89,3,0)*VLOOKUP('Données projet'!$B$12,Paramètres!$A$1:$I$89,5,0)</f>
        <v>442.97239999999988</v>
      </c>
      <c r="CA72" s="14">
        <f t="shared" si="93"/>
        <v>100.43624987478712</v>
      </c>
      <c r="CB72" s="22">
        <f t="shared" si="64"/>
        <v>946.43673186525405</v>
      </c>
      <c r="CC72" s="62">
        <f t="shared" si="65"/>
        <v>1212.3668922153206</v>
      </c>
      <c r="CD72" s="62">
        <f ca="1">AVERAGE(OFFSET($CC$3,0,0,'Données projet'!$E$12+1,1))-AVERAGE(OFFSET($H$3,0,0,'Données projet'!$E$12+1,1))</f>
        <v>580.02817743695846</v>
      </c>
      <c r="CE72" s="62">
        <f t="shared" si="94"/>
        <v>551.23515633208865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10.314743589743586</v>
      </c>
      <c r="CT72" s="13">
        <f>IF('Données projet'!$A$140&gt;35,CT71+CS72-DB71,IF(A72&lt;'Données projet'!$A$140,$CQ$205^A72,IF(A72='Données projet'!$A$140,'Données projet'!$B$140,CT71+CS72-DB71)))</f>
        <v>316.87179487179492</v>
      </c>
      <c r="CU72" s="18">
        <f>CT72*VLOOKUP('Données projet'!$B$13,Paramètres!$A$1:$I$89,3,0)*VLOOKUP('Données projet'!$B$13,Paramètres!$A$1:$I$89,5,0)</f>
        <v>148.29600000000002</v>
      </c>
      <c r="CV72" s="14">
        <f t="shared" si="95"/>
        <v>38.19108839282633</v>
      </c>
      <c r="CW72" s="22">
        <f t="shared" si="67"/>
        <v>324.7983456175059</v>
      </c>
      <c r="CX72" s="62">
        <f t="shared" si="68"/>
        <v>590.72850596757246</v>
      </c>
      <c r="CY72" s="62">
        <f ca="1">AVERAGE(OFFSET($CX$3,0,0,'Données projet'!$E$13+1,1))-AVERAGE(OFFSET($H$3,0,0,'Données projet'!$E$13+1,1))</f>
        <v>321.05795935196863</v>
      </c>
      <c r="CZ72" s="62">
        <f t="shared" si="96"/>
        <v>209.59551322748908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IF('Données projet'!$A$166&gt;35,DO71+DN72-DW71,IF(A72&lt;'Données projet'!$A$166,$DL$205^A72,IF(A72='Données projet'!$A$166,'Données projet'!$B$166,DO71+DN72-DW71)))</f>
        <v>293.79999999999995</v>
      </c>
      <c r="DP72" s="18">
        <f>DO72*VLOOKUP('Données projet'!$B$14,Paramètres!$A$1:$I$89,3,0)*VLOOKUP('Données projet'!$B$14,Paramètres!$A$1:$I$89,5,0)</f>
        <v>316.24631999999991</v>
      </c>
      <c r="DQ72" s="14">
        <f t="shared" si="97"/>
        <v>74.57179198892409</v>
      </c>
      <c r="DR72" s="22">
        <f t="shared" si="70"/>
        <v>680.67487838070929</v>
      </c>
      <c r="DS72" s="62">
        <f t="shared" si="71"/>
        <v>946.60503873077585</v>
      </c>
      <c r="DT72" s="62">
        <f ca="1">AVERAGE(OFFSET($DS$3,0,0,'Données projet'!$E$14+1,1))-AVERAGE(OFFSET($H$3,0,0,'Données projet'!$E$14+1,1))</f>
        <v>638.58602907610805</v>
      </c>
      <c r="DU72" s="62">
        <f t="shared" si="98"/>
        <v>341.9250949809848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5.6843418860808015E-14</v>
      </c>
      <c r="EK72" s="18">
        <f>EJ72*VLOOKUP('Données projet'!$B$15,Paramètres!$A$1:$I$89,3,0)*VLOOKUP('Données projet'!$B$15,Paramètres!$A$1:$I$89,5,0)</f>
        <v>3.3992364478763198E-14</v>
      </c>
      <c r="EL72" s="14">
        <f t="shared" si="99"/>
        <v>5.790027782444094E-13</v>
      </c>
      <c r="EM72" s="22">
        <f t="shared" si="73"/>
        <v>1.0676332069095257E-12</v>
      </c>
      <c r="EN72" s="62">
        <f t="shared" si="74"/>
        <v>265.93016035006764</v>
      </c>
      <c r="EO72" s="62">
        <f ca="1">AVERAGE(OFFSET($EN$3,0,0,'Données projet'!$E$15+1,1))-AVERAGE(OFFSET($H$3,0,0,'Données projet'!$E$15+1,1))</f>
        <v>223.57443551076992</v>
      </c>
      <c r="EP72" s="62">
        <f t="shared" si="100"/>
        <v>382.12751862619427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12.293289722400276</v>
      </c>
      <c r="EW72" s="23">
        <f>EXP(-LN(2)/25)*EW71+(1-EXP(-LN(2)/25))/(LN(2)/25)*Calculateur!ER72*Calculateur!ET72*VLOOKUP('Données projet'!$B$15,Paramètres!$A$1:$I$89,3,0)*0.475*44/12</f>
        <v>4.7074550797929149</v>
      </c>
      <c r="EX72" s="23">
        <f>EXP(-LN(2)/2)*EX71+(1-EXP(-LN(2)/2))/(LN(2)/2)*ER72*EU72*VLOOKUP('Données projet'!$B$15,Paramètres!$A$1:$I$89,3,0)*0.475*44/12</f>
        <v>1.3672569133059691E-5</v>
      </c>
      <c r="EY72" s="24">
        <f t="shared" si="75"/>
        <v>17.000758474762321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1.6750000000000014</v>
      </c>
      <c r="FE72" s="13">
        <f>IF('Données projet'!$A$218&gt;35,FE71+FD72-FM71,IF(A72&lt;'Données projet'!$A$218,$FB$205^A72,IF(A72='Données projet'!$A$218,'Données projet'!$B$218,FE71+FD72-FM71)))</f>
        <v>91.187499999999943</v>
      </c>
      <c r="FF72" s="18">
        <f>FE72*VLOOKUP('Données projet'!$B$16,Paramètres!$A$1:$I$89,3,0)*VLOOKUP('Données projet'!$B$16,Paramètres!$A$1:$I$89,5,0)</f>
        <v>105.04799999999992</v>
      </c>
      <c r="FG72" s="14">
        <f t="shared" si="101"/>
        <v>28.161145381699356</v>
      </c>
      <c r="FH72" s="22">
        <f t="shared" si="76"/>
        <v>232.00592820645954</v>
      </c>
      <c r="FI72" s="62">
        <f t="shared" si="77"/>
        <v>497.9360885565261</v>
      </c>
      <c r="FJ72" s="62">
        <f ca="1">AVERAGE(OFFSET($FI$3,0,0,'Données projet'!$E$16+1,1))-AVERAGE(OFFSET($H$3,0,0,'Données projet'!$E$16+1,1))</f>
        <v>283.95543623515323</v>
      </c>
      <c r="FK72" s="62">
        <f t="shared" si="102"/>
        <v>196.96883829830929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5.6843418860808015E-14</v>
      </c>
      <c r="GA72" s="18">
        <f>FZ72*VLOOKUP('Données projet'!$B$17,Paramètres!$A$1:$I$89,3,0)*VLOOKUP('Données projet'!$B$17,Paramètres!$A$1:$I$89,5,0)</f>
        <v>3.3992364478763198E-14</v>
      </c>
      <c r="GB72" s="14">
        <f t="shared" si="103"/>
        <v>5.790027782444094E-13</v>
      </c>
      <c r="GC72" s="22">
        <f t="shared" si="79"/>
        <v>1.0676332069095257E-12</v>
      </c>
      <c r="GD72" s="62">
        <f t="shared" si="80"/>
        <v>265.93016035006764</v>
      </c>
      <c r="GE72" s="62">
        <f ca="1">AVERAGE(OFFSET($GD$3,0,0,'Données projet'!$E$17+1,1))-AVERAGE(OFFSET($H$3,0,0,'Données projet'!$E$17+1,1))</f>
        <v>223.57443551076992</v>
      </c>
      <c r="GF72" s="62">
        <f t="shared" si="104"/>
        <v>382.12751862619427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12.293289722400276</v>
      </c>
      <c r="GM72" s="23">
        <f>EXP(-LN(2)/25)*GM71+(1-EXP(-LN(2)/25))/(LN(2)/25)*Calculateur!GH72*Calculateur!GJ72*VLOOKUP('Données projet'!$B$17,Paramètres!$A$1:$I$89,3,0)*0.475*44/12</f>
        <v>4.7074550797929149</v>
      </c>
      <c r="GN72" s="23">
        <f>EXP(-LN(2)/2)*GN71+(1-EXP(-LN(2)/2))/(LN(2)/2)*GH72*GK72*VLOOKUP('Données projet'!$B$17,Paramètres!$A$1:$I$89,3,0)*0.475*44/12</f>
        <v>1.3672569133059691E-5</v>
      </c>
      <c r="GO72" s="23">
        <f t="shared" si="81"/>
        <v>17.000758474762321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5.9057862592636559</v>
      </c>
      <c r="GU72" s="13">
        <f>IF('Données projet'!$A$270&gt;35,GU71+GT72-HC71,IF(A72&lt;'Données projet'!$A$270,$GR$205^A72,IF(A72='Données projet'!$A$270,'Données projet'!$B$270,GU71+GT72-HC71)))</f>
        <v>226.21824323996691</v>
      </c>
      <c r="GV72" s="18">
        <f>GU72*VLOOKUP('Données projet'!$B$18,Paramètres!$A$1:$I$89,3,0)*VLOOKUP('Données projet'!$B$18,Paramètres!$A$1:$I$89,5,0)</f>
        <v>247.03032161804387</v>
      </c>
      <c r="GW72" s="14">
        <f t="shared" si="105"/>
        <v>59.949587334689056</v>
      </c>
      <c r="GX72" s="22">
        <f t="shared" si="82"/>
        <v>534.65667475934322</v>
      </c>
      <c r="GY72" s="62">
        <f t="shared" si="83"/>
        <v>800.58683510940978</v>
      </c>
      <c r="GZ72" s="62">
        <f ca="1">AVERAGE(OFFSET($GY$3,0,0,'Données projet'!$E$18+1,1))-AVERAGE(OFFSET($H$3,0,0,'Données projet'!$E$18+1,1))</f>
        <v>754.33260592777049</v>
      </c>
      <c r="HA72" s="62">
        <f t="shared" si="106"/>
        <v>250.97643915279005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9">
        <f t="shared" si="56"/>
        <v>183.33333333333334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856.46137262503021</v>
      </c>
      <c r="S73" s="62">
        <f ca="1">AVERAGE(OFFSET($R$3,0,0,'Données projet'!$E$9+1,1))-AVERAGE(OFFSET($H$3,0,0,'Données projet'!$E$9+1,1))</f>
        <v>550.39292625253665</v>
      </c>
      <c r="T73" s="62">
        <f t="shared" si="88"/>
        <v>297.32483725004136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306.22800000000001</v>
      </c>
      <c r="AK73" s="14">
        <f t="shared" si="89"/>
        <v>72.480526049067294</v>
      </c>
      <c r="AL73" s="22">
        <f t="shared" si="58"/>
        <v>659.58401620212555</v>
      </c>
      <c r="AM73" s="62">
        <f t="shared" si="59"/>
        <v>925.9895603391351</v>
      </c>
      <c r="AN73" s="62">
        <f ca="1">AVERAGE(OFFSET($AM$3,0,0,'Données projet'!$E$10+1,1))-AVERAGE(OFFSET($H$3,0,0,'Données projet'!$E$10+1,1))</f>
        <v>606.55142836375308</v>
      </c>
      <c r="AO73" s="62">
        <f t="shared" si="90"/>
        <v>325.72635759450861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305.12820512820514</v>
      </c>
      <c r="BB73" s="13">
        <f>VLOOKUP(A73,'Données projet'!$A$87:$I$107,9,0)</f>
        <v>5.6410256410256467</v>
      </c>
      <c r="BC73" s="13">
        <f t="array" ref="BC73">INDEX(BB:BB,MIN(IF(ISNUMBER(BB73:BB269),ROW(BB73:BB269),"")))</f>
        <v>5.6410256410256467</v>
      </c>
      <c r="BD73" s="13">
        <f>IF('Données projet'!$A$88&gt;35,BD72+BC73-BL72,IF(A73&lt;'Données projet'!$A$88,$BA$205^A73,IF(A73='Données projet'!$A$88,'Données projet'!$B$88,BD72+BC73-BL72)))</f>
        <v>305.12820512820525</v>
      </c>
      <c r="BE73" s="14">
        <f>BD73*VLOOKUP('Données projet'!$B$11,Paramètres!$A$1:$I$89,3,0)*VLOOKUP('Données projet'!$B$11,Paramètres!$A$1:$I$89,5,0)</f>
        <v>318.92000000000019</v>
      </c>
      <c r="BF73" s="14">
        <f t="shared" si="91"/>
        <v>75.128594464022598</v>
      </c>
      <c r="BG73" s="22">
        <f t="shared" si="61"/>
        <v>686.30130202483963</v>
      </c>
      <c r="BH73" s="62">
        <f t="shared" si="62"/>
        <v>952.70684616184917</v>
      </c>
      <c r="BI73" s="62">
        <f ca="1">AVERAGE(OFFSET($BH$3,0,0,'Données projet'!$E$11+1,1))-AVERAGE(OFFSET($H$3,0,0,'Données projet'!$E$11+1,1))</f>
        <v>635.13577238794812</v>
      </c>
      <c r="BJ73" s="62">
        <f t="shared" si="92"/>
        <v>374.35810525172019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1018</v>
      </c>
      <c r="BW73" s="13">
        <f>VLOOKUP(A73,'Données projet'!$A$113:$I$133,9,0)</f>
        <v>15.8</v>
      </c>
      <c r="BX73" s="13">
        <f t="array" ref="BX73">INDEX(BW:BW,MIN(IF(ISNUMBER(BW73:BW269),ROW(BW73:BW269),"")))</f>
        <v>15.8</v>
      </c>
      <c r="BY73" s="13">
        <f>IF('Données projet'!$A$114&gt;35,BY72+BX73-CG72,IF(A73&lt;'Données projet'!$A$114,$BV$205^A73,IF(A73='Données projet'!$A$114,'Données projet'!$B$114,BY72+BX73-CG72)))</f>
        <v>1017.9999999999995</v>
      </c>
      <c r="BZ73" s="14">
        <f>BY73*VLOOKUP('Données projet'!$B$12,Paramètres!$A$1:$I$89,3,0)*VLOOKUP('Données projet'!$B$12,Paramètres!$A$1:$I$89,5,0)</f>
        <v>449.95599999999985</v>
      </c>
      <c r="CA73" s="14">
        <f t="shared" si="93"/>
        <v>101.83407402266171</v>
      </c>
      <c r="CB73" s="22">
        <f t="shared" si="64"/>
        <v>961.03437892280215</v>
      </c>
      <c r="CC73" s="62">
        <f t="shared" si="65"/>
        <v>1227.4399230598117</v>
      </c>
      <c r="CD73" s="62">
        <f ca="1">AVERAGE(OFFSET($CC$3,0,0,'Données projet'!$E$12+1,1))-AVERAGE(OFFSET($H$3,0,0,'Données projet'!$E$12+1,1))</f>
        <v>580.02817743695846</v>
      </c>
      <c r="CE73" s="62">
        <f t="shared" si="94"/>
        <v>551.23515633208865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81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10.314743589743586</v>
      </c>
      <c r="CT73" s="13">
        <f>IF('Données projet'!$A$140&gt;35,CT72+CS73-DB72,IF(A73&lt;'Données projet'!$A$140,$CQ$205^A73,IF(A73='Données projet'!$A$140,'Données projet'!$B$140,CT72+CS73-DB72)))</f>
        <v>327.18653846153848</v>
      </c>
      <c r="CU73" s="18">
        <f>CT73*VLOOKUP('Données projet'!$B$13,Paramètres!$A$1:$I$89,3,0)*VLOOKUP('Données projet'!$B$13,Paramètres!$A$1:$I$89,5,0)</f>
        <v>153.1233</v>
      </c>
      <c r="CV73" s="14">
        <f t="shared" si="95"/>
        <v>39.287513204310308</v>
      </c>
      <c r="CW73" s="22">
        <f t="shared" si="67"/>
        <v>335.1154996641738</v>
      </c>
      <c r="CX73" s="62">
        <f t="shared" si="68"/>
        <v>601.52104380118328</v>
      </c>
      <c r="CY73" s="62">
        <f ca="1">AVERAGE(OFFSET($CX$3,0,0,'Données projet'!$E$13+1,1))-AVERAGE(OFFSET($H$3,0,0,'Données projet'!$E$13+1,1))</f>
        <v>321.05795935196863</v>
      </c>
      <c r="CZ73" s="62">
        <f t="shared" si="96"/>
        <v>209.59551322748908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IF('Données projet'!$A$166&gt;35,DO72+DN73-DW72,IF(A73&lt;'Données projet'!$A$166,$DL$205^A73,IF(A73='Données projet'!$A$166,'Données projet'!$B$166,DO72+DN73-DW72)))</f>
        <v>301.99999999999994</v>
      </c>
      <c r="DP73" s="18">
        <f>DO73*VLOOKUP('Données projet'!$B$14,Paramètres!$A$1:$I$89,3,0)*VLOOKUP('Données projet'!$B$14,Paramètres!$A$1:$I$89,5,0)</f>
        <v>325.07279999999992</v>
      </c>
      <c r="DQ73" s="14">
        <f t="shared" si="97"/>
        <v>76.407880238933714</v>
      </c>
      <c r="DR73" s="22">
        <f t="shared" si="70"/>
        <v>699.24551808280933</v>
      </c>
      <c r="DS73" s="62">
        <f t="shared" si="71"/>
        <v>965.65106221981887</v>
      </c>
      <c r="DT73" s="62">
        <f ca="1">AVERAGE(OFFSET($DS$3,0,0,'Données projet'!$E$14+1,1))-AVERAGE(OFFSET($H$3,0,0,'Données projet'!$E$14+1,1))</f>
        <v>638.58602907610805</v>
      </c>
      <c r="DU73" s="62">
        <f t="shared" si="98"/>
        <v>341.9250949809848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5.6843418860808015E-14</v>
      </c>
      <c r="EK73" s="18">
        <f>EJ73*VLOOKUP('Données projet'!$B$15,Paramètres!$A$1:$I$89,3,0)*VLOOKUP('Données projet'!$B$15,Paramètres!$A$1:$I$89,5,0)</f>
        <v>3.3992364478763198E-14</v>
      </c>
      <c r="EL73" s="14">
        <f t="shared" si="99"/>
        <v>5.790027782444094E-13</v>
      </c>
      <c r="EM73" s="22">
        <f t="shared" si="73"/>
        <v>1.0676332069095257E-12</v>
      </c>
      <c r="EN73" s="62">
        <f t="shared" si="74"/>
        <v>266.40554413701057</v>
      </c>
      <c r="EO73" s="62">
        <f ca="1">AVERAGE(OFFSET($EN$3,0,0,'Données projet'!$E$15+1,1))-AVERAGE(OFFSET($H$3,0,0,'Données projet'!$E$15+1,1))</f>
        <v>223.57443551076992</v>
      </c>
      <c r="EP73" s="62">
        <f t="shared" si="100"/>
        <v>382.12751862619427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12.052225809110356</v>
      </c>
      <c r="EW73" s="23">
        <f>EXP(-LN(2)/25)*EW72+(1-EXP(-LN(2)/25))/(LN(2)/25)*Calculateur!ER73*Calculateur!ET73*VLOOKUP('Données projet'!$B$15,Paramètres!$A$1:$I$89,3,0)*0.475*44/12</f>
        <v>4.5787294730816743</v>
      </c>
      <c r="EX73" s="23">
        <f>EXP(-LN(2)/2)*EX72+(1-EXP(-LN(2)/2))/(LN(2)/2)*ER73*EU73*VLOOKUP('Données projet'!$B$15,Paramètres!$A$1:$I$89,3,0)*0.475*44/12</f>
        <v>9.6679663502283827E-6</v>
      </c>
      <c r="EY73" s="24">
        <f t="shared" si="75"/>
        <v>16.630964950158379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92.862500000000011</v>
      </c>
      <c r="FC73" s="13">
        <f>VLOOKUP(A73,'Données projet'!$A$217:$I$237,9,0)</f>
        <v>1.6750000000000014</v>
      </c>
      <c r="FD73" s="13">
        <f t="array" ref="FD73">INDEX(FC:FC,MIN(IF(ISNUMBER(FC73:FC269),ROW(FC73:FC269),"")))</f>
        <v>1.6750000000000014</v>
      </c>
      <c r="FE73" s="13">
        <f>IF('Données projet'!$A$218&gt;35,FE72+FD73-FM72,IF(A73&lt;'Données projet'!$A$218,$FB$205^A73,IF(A73='Données projet'!$A$218,'Données projet'!$B$218,FE72+FD73-FM72)))</f>
        <v>92.86249999999994</v>
      </c>
      <c r="FF73" s="18">
        <f>FE73*VLOOKUP('Données projet'!$B$16,Paramètres!$A$1:$I$89,3,0)*VLOOKUP('Données projet'!$B$16,Paramètres!$A$1:$I$89,5,0)</f>
        <v>106.97759999999992</v>
      </c>
      <c r="FG73" s="14">
        <f t="shared" si="101"/>
        <v>28.617733004955216</v>
      </c>
      <c r="FH73" s="22">
        <f t="shared" si="76"/>
        <v>236.16187165029689</v>
      </c>
      <c r="FI73" s="62">
        <f t="shared" si="77"/>
        <v>502.56741578730635</v>
      </c>
      <c r="FJ73" s="62">
        <f ca="1">AVERAGE(OFFSET($FI$3,0,0,'Données projet'!$E$16+1,1))-AVERAGE(OFFSET($H$3,0,0,'Données projet'!$E$16+1,1))</f>
        <v>283.95543623515323</v>
      </c>
      <c r="FK73" s="62">
        <f t="shared" si="102"/>
        <v>196.96883829830929</v>
      </c>
      <c r="FL73" s="16">
        <f>IF(ISNA(VLOOKUP(A73,'Données projet'!$A$217:$I$237,3,0)),0,VLOOKUP(A73,'Données projet'!$A$217:$I$237,3,0))</f>
        <v>5</v>
      </c>
      <c r="FM73" s="16">
        <f>IF(ISNA(VLOOKUP(A73,'Données projet'!$A$217:$I$237,4,0)),0,VLOOKUP(A73,'Données projet'!$A$217:$I$237,4,0))</f>
        <v>8.5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5.6843418860808015E-14</v>
      </c>
      <c r="GA73" s="18">
        <f>FZ73*VLOOKUP('Données projet'!$B$17,Paramètres!$A$1:$I$89,3,0)*VLOOKUP('Données projet'!$B$17,Paramètres!$A$1:$I$89,5,0)</f>
        <v>3.3992364478763198E-14</v>
      </c>
      <c r="GB73" s="14">
        <f t="shared" si="103"/>
        <v>5.790027782444094E-13</v>
      </c>
      <c r="GC73" s="22">
        <f t="shared" si="79"/>
        <v>1.0676332069095257E-12</v>
      </c>
      <c r="GD73" s="62">
        <f t="shared" si="80"/>
        <v>266.40554413701057</v>
      </c>
      <c r="GE73" s="62">
        <f ca="1">AVERAGE(OFFSET($GD$3,0,0,'Données projet'!$E$17+1,1))-AVERAGE(OFFSET($H$3,0,0,'Données projet'!$E$17+1,1))</f>
        <v>223.57443551076992</v>
      </c>
      <c r="GF73" s="62">
        <f t="shared" si="104"/>
        <v>382.12751862619427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12.052225809110356</v>
      </c>
      <c r="GM73" s="23">
        <f>EXP(-LN(2)/25)*GM72+(1-EXP(-LN(2)/25))/(LN(2)/25)*Calculateur!GH73*Calculateur!GJ73*VLOOKUP('Données projet'!$B$17,Paramètres!$A$1:$I$89,3,0)*0.475*44/12</f>
        <v>4.5787294730816743</v>
      </c>
      <c r="GN73" s="23">
        <f>EXP(-LN(2)/2)*GN72+(1-EXP(-LN(2)/2))/(LN(2)/2)*GH73*GK73*VLOOKUP('Données projet'!$B$17,Paramètres!$A$1:$I$89,3,0)*0.475*44/12</f>
        <v>9.6679663502283827E-6</v>
      </c>
      <c r="GO73" s="23">
        <f t="shared" si="81"/>
        <v>16.630964950158379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232.12402949923049</v>
      </c>
      <c r="GS73" s="13">
        <f>VLOOKUP(A73,'Données projet'!$A$269:$I$289,9,0)</f>
        <v>5.9057862592636559</v>
      </c>
      <c r="GT73" s="13">
        <f t="array" ref="GT73">INDEX(GS:GS,MIN(IF(ISNUMBER(GS73:GS269),ROW(GS73:GS269),"")))</f>
        <v>5.9057862592636559</v>
      </c>
      <c r="GU73" s="13">
        <f>IF('Données projet'!$A$270&gt;35,GU72+GT73-HC72,IF(A73&lt;'Données projet'!$A$270,$GR$205^A73,IF(A73='Données projet'!$A$270,'Données projet'!$B$270,GU72+GT73-HC72)))</f>
        <v>232.12402949923057</v>
      </c>
      <c r="GV73" s="18">
        <f>GU73*VLOOKUP('Données projet'!$B$18,Paramètres!$A$1:$I$89,3,0)*VLOOKUP('Données projet'!$B$18,Paramètres!$A$1:$I$89,5,0)</f>
        <v>253.47944021315976</v>
      </c>
      <c r="GW73" s="14">
        <f t="shared" si="105"/>
        <v>61.330410192408095</v>
      </c>
      <c r="GX73" s="22">
        <f t="shared" si="82"/>
        <v>548.2938227896974</v>
      </c>
      <c r="GY73" s="62">
        <f t="shared" si="83"/>
        <v>814.69936692670694</v>
      </c>
      <c r="GZ73" s="62">
        <f ca="1">AVERAGE(OFFSET($GY$3,0,0,'Données projet'!$E$18+1,1))-AVERAGE(OFFSET($H$3,0,0,'Données projet'!$E$18+1,1))</f>
        <v>754.33260592777049</v>
      </c>
      <c r="HA73" s="62">
        <f t="shared" si="106"/>
        <v>250.97643915279005</v>
      </c>
      <c r="HB73" s="16">
        <f>IF(ISNA(VLOOKUP(A73,'Données projet'!$A$269:$I$289,3,0)),0,VLOOKUP(A73,'Données projet'!$A$269:$I$289,3,0))</f>
        <v>4</v>
      </c>
      <c r="HC73" s="16">
        <f>IF(ISNA(VLOOKUP(A73,'Données projet'!$A$269:$I$289,4,0)),0,VLOOKUP(A73,'Données projet'!$A$269:$I$289,4,0))</f>
        <v>25.791558833247816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9">
        <f t="shared" si="56"/>
        <v>183.33333333333334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871.43954853529476</v>
      </c>
      <c r="S74" s="62">
        <f ca="1">AVERAGE(OFFSET($R$3,0,0,'Données projet'!$E$9+1,1))-AVERAGE(OFFSET($H$3,0,0,'Données projet'!$E$9+1,1))</f>
        <v>550.39292625253665</v>
      </c>
      <c r="T74" s="62">
        <f t="shared" si="88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309.59999999999997</v>
      </c>
      <c r="AJ74" s="14">
        <f>AI74*VLOOKUP('Données projet'!$B$10,Paramètres!$A$1:$I$89,3,0)*VLOOKUP('Données projet'!$B$10,Paramètres!$A$1:$I$89,5,0)</f>
        <v>313.93439999999998</v>
      </c>
      <c r="AK74" s="14">
        <f t="shared" si="89"/>
        <v>74.089885412393457</v>
      </c>
      <c r="AL74" s="22">
        <f t="shared" si="58"/>
        <v>675.80896375991858</v>
      </c>
      <c r="AM74" s="62">
        <f t="shared" si="59"/>
        <v>942.68164483796659</v>
      </c>
      <c r="AN74" s="62">
        <f ca="1">AVERAGE(OFFSET($AM$3,0,0,'Données projet'!$E$10+1,1))-AVERAGE(OFFSET($H$3,0,0,'Données projet'!$E$10+1,1))</f>
        <v>606.55142836375308</v>
      </c>
      <c r="AO74" s="62">
        <f t="shared" si="90"/>
        <v>325.72635759450861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5.2564102564102537</v>
      </c>
      <c r="BD74" s="13">
        <f>IF('Données projet'!$A$88&gt;35,BD73+BC74-BL73,IF(A74&lt;'Données projet'!$A$88,$BA$205^A74,IF(A74='Données projet'!$A$88,'Données projet'!$B$88,BD73+BC74-BL73)))</f>
        <v>310.38461538461553</v>
      </c>
      <c r="BE74" s="14">
        <f>BD74*VLOOKUP('Données projet'!$B$11,Paramètres!$A$1:$I$89,3,0)*VLOOKUP('Données projet'!$B$11,Paramètres!$A$1:$I$89,5,0)</f>
        <v>324.41400000000016</v>
      </c>
      <c r="BF74" s="14">
        <f t="shared" si="91"/>
        <v>76.271038659737016</v>
      </c>
      <c r="BG74" s="22">
        <f t="shared" si="61"/>
        <v>697.85977566570898</v>
      </c>
      <c r="BH74" s="62">
        <f t="shared" si="62"/>
        <v>964.73245674375698</v>
      </c>
      <c r="BI74" s="62">
        <f ca="1">AVERAGE(OFFSET($BH$3,0,0,'Données projet'!$E$11+1,1))-AVERAGE(OFFSET($H$3,0,0,'Données projet'!$E$11+1,1))</f>
        <v>635.13577238794812</v>
      </c>
      <c r="BJ74" s="62">
        <f t="shared" si="92"/>
        <v>374.35810525172019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13</v>
      </c>
      <c r="BY74" s="13">
        <f>IF('Données projet'!$A$114&gt;35,BY73+BX74-CG73,IF(A74&lt;'Données projet'!$A$114,$BV$205^A74,IF(A74='Données projet'!$A$114,'Données projet'!$B$114,BY73+BX74-CG73)))</f>
        <v>949.99999999999955</v>
      </c>
      <c r="BZ74" s="14">
        <f>BY74*VLOOKUP('Données projet'!$B$12,Paramètres!$A$1:$I$89,3,0)*VLOOKUP('Données projet'!$B$12,Paramètres!$A$1:$I$89,5,0)</f>
        <v>419.89999999999986</v>
      </c>
      <c r="CA74" s="14">
        <f t="shared" si="93"/>
        <v>95.799614109391129</v>
      </c>
      <c r="CB74" s="22">
        <f t="shared" si="64"/>
        <v>898.17682790718925</v>
      </c>
      <c r="CC74" s="62">
        <f t="shared" si="65"/>
        <v>1165.0495089852373</v>
      </c>
      <c r="CD74" s="62">
        <f ca="1">AVERAGE(OFFSET($CC$3,0,0,'Données projet'!$E$12+1,1))-AVERAGE(OFFSET($H$3,0,0,'Données projet'!$E$12+1,1))</f>
        <v>580.02817743695846</v>
      </c>
      <c r="CE74" s="62">
        <f t="shared" si="94"/>
        <v>551.23515633208865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10.314743589743586</v>
      </c>
      <c r="CT74" s="13">
        <f>IF('Données projet'!$A$140&gt;35,CT73+CS74-DB73,IF(A74&lt;'Données projet'!$A$140,$CQ$205^A74,IF(A74='Données projet'!$A$140,'Données projet'!$B$140,CT73+CS74-DB73)))</f>
        <v>337.50128205128203</v>
      </c>
      <c r="CU74" s="18">
        <f>CT74*VLOOKUP('Données projet'!$B$13,Paramètres!$A$1:$I$89,3,0)*VLOOKUP('Données projet'!$B$13,Paramètres!$A$1:$I$89,5,0)</f>
        <v>157.95059999999998</v>
      </c>
      <c r="CV74" s="14">
        <f t="shared" si="95"/>
        <v>40.379921270810094</v>
      </c>
      <c r="CW74" s="22">
        <f t="shared" si="67"/>
        <v>345.42565787999416</v>
      </c>
      <c r="CX74" s="62">
        <f t="shared" si="68"/>
        <v>612.29833895804211</v>
      </c>
      <c r="CY74" s="62">
        <f ca="1">AVERAGE(OFFSET($CX$3,0,0,'Données projet'!$E$13+1,1))-AVERAGE(OFFSET($H$3,0,0,'Données projet'!$E$13+1,1))</f>
        <v>321.05795935196863</v>
      </c>
      <c r="CZ74" s="62">
        <f t="shared" si="96"/>
        <v>209.59551322748908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309.59999999999997</v>
      </c>
      <c r="DP74" s="18">
        <f>DO74*VLOOKUP('Données projet'!$B$14,Paramètres!$A$1:$I$89,3,0)*VLOOKUP('Données projet'!$B$14,Paramètres!$A$1:$I$89,5,0)</f>
        <v>333.25343999999996</v>
      </c>
      <c r="DQ74" s="14">
        <f t="shared" si="97"/>
        <v>78.104442670216116</v>
      </c>
      <c r="DR74" s="22">
        <f t="shared" si="70"/>
        <v>716.44831231729302</v>
      </c>
      <c r="DS74" s="62">
        <f t="shared" si="71"/>
        <v>983.32099339534102</v>
      </c>
      <c r="DT74" s="62">
        <f ca="1">AVERAGE(OFFSET($DS$3,0,0,'Données projet'!$E$14+1,1))-AVERAGE(OFFSET($H$3,0,0,'Données projet'!$E$14+1,1))</f>
        <v>638.58602907610805</v>
      </c>
      <c r="DU74" s="62">
        <f t="shared" si="98"/>
        <v>341.9250949809848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5.6843418860808015E-14</v>
      </c>
      <c r="EK74" s="18">
        <f>EJ74*VLOOKUP('Données projet'!$B$15,Paramètres!$A$1:$I$89,3,0)*VLOOKUP('Données projet'!$B$15,Paramètres!$A$1:$I$89,5,0)</f>
        <v>3.3992364478763198E-14</v>
      </c>
      <c r="EL74" s="14">
        <f t="shared" si="99"/>
        <v>5.790027782444094E-13</v>
      </c>
      <c r="EM74" s="22">
        <f t="shared" si="73"/>
        <v>1.0676332069095257E-12</v>
      </c>
      <c r="EN74" s="62">
        <f t="shared" si="74"/>
        <v>266.87268107804903</v>
      </c>
      <c r="EO74" s="62">
        <f ca="1">AVERAGE(OFFSET($EN$3,0,0,'Données projet'!$E$15+1,1))-AVERAGE(OFFSET($H$3,0,0,'Données projet'!$E$15+1,1))</f>
        <v>223.57443551076992</v>
      </c>
      <c r="EP74" s="62">
        <f t="shared" si="100"/>
        <v>382.12751862619427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11.815889012125581</v>
      </c>
      <c r="EW74" s="23">
        <f>EXP(-LN(2)/25)*EW73+(1-EXP(-LN(2)/25))/(LN(2)/25)*Calculateur!ER74*Calculateur!ET74*VLOOKUP('Données projet'!$B$15,Paramètres!$A$1:$I$89,3,0)*0.475*44/12</f>
        <v>4.4535238748553381</v>
      </c>
      <c r="EX74" s="23">
        <f>EXP(-LN(2)/2)*EX73+(1-EXP(-LN(2)/2))/(LN(2)/2)*ER74*EU74*VLOOKUP('Données projet'!$B$15,Paramètres!$A$1:$I$89,3,0)*0.475*44/12</f>
        <v>6.8362845665298456E-6</v>
      </c>
      <c r="EY74" s="24">
        <f t="shared" si="75"/>
        <v>16.269419723265486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1.5783333333333318</v>
      </c>
      <c r="FE74" s="13">
        <f>IF('Données projet'!$A$218&gt;35,FE73+FD74-FM73,IF(A74&lt;'Données projet'!$A$218,$FB$205^A74,IF(A74='Données projet'!$A$218,'Données projet'!$B$218,FE73+FD74-FM73)))</f>
        <v>85.940833333333273</v>
      </c>
      <c r="FF74" s="18">
        <f>FE74*VLOOKUP('Données projet'!$B$16,Paramètres!$A$1:$I$89,3,0)*VLOOKUP('Données projet'!$B$16,Paramètres!$A$1:$I$89,5,0)</f>
        <v>99.003839999999926</v>
      </c>
      <c r="FG74" s="14">
        <f t="shared" si="101"/>
        <v>26.724538061641486</v>
      </c>
      <c r="FH74" s="22">
        <f t="shared" si="76"/>
        <v>218.97692512402543</v>
      </c>
      <c r="FI74" s="62">
        <f t="shared" si="77"/>
        <v>485.84960620207335</v>
      </c>
      <c r="FJ74" s="62">
        <f ca="1">AVERAGE(OFFSET($FI$3,0,0,'Données projet'!$E$16+1,1))-AVERAGE(OFFSET($H$3,0,0,'Données projet'!$E$16+1,1))</f>
        <v>283.95543623515323</v>
      </c>
      <c r="FK74" s="62">
        <f t="shared" si="102"/>
        <v>196.96883829830929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5.6843418860808015E-14</v>
      </c>
      <c r="GA74" s="18">
        <f>FZ74*VLOOKUP('Données projet'!$B$17,Paramètres!$A$1:$I$89,3,0)*VLOOKUP('Données projet'!$B$17,Paramètres!$A$1:$I$89,5,0)</f>
        <v>3.3992364478763198E-14</v>
      </c>
      <c r="GB74" s="14">
        <f t="shared" si="103"/>
        <v>5.790027782444094E-13</v>
      </c>
      <c r="GC74" s="22">
        <f t="shared" si="79"/>
        <v>1.0676332069095257E-12</v>
      </c>
      <c r="GD74" s="62">
        <f t="shared" si="80"/>
        <v>266.87268107804903</v>
      </c>
      <c r="GE74" s="62">
        <f ca="1">AVERAGE(OFFSET($GD$3,0,0,'Données projet'!$E$17+1,1))-AVERAGE(OFFSET($H$3,0,0,'Données projet'!$E$17+1,1))</f>
        <v>223.57443551076992</v>
      </c>
      <c r="GF74" s="62">
        <f t="shared" si="104"/>
        <v>382.12751862619427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11.815889012125581</v>
      </c>
      <c r="GM74" s="23">
        <f>EXP(-LN(2)/25)*GM73+(1-EXP(-LN(2)/25))/(LN(2)/25)*Calculateur!GH74*Calculateur!GJ74*VLOOKUP('Données projet'!$B$17,Paramètres!$A$1:$I$89,3,0)*0.475*44/12</f>
        <v>4.4535238748553381</v>
      </c>
      <c r="GN74" s="23">
        <f>EXP(-LN(2)/2)*GN73+(1-EXP(-LN(2)/2))/(LN(2)/2)*GH74*GK74*VLOOKUP('Données projet'!$B$17,Paramètres!$A$1:$I$89,3,0)*0.475*44/12</f>
        <v>6.8362845665298456E-6</v>
      </c>
      <c r="GO74" s="23">
        <f t="shared" si="81"/>
        <v>16.269419723265486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6.3957954686202676</v>
      </c>
      <c r="GU74" s="13">
        <f>IF('Données projet'!$A$270&gt;35,GU73+GT74-HC73,IF(A74&lt;'Données projet'!$A$270,$GR$205^A74,IF(A74='Données projet'!$A$270,'Données projet'!$B$270,GU73+GT74-HC73)))</f>
        <v>212.72826613460302</v>
      </c>
      <c r="GV74" s="18">
        <f>GU74*VLOOKUP('Données projet'!$B$18,Paramètres!$A$1:$I$89,3,0)*VLOOKUP('Données projet'!$B$18,Paramètres!$A$1:$I$89,5,0)</f>
        <v>232.29926661898648</v>
      </c>
      <c r="GW74" s="14">
        <f t="shared" si="105"/>
        <v>56.779548549366709</v>
      </c>
      <c r="GX74" s="22">
        <f t="shared" si="82"/>
        <v>503.47893641821503</v>
      </c>
      <c r="GY74" s="62">
        <f t="shared" si="83"/>
        <v>770.35161749626297</v>
      </c>
      <c r="GZ74" s="62">
        <f ca="1">AVERAGE(OFFSET($GY$3,0,0,'Données projet'!$E$18+1,1))-AVERAGE(OFFSET($H$3,0,0,'Données projet'!$E$18+1,1))</f>
        <v>754.33260592777049</v>
      </c>
      <c r="HA74" s="62">
        <f t="shared" si="106"/>
        <v>250.97643915279005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9">
        <f t="shared" si="56"/>
        <v>183.33333333333334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886.40238823459413</v>
      </c>
      <c r="S75" s="62">
        <f ca="1">AVERAGE(OFFSET($R$3,0,0,'Données projet'!$E$9+1,1))-AVERAGE(OFFSET($H$3,0,0,'Données projet'!$E$9+1,1))</f>
        <v>550.39292625253665</v>
      </c>
      <c r="T75" s="62">
        <f t="shared" si="88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317.2</v>
      </c>
      <c r="AJ75" s="14">
        <f>AI75*VLOOKUP('Données projet'!$B$10,Paramètres!$A$1:$I$89,3,0)*VLOOKUP('Données projet'!$B$10,Paramètres!$A$1:$I$89,5,0)</f>
        <v>321.64080000000001</v>
      </c>
      <c r="AK75" s="14">
        <f t="shared" si="89"/>
        <v>75.694652325793228</v>
      </c>
      <c r="AL75" s="22">
        <f t="shared" si="58"/>
        <v>692.0259128007566</v>
      </c>
      <c r="AM75" s="62">
        <f t="shared" si="59"/>
        <v>959.35762703827777</v>
      </c>
      <c r="AN75" s="62">
        <f ca="1">AVERAGE(OFFSET($AM$3,0,0,'Données projet'!$E$10+1,1))-AVERAGE(OFFSET($H$3,0,0,'Données projet'!$E$10+1,1))</f>
        <v>606.55142836375308</v>
      </c>
      <c r="AO75" s="62">
        <f t="shared" si="90"/>
        <v>325.72635759450861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5.2564102564102537</v>
      </c>
      <c r="BD75" s="13">
        <f>IF('Données projet'!$A$88&gt;35,BD74+BC75-BL74,IF(A75&lt;'Données projet'!$A$88,$BA$205^A75,IF(A75='Données projet'!$A$88,'Données projet'!$B$88,BD74+BC75-BL74)))</f>
        <v>315.64102564102581</v>
      </c>
      <c r="BE75" s="14">
        <f>BD75*VLOOKUP('Données projet'!$B$11,Paramètres!$A$1:$I$89,3,0)*VLOOKUP('Données projet'!$B$11,Paramètres!$A$1:$I$89,5,0)</f>
        <v>329.90800000000019</v>
      </c>
      <c r="BF75" s="14">
        <f t="shared" si="91"/>
        <v>77.411232915074876</v>
      </c>
      <c r="BG75" s="22">
        <f t="shared" si="61"/>
        <v>709.41433066042237</v>
      </c>
      <c r="BH75" s="62">
        <f t="shared" si="62"/>
        <v>976.74604489794342</v>
      </c>
      <c r="BI75" s="62">
        <f ca="1">AVERAGE(OFFSET($BH$3,0,0,'Données projet'!$E$11+1,1))-AVERAGE(OFFSET($H$3,0,0,'Données projet'!$E$11+1,1))</f>
        <v>635.13577238794812</v>
      </c>
      <c r="BJ75" s="62">
        <f t="shared" si="92"/>
        <v>374.35810525172019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13</v>
      </c>
      <c r="BY75" s="13">
        <f>IF('Données projet'!$A$114&gt;35,BY74+BX75-CG74,IF(A75&lt;'Données projet'!$A$114,$BV$205^A75,IF(A75='Données projet'!$A$114,'Données projet'!$B$114,BY74+BX75-CG74)))</f>
        <v>962.99999999999955</v>
      </c>
      <c r="BZ75" s="14">
        <f>BY75*VLOOKUP('Données projet'!$B$12,Paramètres!$A$1:$I$89,3,0)*VLOOKUP('Données projet'!$B$12,Paramètres!$A$1:$I$89,5,0)</f>
        <v>425.64599999999979</v>
      </c>
      <c r="CA75" s="14">
        <f t="shared" si="93"/>
        <v>96.957044669242961</v>
      </c>
      <c r="CB75" s="22">
        <f t="shared" si="64"/>
        <v>910.20030279893115</v>
      </c>
      <c r="CC75" s="62">
        <f t="shared" si="65"/>
        <v>1177.5320170364523</v>
      </c>
      <c r="CD75" s="62">
        <f ca="1">AVERAGE(OFFSET($CC$3,0,0,'Données projet'!$E$12+1,1))-AVERAGE(OFFSET($H$3,0,0,'Données projet'!$E$12+1,1))</f>
        <v>580.02817743695846</v>
      </c>
      <c r="CE75" s="62">
        <f t="shared" si="94"/>
        <v>551.23515633208865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10.314743589743586</v>
      </c>
      <c r="CT75" s="13">
        <f>IF('Données projet'!$A$140&gt;35,CT74+CS75-DB74,IF(A75&lt;'Données projet'!$A$140,$CQ$205^A75,IF(A75='Données projet'!$A$140,'Données projet'!$B$140,CT74+CS75-DB74)))</f>
        <v>347.81602564102559</v>
      </c>
      <c r="CU75" s="18">
        <f>CT75*VLOOKUP('Données projet'!$B$13,Paramètres!$A$1:$I$89,3,0)*VLOOKUP('Données projet'!$B$13,Paramètres!$A$1:$I$89,5,0)</f>
        <v>162.77789999999996</v>
      </c>
      <c r="CV75" s="14">
        <f t="shared" si="95"/>
        <v>41.468449441443077</v>
      </c>
      <c r="CW75" s="22">
        <f t="shared" si="67"/>
        <v>355.72905861051328</v>
      </c>
      <c r="CX75" s="62">
        <f t="shared" si="68"/>
        <v>623.06077284803439</v>
      </c>
      <c r="CY75" s="62">
        <f ca="1">AVERAGE(OFFSET($CX$3,0,0,'Données projet'!$E$13+1,1))-AVERAGE(OFFSET($H$3,0,0,'Données projet'!$E$13+1,1))</f>
        <v>321.05795935196863</v>
      </c>
      <c r="CZ75" s="62">
        <f t="shared" si="96"/>
        <v>209.59551322748908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317.2</v>
      </c>
      <c r="DP75" s="18">
        <f>DO75*VLOOKUP('Données projet'!$B$14,Paramètres!$A$1:$I$89,3,0)*VLOOKUP('Données projet'!$B$14,Paramètres!$A$1:$I$89,5,0)</f>
        <v>341.43407999999994</v>
      </c>
      <c r="DQ75" s="14">
        <f t="shared" si="97"/>
        <v>79.796163809870151</v>
      </c>
      <c r="DR75" s="22">
        <f t="shared" si="70"/>
        <v>733.64267463552369</v>
      </c>
      <c r="DS75" s="62">
        <f t="shared" si="71"/>
        <v>1000.9743888730447</v>
      </c>
      <c r="DT75" s="62">
        <f ca="1">AVERAGE(OFFSET($DS$3,0,0,'Données projet'!$E$14+1,1))-AVERAGE(OFFSET($H$3,0,0,'Données projet'!$E$14+1,1))</f>
        <v>638.58602907610805</v>
      </c>
      <c r="DU75" s="62">
        <f t="shared" si="98"/>
        <v>341.9250949809848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5.6843418860808015E-14</v>
      </c>
      <c r="EK75" s="18">
        <f>EJ75*VLOOKUP('Données projet'!$B$15,Paramètres!$A$1:$I$89,3,0)*VLOOKUP('Données projet'!$B$15,Paramètres!$A$1:$I$89,5,0)</f>
        <v>3.3992364478763198E-14</v>
      </c>
      <c r="EL75" s="14">
        <f t="shared" si="99"/>
        <v>5.790027782444094E-13</v>
      </c>
      <c r="EM75" s="22">
        <f t="shared" si="73"/>
        <v>1.0676332069095257E-12</v>
      </c>
      <c r="EN75" s="62">
        <f t="shared" si="74"/>
        <v>267.33171423752219</v>
      </c>
      <c r="EO75" s="62">
        <f ca="1">AVERAGE(OFFSET($EN$3,0,0,'Données projet'!$E$15+1,1))-AVERAGE(OFFSET($H$3,0,0,'Données projet'!$E$15+1,1))</f>
        <v>223.57443551076992</v>
      </c>
      <c r="EP75" s="62">
        <f t="shared" si="100"/>
        <v>382.12751862619427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11.584186635578465</v>
      </c>
      <c r="EW75" s="23">
        <f>EXP(-LN(2)/25)*EW74+(1-EXP(-LN(2)/25))/(LN(2)/25)*Calculateur!ER75*Calculateur!ET75*VLOOKUP('Données projet'!$B$15,Paramètres!$A$1:$I$89,3,0)*0.475*44/12</f>
        <v>4.3317420302967768</v>
      </c>
      <c r="EX75" s="23">
        <f>EXP(-LN(2)/2)*EX74+(1-EXP(-LN(2)/2))/(LN(2)/2)*ER75*EU75*VLOOKUP('Données projet'!$B$15,Paramètres!$A$1:$I$89,3,0)*0.475*44/12</f>
        <v>4.8339831751141913E-6</v>
      </c>
      <c r="EY75" s="24">
        <f t="shared" si="75"/>
        <v>15.915933499858417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1.5783333333333318</v>
      </c>
      <c r="FE75" s="13">
        <f>IF('Données projet'!$A$218&gt;35,FE74+FD75-FM74,IF(A75&lt;'Données projet'!$A$218,$FB$205^A75,IF(A75='Données projet'!$A$218,'Données projet'!$B$218,FE74+FD75-FM74)))</f>
        <v>87.519166666666607</v>
      </c>
      <c r="FF75" s="18">
        <f>FE75*VLOOKUP('Données projet'!$B$16,Paramètres!$A$1:$I$89,3,0)*VLOOKUP('Données projet'!$B$16,Paramètres!$A$1:$I$89,5,0)</f>
        <v>100.82207999999993</v>
      </c>
      <c r="FG75" s="14">
        <f t="shared" si="101"/>
        <v>27.157753353396636</v>
      </c>
      <c r="FH75" s="22">
        <f t="shared" si="76"/>
        <v>222.89820975716569</v>
      </c>
      <c r="FI75" s="62">
        <f t="shared" si="77"/>
        <v>490.22992399468683</v>
      </c>
      <c r="FJ75" s="62">
        <f ca="1">AVERAGE(OFFSET($FI$3,0,0,'Données projet'!$E$16+1,1))-AVERAGE(OFFSET($H$3,0,0,'Données projet'!$E$16+1,1))</f>
        <v>283.95543623515323</v>
      </c>
      <c r="FK75" s="62">
        <f t="shared" si="102"/>
        <v>196.96883829830929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5.6843418860808015E-14</v>
      </c>
      <c r="GA75" s="18">
        <f>FZ75*VLOOKUP('Données projet'!$B$17,Paramètres!$A$1:$I$89,3,0)*VLOOKUP('Données projet'!$B$17,Paramètres!$A$1:$I$89,5,0)</f>
        <v>3.3992364478763198E-14</v>
      </c>
      <c r="GB75" s="14">
        <f t="shared" si="103"/>
        <v>5.790027782444094E-13</v>
      </c>
      <c r="GC75" s="22">
        <f t="shared" si="79"/>
        <v>1.0676332069095257E-12</v>
      </c>
      <c r="GD75" s="62">
        <f t="shared" si="80"/>
        <v>267.33171423752219</v>
      </c>
      <c r="GE75" s="62">
        <f ca="1">AVERAGE(OFFSET($GD$3,0,0,'Données projet'!$E$17+1,1))-AVERAGE(OFFSET($H$3,0,0,'Données projet'!$E$17+1,1))</f>
        <v>223.57443551076992</v>
      </c>
      <c r="GF75" s="62">
        <f t="shared" si="104"/>
        <v>382.12751862619427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11.584186635578465</v>
      </c>
      <c r="GM75" s="23">
        <f>EXP(-LN(2)/25)*GM74+(1-EXP(-LN(2)/25))/(LN(2)/25)*Calculateur!GH75*Calculateur!GJ75*VLOOKUP('Données projet'!$B$17,Paramètres!$A$1:$I$89,3,0)*0.475*44/12</f>
        <v>4.3317420302967768</v>
      </c>
      <c r="GN75" s="23">
        <f>EXP(-LN(2)/2)*GN74+(1-EXP(-LN(2)/2))/(LN(2)/2)*GH75*GK75*VLOOKUP('Données projet'!$B$17,Paramètres!$A$1:$I$89,3,0)*0.475*44/12</f>
        <v>4.8339831751141913E-6</v>
      </c>
      <c r="GO75" s="23">
        <f t="shared" si="81"/>
        <v>15.915933499858417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6.3957954686202676</v>
      </c>
      <c r="GU75" s="13">
        <f>IF('Données projet'!$A$270&gt;35,GU74+GT75-HC74,IF(A75&lt;'Données projet'!$A$270,$GR$205^A75,IF(A75='Données projet'!$A$270,'Données projet'!$B$270,GU74+GT75-HC74)))</f>
        <v>219.12406160322328</v>
      </c>
      <c r="GV75" s="18">
        <f>GU75*VLOOKUP('Données projet'!$B$18,Paramètres!$A$1:$I$89,3,0)*VLOOKUP('Données projet'!$B$18,Paramètres!$A$1:$I$89,5,0)</f>
        <v>239.28347527071983</v>
      </c>
      <c r="GW75" s="14">
        <f t="shared" si="105"/>
        <v>58.285339879354161</v>
      </c>
      <c r="GX75" s="22">
        <f t="shared" si="82"/>
        <v>518.26568638637889</v>
      </c>
      <c r="GY75" s="62">
        <f t="shared" si="83"/>
        <v>785.59740062390006</v>
      </c>
      <c r="GZ75" s="62">
        <f ca="1">AVERAGE(OFFSET($GY$3,0,0,'Données projet'!$E$18+1,1))-AVERAGE(OFFSET($H$3,0,0,'Données projet'!$E$18+1,1))</f>
        <v>754.33260592777049</v>
      </c>
      <c r="HA75" s="62">
        <f t="shared" si="106"/>
        <v>250.97643915279005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9">
        <f t="shared" si="56"/>
        <v>183.33333333333334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901.35022553028512</v>
      </c>
      <c r="S76" s="62">
        <f ca="1">AVERAGE(OFFSET($R$3,0,0,'Données projet'!$E$9+1,1))-AVERAGE(OFFSET($H$3,0,0,'Données projet'!$E$9+1,1))</f>
        <v>550.39292625253665</v>
      </c>
      <c r="T76" s="62">
        <f t="shared" si="88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324.8</v>
      </c>
      <c r="AJ76" s="14">
        <f>AI76*VLOOKUP('Données projet'!$B$10,Paramètres!$A$1:$I$89,3,0)*VLOOKUP('Données projet'!$B$10,Paramètres!$A$1:$I$89,5,0)</f>
        <v>329.34720000000004</v>
      </c>
      <c r="AK76" s="14">
        <f t="shared" si="89"/>
        <v>77.294949483241496</v>
      </c>
      <c r="AL76" s="22">
        <f t="shared" si="58"/>
        <v>708.23507701664573</v>
      </c>
      <c r="AM76" s="62">
        <f t="shared" si="59"/>
        <v>976.01786121456757</v>
      </c>
      <c r="AN76" s="62">
        <f ca="1">AVERAGE(OFFSET($AM$3,0,0,'Données projet'!$E$10+1,1))-AVERAGE(OFFSET($H$3,0,0,'Données projet'!$E$10+1,1))</f>
        <v>606.55142836375308</v>
      </c>
      <c r="AO76" s="62">
        <f t="shared" si="90"/>
        <v>325.72635759450861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5.2564102564102537</v>
      </c>
      <c r="BD76" s="13">
        <f>IF('Données projet'!$A$88&gt;35,BD75+BC76-BL75,IF(A76&lt;'Données projet'!$A$88,$BA$205^A76,IF(A76='Données projet'!$A$88,'Données projet'!$B$88,BD75+BC76-BL75)))</f>
        <v>320.89743589743608</v>
      </c>
      <c r="BE76" s="14">
        <f>BD76*VLOOKUP('Données projet'!$B$11,Paramètres!$A$1:$I$89,3,0)*VLOOKUP('Données projet'!$B$11,Paramètres!$A$1:$I$89,5,0)</f>
        <v>335.40200000000021</v>
      </c>
      <c r="BF76" s="14">
        <f t="shared" si="91"/>
        <v>78.549219023295535</v>
      </c>
      <c r="BG76" s="22">
        <f t="shared" si="61"/>
        <v>720.96503979890667</v>
      </c>
      <c r="BH76" s="62">
        <f t="shared" si="62"/>
        <v>988.7478239968284</v>
      </c>
      <c r="BI76" s="62">
        <f ca="1">AVERAGE(OFFSET($BH$3,0,0,'Données projet'!$E$11+1,1))-AVERAGE(OFFSET($H$3,0,0,'Données projet'!$E$11+1,1))</f>
        <v>635.13577238794812</v>
      </c>
      <c r="BJ76" s="62">
        <f t="shared" si="92"/>
        <v>374.35810525172019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13</v>
      </c>
      <c r="BY76" s="13">
        <f>IF('Données projet'!$A$114&gt;35,BY75+BX76-CG75,IF(A76&lt;'Données projet'!$A$114,$BV$205^A76,IF(A76='Données projet'!$A$114,'Données projet'!$B$114,BY75+BX76-CG75)))</f>
        <v>975.99999999999955</v>
      </c>
      <c r="BZ76" s="14">
        <f>BY76*VLOOKUP('Données projet'!$B$12,Paramètres!$A$1:$I$89,3,0)*VLOOKUP('Données projet'!$B$12,Paramètres!$A$1:$I$89,5,0)</f>
        <v>431.39199999999983</v>
      </c>
      <c r="CA76" s="14">
        <f t="shared" si="93"/>
        <v>98.11265788245926</v>
      </c>
      <c r="CB76" s="22">
        <f t="shared" si="64"/>
        <v>922.2206124786162</v>
      </c>
      <c r="CC76" s="62">
        <f t="shared" si="65"/>
        <v>1190.0033966765379</v>
      </c>
      <c r="CD76" s="62">
        <f ca="1">AVERAGE(OFFSET($CC$3,0,0,'Données projet'!$E$12+1,1))-AVERAGE(OFFSET($H$3,0,0,'Données projet'!$E$12+1,1))</f>
        <v>580.02817743695846</v>
      </c>
      <c r="CE76" s="62">
        <f t="shared" si="94"/>
        <v>551.23515633208865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>
        <f>VLOOKUP(A76,'Données projet'!$A$139:$I$159,2,0)</f>
        <v>358.1307692307692</v>
      </c>
      <c r="CR76" s="13">
        <f>VLOOKUP(A76,'Données projet'!$A$139:$I$159,9,0)</f>
        <v>10.314743589743586</v>
      </c>
      <c r="CS76" s="13">
        <f t="array" ref="CS76">INDEX(CR:CR,MIN(IF(ISNUMBER(CR76:CR272),ROW(CR76:CR272),"")))</f>
        <v>10.314743589743586</v>
      </c>
      <c r="CT76" s="13">
        <f>IF('Données projet'!$A$140&gt;35,CT75+CS76-DB75,IF(A76&lt;'Données projet'!$A$140,$CQ$205^A76,IF(A76='Données projet'!$A$140,'Données projet'!$B$140,CT75+CS76-DB75)))</f>
        <v>358.13076923076915</v>
      </c>
      <c r="CU76" s="18">
        <f>CT76*VLOOKUP('Données projet'!$B$13,Paramètres!$A$1:$I$89,3,0)*VLOOKUP('Données projet'!$B$13,Paramètres!$A$1:$I$89,5,0)</f>
        <v>167.60519999999997</v>
      </c>
      <c r="CV76" s="14">
        <f t="shared" si="95"/>
        <v>42.553225987206702</v>
      </c>
      <c r="CW76" s="22">
        <f t="shared" si="67"/>
        <v>366.02592526105167</v>
      </c>
      <c r="CX76" s="62">
        <f t="shared" si="68"/>
        <v>633.80870945897345</v>
      </c>
      <c r="CY76" s="62">
        <f ca="1">AVERAGE(OFFSET($CX$3,0,0,'Données projet'!$E$13+1,1))-AVERAGE(OFFSET($H$3,0,0,'Données projet'!$E$13+1,1))</f>
        <v>321.05795935196863</v>
      </c>
      <c r="CZ76" s="62">
        <f t="shared" si="96"/>
        <v>209.59551322748908</v>
      </c>
      <c r="DA76" s="16">
        <f>IF(ISNA(VLOOKUP(A76,'Données projet'!$A$139:$I$159,3,0)),0,VLOOKUP(A76,'Données projet'!$A$139:$I$159,3,0))</f>
        <v>3</v>
      </c>
      <c r="DB76" s="16">
        <f>IF(ISNA(VLOOKUP(A76,'Données projet'!$A$139:$I$159,4,0)),0,VLOOKUP(A76,'Données projet'!$A$139:$I$159,4,0))</f>
        <v>93.584615384615361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324.8</v>
      </c>
      <c r="DP76" s="18">
        <f>DO76*VLOOKUP('Données projet'!$B$14,Paramètres!$A$1:$I$89,3,0)*VLOOKUP('Données projet'!$B$14,Paramètres!$A$1:$I$89,5,0)</f>
        <v>349.61471999999998</v>
      </c>
      <c r="DQ76" s="14">
        <f t="shared" si="97"/>
        <v>81.48317300003859</v>
      </c>
      <c r="DR76" s="22">
        <f t="shared" si="70"/>
        <v>750.82883030840048</v>
      </c>
      <c r="DS76" s="62">
        <f t="shared" si="71"/>
        <v>1018.6116145063222</v>
      </c>
      <c r="DT76" s="62">
        <f ca="1">AVERAGE(OFFSET($DS$3,0,0,'Données projet'!$E$14+1,1))-AVERAGE(OFFSET($H$3,0,0,'Données projet'!$E$14+1,1))</f>
        <v>638.58602907610805</v>
      </c>
      <c r="DU76" s="62">
        <f t="shared" si="98"/>
        <v>341.9250949809848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5.6843418860808015E-14</v>
      </c>
      <c r="EK76" s="18">
        <f>EJ76*VLOOKUP('Données projet'!$B$15,Paramètres!$A$1:$I$89,3,0)*VLOOKUP('Données projet'!$B$15,Paramètres!$A$1:$I$89,5,0)</f>
        <v>3.3992364478763198E-14</v>
      </c>
      <c r="EL76" s="14">
        <f t="shared" si="99"/>
        <v>5.790027782444094E-13</v>
      </c>
      <c r="EM76" s="22">
        <f t="shared" si="73"/>
        <v>1.0676332069095257E-12</v>
      </c>
      <c r="EN76" s="62">
        <f t="shared" si="74"/>
        <v>267.78278419792287</v>
      </c>
      <c r="EO76" s="62">
        <f ca="1">AVERAGE(OFFSET($EN$3,0,0,'Données projet'!$E$15+1,1))-AVERAGE(OFFSET($H$3,0,0,'Données projet'!$E$15+1,1))</f>
        <v>223.57443551076992</v>
      </c>
      <c r="EP76" s="62">
        <f t="shared" si="100"/>
        <v>382.12751862619427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11.357027801310943</v>
      </c>
      <c r="EW76" s="23">
        <f>EXP(-LN(2)/25)*EW75+(1-EXP(-LN(2)/25))/(LN(2)/25)*Calculateur!ER76*Calculateur!ET76*VLOOKUP('Données projet'!$B$15,Paramètres!$A$1:$I$89,3,0)*0.475*44/12</f>
        <v>4.2132903166818982</v>
      </c>
      <c r="EX76" s="23">
        <f>EXP(-LN(2)/2)*EX75+(1-EXP(-LN(2)/2))/(LN(2)/2)*ER76*EU76*VLOOKUP('Données projet'!$B$15,Paramètres!$A$1:$I$89,3,0)*0.475*44/12</f>
        <v>3.4181422832649228E-6</v>
      </c>
      <c r="EY76" s="24">
        <f t="shared" si="75"/>
        <v>15.570321536135124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1.5783333333333318</v>
      </c>
      <c r="FE76" s="13">
        <f>IF('Données projet'!$A$218&gt;35,FE75+FD76-FM75,IF(A76&lt;'Données projet'!$A$218,$FB$205^A76,IF(A76='Données projet'!$A$218,'Données projet'!$B$218,FE75+FD76-FM75)))</f>
        <v>89.09749999999994</v>
      </c>
      <c r="FF76" s="18">
        <f>FE76*VLOOKUP('Données projet'!$B$16,Paramètres!$A$1:$I$89,3,0)*VLOOKUP('Données projet'!$B$16,Paramètres!$A$1:$I$89,5,0)</f>
        <v>102.64031999999992</v>
      </c>
      <c r="FG76" s="14">
        <f t="shared" si="101"/>
        <v>27.590060152433722</v>
      </c>
      <c r="FH76" s="22">
        <f t="shared" si="76"/>
        <v>226.81791209882192</v>
      </c>
      <c r="FI76" s="62">
        <f t="shared" si="77"/>
        <v>494.60069629674371</v>
      </c>
      <c r="FJ76" s="62">
        <f ca="1">AVERAGE(OFFSET($FI$3,0,0,'Données projet'!$E$16+1,1))-AVERAGE(OFFSET($H$3,0,0,'Données projet'!$E$16+1,1))</f>
        <v>283.95543623515323</v>
      </c>
      <c r="FK76" s="62">
        <f t="shared" si="102"/>
        <v>196.96883829830929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5.6843418860808015E-14</v>
      </c>
      <c r="GA76" s="18">
        <f>FZ76*VLOOKUP('Données projet'!$B$17,Paramètres!$A$1:$I$89,3,0)*VLOOKUP('Données projet'!$B$17,Paramètres!$A$1:$I$89,5,0)</f>
        <v>3.3992364478763198E-14</v>
      </c>
      <c r="GB76" s="14">
        <f t="shared" si="103"/>
        <v>5.790027782444094E-13</v>
      </c>
      <c r="GC76" s="22">
        <f t="shared" si="79"/>
        <v>1.0676332069095257E-12</v>
      </c>
      <c r="GD76" s="62">
        <f t="shared" si="80"/>
        <v>267.78278419792287</v>
      </c>
      <c r="GE76" s="62">
        <f ca="1">AVERAGE(OFFSET($GD$3,0,0,'Données projet'!$E$17+1,1))-AVERAGE(OFFSET($H$3,0,0,'Données projet'!$E$17+1,1))</f>
        <v>223.57443551076992</v>
      </c>
      <c r="GF76" s="62">
        <f t="shared" si="104"/>
        <v>382.12751862619427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11.357027801310943</v>
      </c>
      <c r="GM76" s="23">
        <f>EXP(-LN(2)/25)*GM75+(1-EXP(-LN(2)/25))/(LN(2)/25)*Calculateur!GH76*Calculateur!GJ76*VLOOKUP('Données projet'!$B$17,Paramètres!$A$1:$I$89,3,0)*0.475*44/12</f>
        <v>4.2132903166818982</v>
      </c>
      <c r="GN76" s="23">
        <f>EXP(-LN(2)/2)*GN75+(1-EXP(-LN(2)/2))/(LN(2)/2)*GH76*GK76*VLOOKUP('Données projet'!$B$17,Paramètres!$A$1:$I$89,3,0)*0.475*44/12</f>
        <v>3.4181422832649228E-6</v>
      </c>
      <c r="GO76" s="23">
        <f t="shared" si="81"/>
        <v>15.570321536135124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6.3957954686202676</v>
      </c>
      <c r="GU76" s="13">
        <f>IF('Données projet'!$A$270&gt;35,GU75+GT76-HC75,IF(A76&lt;'Données projet'!$A$270,$GR$205^A76,IF(A76='Données projet'!$A$270,'Données projet'!$B$270,GU75+GT76-HC75)))</f>
        <v>225.51985707184355</v>
      </c>
      <c r="GV76" s="18">
        <f>GU76*VLOOKUP('Données projet'!$B$18,Paramètres!$A$1:$I$89,3,0)*VLOOKUP('Données projet'!$B$18,Paramètres!$A$1:$I$89,5,0)</f>
        <v>246.26768392245313</v>
      </c>
      <c r="GW76" s="14">
        <f t="shared" si="105"/>
        <v>59.78602322112495</v>
      </c>
      <c r="GX76" s="22">
        <f t="shared" si="82"/>
        <v>533.04353994173186</v>
      </c>
      <c r="GY76" s="62">
        <f t="shared" si="83"/>
        <v>800.82632413965371</v>
      </c>
      <c r="GZ76" s="62">
        <f ca="1">AVERAGE(OFFSET($GY$3,0,0,'Données projet'!$E$18+1,1))-AVERAGE(OFFSET($H$3,0,0,'Données projet'!$E$18+1,1))</f>
        <v>754.33260592777049</v>
      </c>
      <c r="HA76" s="62">
        <f t="shared" si="106"/>
        <v>250.97643915279005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9">
        <f t="shared" si="56"/>
        <v>183.33333333333334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916.28338223250705</v>
      </c>
      <c r="S77" s="62">
        <f ca="1">AVERAGE(OFFSET($R$3,0,0,'Données projet'!$E$9+1,1))-AVERAGE(OFFSET($H$3,0,0,'Données projet'!$E$9+1,1))</f>
        <v>550.39292625253665</v>
      </c>
      <c r="T77" s="62">
        <f t="shared" si="88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332.40000000000003</v>
      </c>
      <c r="AJ77" s="14">
        <f>AI77*VLOOKUP('Données projet'!$B$10,Paramètres!$A$1:$I$89,3,0)*VLOOKUP('Données projet'!$B$10,Paramètres!$A$1:$I$89,5,0)</f>
        <v>337.05360000000007</v>
      </c>
      <c r="AK77" s="14">
        <f t="shared" si="89"/>
        <v>78.890893509302231</v>
      </c>
      <c r="AL77" s="22">
        <f t="shared" si="58"/>
        <v>724.43665952870151</v>
      </c>
      <c r="AM77" s="62">
        <f t="shared" si="59"/>
        <v>992.66268863165237</v>
      </c>
      <c r="AN77" s="62">
        <f ca="1">AVERAGE(OFFSET($AM$3,0,0,'Données projet'!$E$10+1,1))-AVERAGE(OFFSET($H$3,0,0,'Données projet'!$E$10+1,1))</f>
        <v>606.55142836375308</v>
      </c>
      <c r="AO77" s="62">
        <f t="shared" si="90"/>
        <v>325.72635759450861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5.2564102564102537</v>
      </c>
      <c r="BD77" s="13">
        <f>IF('Données projet'!$A$88&gt;35,BD76+BC77-BL76,IF(A77&lt;'Données projet'!$A$88,$BA$205^A77,IF(A77='Données projet'!$A$88,'Données projet'!$B$88,BD76+BC77-BL76)))</f>
        <v>326.15384615384636</v>
      </c>
      <c r="BE77" s="14">
        <f>BD77*VLOOKUP('Données projet'!$B$11,Paramètres!$A$1:$I$89,3,0)*VLOOKUP('Données projet'!$B$11,Paramètres!$A$1:$I$89,5,0)</f>
        <v>340.89600000000024</v>
      </c>
      <c r="BF77" s="14">
        <f t="shared" si="91"/>
        <v>79.685037329983317</v>
      </c>
      <c r="BG77" s="22">
        <f t="shared" si="61"/>
        <v>732.51197334972142</v>
      </c>
      <c r="BH77" s="62">
        <f t="shared" si="62"/>
        <v>1000.7380024526723</v>
      </c>
      <c r="BI77" s="62">
        <f ca="1">AVERAGE(OFFSET($BH$3,0,0,'Données projet'!$E$11+1,1))-AVERAGE(OFFSET($H$3,0,0,'Données projet'!$E$11+1,1))</f>
        <v>635.13577238794812</v>
      </c>
      <c r="BJ77" s="62">
        <f t="shared" si="92"/>
        <v>374.35810525172019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13</v>
      </c>
      <c r="BY77" s="13">
        <f>IF('Données projet'!$A$114&gt;35,BY76+BX77-CG76,IF(A77&lt;'Données projet'!$A$114,$BV$205^A77,IF(A77='Données projet'!$A$114,'Données projet'!$B$114,BY76+BX77-CG76)))</f>
        <v>988.99999999999955</v>
      </c>
      <c r="BZ77" s="14">
        <f>BY77*VLOOKUP('Données projet'!$B$12,Paramètres!$A$1:$I$89,3,0)*VLOOKUP('Données projet'!$B$12,Paramètres!$A$1:$I$89,5,0)</f>
        <v>437.13799999999986</v>
      </c>
      <c r="CA77" s="14">
        <f t="shared" si="93"/>
        <v>99.266480753801616</v>
      </c>
      <c r="CB77" s="22">
        <f t="shared" si="64"/>
        <v>934.2378039795376</v>
      </c>
      <c r="CC77" s="62">
        <f t="shared" si="65"/>
        <v>1202.4638330824885</v>
      </c>
      <c r="CD77" s="62">
        <f ca="1">AVERAGE(OFFSET($CC$3,0,0,'Données projet'!$E$12+1,1))-AVERAGE(OFFSET($H$3,0,0,'Données projet'!$E$12+1,1))</f>
        <v>580.02817743695846</v>
      </c>
      <c r="CE77" s="62">
        <f t="shared" si="94"/>
        <v>551.23515633208865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9.52371794871795</v>
      </c>
      <c r="CT77" s="13">
        <f>IF('Données projet'!$A$140&gt;35,CT76+CS77-DB76,IF(A77&lt;'Données projet'!$A$140,$CQ$205^A77,IF(A77='Données projet'!$A$140,'Données projet'!$B$140,CT76+CS77-DB76)))</f>
        <v>274.06987179487174</v>
      </c>
      <c r="CU77" s="18">
        <f>CT77*VLOOKUP('Données projet'!$B$13,Paramètres!$A$1:$I$89,3,0)*VLOOKUP('Données projet'!$B$13,Paramètres!$A$1:$I$89,5,0)</f>
        <v>128.26469999999998</v>
      </c>
      <c r="CV77" s="14">
        <f t="shared" si="95"/>
        <v>33.595069382484645</v>
      </c>
      <c r="CW77" s="22">
        <f t="shared" si="67"/>
        <v>281.90576500782737</v>
      </c>
      <c r="CX77" s="62">
        <f t="shared" si="68"/>
        <v>550.13179411077817</v>
      </c>
      <c r="CY77" s="62">
        <f ca="1">AVERAGE(OFFSET($CX$3,0,0,'Données projet'!$E$13+1,1))-AVERAGE(OFFSET($H$3,0,0,'Données projet'!$E$13+1,1))</f>
        <v>321.05795935196863</v>
      </c>
      <c r="CZ77" s="62">
        <f t="shared" si="96"/>
        <v>209.59551322748908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332.40000000000003</v>
      </c>
      <c r="DP77" s="18">
        <f>DO77*VLOOKUP('Données projet'!$B$14,Paramètres!$A$1:$I$89,3,0)*VLOOKUP('Données projet'!$B$14,Paramètres!$A$1:$I$89,5,0)</f>
        <v>357.79536000000002</v>
      </c>
      <c r="DQ77" s="14">
        <f t="shared" si="97"/>
        <v>83.165593184582121</v>
      </c>
      <c r="DR77" s="22">
        <f t="shared" si="70"/>
        <v>768.0069934631473</v>
      </c>
      <c r="DS77" s="62">
        <f t="shared" si="71"/>
        <v>1036.233022566098</v>
      </c>
      <c r="DT77" s="62">
        <f ca="1">AVERAGE(OFFSET($DS$3,0,0,'Données projet'!$E$14+1,1))-AVERAGE(OFFSET($H$3,0,0,'Données projet'!$E$14+1,1))</f>
        <v>638.58602907610805</v>
      </c>
      <c r="DU77" s="62">
        <f t="shared" si="98"/>
        <v>341.9250949809848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5.6843418860808015E-14</v>
      </c>
      <c r="EK77" s="18">
        <f>EJ77*VLOOKUP('Données projet'!$B$15,Paramètres!$A$1:$I$89,3,0)*VLOOKUP('Données projet'!$B$15,Paramètres!$A$1:$I$89,5,0)</f>
        <v>3.3992364478763198E-14</v>
      </c>
      <c r="EL77" s="14">
        <f t="shared" si="99"/>
        <v>5.790027782444094E-13</v>
      </c>
      <c r="EM77" s="22">
        <f t="shared" si="73"/>
        <v>1.0676332069095257E-12</v>
      </c>
      <c r="EN77" s="62">
        <f t="shared" si="74"/>
        <v>268.22602910295194</v>
      </c>
      <c r="EO77" s="62">
        <f ca="1">AVERAGE(OFFSET($EN$3,0,0,'Données projet'!$E$15+1,1))-AVERAGE(OFFSET($H$3,0,0,'Données projet'!$E$15+1,1))</f>
        <v>223.57443551076992</v>
      </c>
      <c r="EP77" s="62">
        <f t="shared" si="100"/>
        <v>382.12751862619427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11.1343234132302</v>
      </c>
      <c r="EW77" s="23">
        <f>EXP(-LN(2)/25)*EW76+(1-EXP(-LN(2)/25))/(LN(2)/25)*Calculateur!ER77*Calculateur!ET77*VLOOKUP('Données projet'!$B$15,Paramètres!$A$1:$I$89,3,0)*0.475*44/12</f>
        <v>4.0980776714049236</v>
      </c>
      <c r="EX77" s="23">
        <f>EXP(-LN(2)/2)*EX76+(1-EXP(-LN(2)/2))/(LN(2)/2)*ER77*EU77*VLOOKUP('Données projet'!$B$15,Paramètres!$A$1:$I$89,3,0)*0.475*44/12</f>
        <v>2.4169915875570957E-6</v>
      </c>
      <c r="EY77" s="24">
        <f t="shared" si="75"/>
        <v>15.232403501626713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1.5783333333333318</v>
      </c>
      <c r="FE77" s="13">
        <f>IF('Données projet'!$A$218&gt;35,FE76+FD77-FM76,IF(A77&lt;'Données projet'!$A$218,$FB$205^A77,IF(A77='Données projet'!$A$218,'Données projet'!$B$218,FE76+FD77-FM76)))</f>
        <v>90.675833333333273</v>
      </c>
      <c r="FF77" s="18">
        <f>FE77*VLOOKUP('Données projet'!$B$16,Paramètres!$A$1:$I$89,3,0)*VLOOKUP('Données projet'!$B$16,Paramètres!$A$1:$I$89,5,0)</f>
        <v>104.45855999999993</v>
      </c>
      <c r="FG77" s="14">
        <f t="shared" si="101"/>
        <v>28.021476409089832</v>
      </c>
      <c r="FH77" s="22">
        <f t="shared" si="76"/>
        <v>230.736063412498</v>
      </c>
      <c r="FI77" s="62">
        <f t="shared" si="77"/>
        <v>498.96209251544883</v>
      </c>
      <c r="FJ77" s="62">
        <f ca="1">AVERAGE(OFFSET($FI$3,0,0,'Données projet'!$E$16+1,1))-AVERAGE(OFFSET($H$3,0,0,'Données projet'!$E$16+1,1))</f>
        <v>283.95543623515323</v>
      </c>
      <c r="FK77" s="62">
        <f t="shared" si="102"/>
        <v>196.96883829830929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5.6843418860808015E-14</v>
      </c>
      <c r="GA77" s="18">
        <f>FZ77*VLOOKUP('Données projet'!$B$17,Paramètres!$A$1:$I$89,3,0)*VLOOKUP('Données projet'!$B$17,Paramètres!$A$1:$I$89,5,0)</f>
        <v>3.3992364478763198E-14</v>
      </c>
      <c r="GB77" s="14">
        <f t="shared" si="103"/>
        <v>5.790027782444094E-13</v>
      </c>
      <c r="GC77" s="22">
        <f t="shared" si="79"/>
        <v>1.0676332069095257E-12</v>
      </c>
      <c r="GD77" s="62">
        <f t="shared" si="80"/>
        <v>268.22602910295194</v>
      </c>
      <c r="GE77" s="62">
        <f ca="1">AVERAGE(OFFSET($GD$3,0,0,'Données projet'!$E$17+1,1))-AVERAGE(OFFSET($H$3,0,0,'Données projet'!$E$17+1,1))</f>
        <v>223.57443551076992</v>
      </c>
      <c r="GF77" s="62">
        <f t="shared" si="104"/>
        <v>382.12751862619427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11.1343234132302</v>
      </c>
      <c r="GM77" s="23">
        <f>EXP(-LN(2)/25)*GM76+(1-EXP(-LN(2)/25))/(LN(2)/25)*Calculateur!GH77*Calculateur!GJ77*VLOOKUP('Données projet'!$B$17,Paramètres!$A$1:$I$89,3,0)*0.475*44/12</f>
        <v>4.0980776714049236</v>
      </c>
      <c r="GN77" s="23">
        <f>EXP(-LN(2)/2)*GN76+(1-EXP(-LN(2)/2))/(LN(2)/2)*GH77*GK77*VLOOKUP('Données projet'!$B$17,Paramètres!$A$1:$I$89,3,0)*0.475*44/12</f>
        <v>2.4169915875570957E-6</v>
      </c>
      <c r="GO77" s="23">
        <f t="shared" si="81"/>
        <v>15.232403501626713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6.3957954686202676</v>
      </c>
      <c r="GU77" s="13">
        <f>IF('Données projet'!$A$270&gt;35,GU76+GT77-HC76,IF(A77&lt;'Données projet'!$A$270,$GR$205^A77,IF(A77='Données projet'!$A$270,'Données projet'!$B$270,GU76+GT77-HC76)))</f>
        <v>231.91565254046381</v>
      </c>
      <c r="GV77" s="18">
        <f>GU77*VLOOKUP('Données projet'!$B$18,Paramètres!$A$1:$I$89,3,0)*VLOOKUP('Données projet'!$B$18,Paramètres!$A$1:$I$89,5,0)</f>
        <v>253.25189257418646</v>
      </c>
      <c r="GW77" s="14">
        <f t="shared" si="105"/>
        <v>61.281760077770386</v>
      </c>
      <c r="GX77" s="22">
        <f t="shared" si="82"/>
        <v>547.81277836882487</v>
      </c>
      <c r="GY77" s="62">
        <f t="shared" si="83"/>
        <v>816.03880747177573</v>
      </c>
      <c r="GZ77" s="62">
        <f ca="1">AVERAGE(OFFSET($GY$3,0,0,'Données projet'!$E$18+1,1))-AVERAGE(OFFSET($H$3,0,0,'Données projet'!$E$18+1,1))</f>
        <v>754.33260592777049</v>
      </c>
      <c r="HA77" s="62">
        <f t="shared" si="106"/>
        <v>250.97643915279005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9">
        <f t="shared" si="56"/>
        <v>183.33333333333334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931.20216887689412</v>
      </c>
      <c r="S78" s="62">
        <f ca="1">AVERAGE(OFFSET($R$3,0,0,'Données projet'!$E$9+1,1))-AVERAGE(OFFSET($H$3,0,0,'Données projet'!$E$9+1,1))</f>
        <v>550.39292625253665</v>
      </c>
      <c r="T78" s="62">
        <f t="shared" si="88"/>
        <v>297.32483725004136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340.00000000000006</v>
      </c>
      <c r="AJ78" s="14">
        <f>AI78*VLOOKUP('Données projet'!$B$10,Paramètres!$A$1:$I$89,3,0)*VLOOKUP('Données projet'!$B$10,Paramètres!$A$1:$I$89,5,0)</f>
        <v>344.7600000000001</v>
      </c>
      <c r="AK78" s="14">
        <f t="shared" si="89"/>
        <v>80.482595391170619</v>
      </c>
      <c r="AL78" s="22">
        <f t="shared" si="58"/>
        <v>740.63085363962227</v>
      </c>
      <c r="AM78" s="62">
        <f t="shared" si="59"/>
        <v>1009.292438339447</v>
      </c>
      <c r="AN78" s="62">
        <f ca="1">AVERAGE(OFFSET($AM$3,0,0,'Données projet'!$E$10+1,1))-AVERAGE(OFFSET($H$3,0,0,'Données projet'!$E$10+1,1))</f>
        <v>606.55142836375308</v>
      </c>
      <c r="AO78" s="62">
        <f t="shared" si="90"/>
        <v>325.72635759450861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331.41025641025641</v>
      </c>
      <c r="BB78" s="13">
        <f>VLOOKUP(A78,'Données projet'!$A$87:$I$107,9,0)</f>
        <v>5.2564102564102537</v>
      </c>
      <c r="BC78" s="13">
        <f t="array" ref="BC78">INDEX(BB:BB,MIN(IF(ISNUMBER(BB78:BB274),ROW(BB78:BB274),"")))</f>
        <v>5.2564102564102537</v>
      </c>
      <c r="BD78" s="13">
        <f>IF('Données projet'!$A$88&gt;35,BD77+BC78-BL77,IF(A78&lt;'Données projet'!$A$88,$BA$205^A78,IF(A78='Données projet'!$A$88,'Données projet'!$B$88,BD77+BC78-BL77)))</f>
        <v>331.41025641025664</v>
      </c>
      <c r="BE78" s="14">
        <f>BD78*VLOOKUP('Données projet'!$B$11,Paramètres!$A$1:$I$89,3,0)*VLOOKUP('Données projet'!$B$11,Paramètres!$A$1:$I$89,5,0)</f>
        <v>346.39000000000027</v>
      </c>
      <c r="BF78" s="14">
        <f t="shared" si="91"/>
        <v>80.818726805701303</v>
      </c>
      <c r="BG78" s="22">
        <f t="shared" si="61"/>
        <v>744.05519918659684</v>
      </c>
      <c r="BH78" s="62">
        <f t="shared" si="62"/>
        <v>1012.7167838864216</v>
      </c>
      <c r="BI78" s="62">
        <f ca="1">AVERAGE(OFFSET($BH$3,0,0,'Données projet'!$E$11+1,1))-AVERAGE(OFFSET($H$3,0,0,'Données projet'!$E$11+1,1))</f>
        <v>635.13577238794812</v>
      </c>
      <c r="BJ78" s="62">
        <f t="shared" si="92"/>
        <v>374.35810525172019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28.205128205128204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1002</v>
      </c>
      <c r="BW78" s="13">
        <f>VLOOKUP(A78,'Données projet'!$A$113:$I$133,9,0)</f>
        <v>13</v>
      </c>
      <c r="BX78" s="13">
        <f t="array" ref="BX78">INDEX(BW:BW,MIN(IF(ISNUMBER(BW78:BW274),ROW(BW78:BW274),"")))</f>
        <v>13</v>
      </c>
      <c r="BY78" s="13">
        <f>IF('Données projet'!$A$114&gt;35,BY77+BX78-CG77,IF(A78&lt;'Données projet'!$A$114,$BV$205^A78,IF(A78='Données projet'!$A$114,'Données projet'!$B$114,BY77+BX78-CG77)))</f>
        <v>1001.9999999999995</v>
      </c>
      <c r="BZ78" s="14">
        <f>BY78*VLOOKUP('Données projet'!$B$12,Paramètres!$A$1:$I$89,3,0)*VLOOKUP('Données projet'!$B$12,Paramètres!$A$1:$I$89,5,0)</f>
        <v>442.8839999999999</v>
      </c>
      <c r="CA78" s="14">
        <f t="shared" si="93"/>
        <v>100.41853953729056</v>
      </c>
      <c r="CB78" s="22">
        <f t="shared" si="64"/>
        <v>946.25192302744745</v>
      </c>
      <c r="CC78" s="62">
        <f t="shared" si="65"/>
        <v>1214.9135077272722</v>
      </c>
      <c r="CD78" s="62">
        <f ca="1">AVERAGE(OFFSET($CC$3,0,0,'Données projet'!$E$12+1,1))-AVERAGE(OFFSET($H$3,0,0,'Données projet'!$E$12+1,1))</f>
        <v>580.02817743695846</v>
      </c>
      <c r="CE78" s="62">
        <f t="shared" si="94"/>
        <v>551.23515633208865</v>
      </c>
      <c r="CF78" s="16">
        <f>IF(ISNA(VLOOKUP(A78,'Données projet'!$A$113:$I$133,3,0)),0,VLOOKUP(A78,'Données projet'!$A$113:$I$133,3,0))</f>
        <v>7</v>
      </c>
      <c r="CG78" s="16">
        <f>IF(ISNA(VLOOKUP(A78,'Données projet'!$A$113:$I$133,4,0)),0,VLOOKUP(A78,'Données projet'!$A$113:$I$133,4,0))</f>
        <v>33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9.52371794871795</v>
      </c>
      <c r="CT78" s="13">
        <f>IF('Données projet'!$A$140&gt;35,CT77+CS78-DB77,IF(A78&lt;'Données projet'!$A$140,$CQ$205^A78,IF(A78='Données projet'!$A$140,'Données projet'!$B$140,CT77+CS78-DB77)))</f>
        <v>283.59358974358969</v>
      </c>
      <c r="CU78" s="18">
        <f>CT78*VLOOKUP('Données projet'!$B$13,Paramètres!$A$1:$I$89,3,0)*VLOOKUP('Données projet'!$B$13,Paramètres!$A$1:$I$89,5,0)</f>
        <v>132.72179999999997</v>
      </c>
      <c r="CV78" s="14">
        <f t="shared" si="95"/>
        <v>34.624526937017947</v>
      </c>
      <c r="CW78" s="22">
        <f t="shared" si="67"/>
        <v>291.46151941530621</v>
      </c>
      <c r="CX78" s="62">
        <f t="shared" si="68"/>
        <v>560.12310411513101</v>
      </c>
      <c r="CY78" s="62">
        <f ca="1">AVERAGE(OFFSET($CX$3,0,0,'Données projet'!$E$13+1,1))-AVERAGE(OFFSET($H$3,0,0,'Données projet'!$E$13+1,1))</f>
        <v>321.05795935196863</v>
      </c>
      <c r="CZ78" s="62">
        <f t="shared" si="96"/>
        <v>209.59551322748908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340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340.00000000000006</v>
      </c>
      <c r="DP78" s="18">
        <f>DO78*VLOOKUP('Données projet'!$B$14,Paramètres!$A$1:$I$89,3,0)*VLOOKUP('Données projet'!$B$14,Paramètres!$A$1:$I$89,5,0)</f>
        <v>365.97600000000006</v>
      </c>
      <c r="DQ78" s="14">
        <f t="shared" si="97"/>
        <v>84.843541364532598</v>
      </c>
      <c r="DR78" s="22">
        <f t="shared" si="70"/>
        <v>785.17736787656111</v>
      </c>
      <c r="DS78" s="62">
        <f t="shared" si="71"/>
        <v>1053.838952576386</v>
      </c>
      <c r="DT78" s="62">
        <f ca="1">AVERAGE(OFFSET($DS$3,0,0,'Données projet'!$E$14+1,1))-AVERAGE(OFFSET($H$3,0,0,'Données projet'!$E$14+1,1))</f>
        <v>638.58602907610805</v>
      </c>
      <c r="DU78" s="62">
        <f t="shared" si="98"/>
        <v>341.9250949809848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56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5.6843418860808015E-14</v>
      </c>
      <c r="EK78" s="18">
        <f>EJ78*VLOOKUP('Données projet'!$B$15,Paramètres!$A$1:$I$89,3,0)*VLOOKUP('Données projet'!$B$15,Paramètres!$A$1:$I$89,5,0)</f>
        <v>3.3992364478763198E-14</v>
      </c>
      <c r="EL78" s="14">
        <f t="shared" si="99"/>
        <v>5.790027782444094E-13</v>
      </c>
      <c r="EM78" s="22">
        <f t="shared" si="73"/>
        <v>1.0676332069095257E-12</v>
      </c>
      <c r="EN78" s="62">
        <f t="shared" si="74"/>
        <v>268.66158469982588</v>
      </c>
      <c r="EO78" s="62">
        <f ca="1">AVERAGE(OFFSET($EN$3,0,0,'Données projet'!$E$15+1,1))-AVERAGE(OFFSET($H$3,0,0,'Données projet'!$E$15+1,1))</f>
        <v>223.57443551076992</v>
      </c>
      <c r="EP78" s="62">
        <f t="shared" si="100"/>
        <v>382.12751862619427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10.915986122363456</v>
      </c>
      <c r="EW78" s="23">
        <f>EXP(-LN(2)/25)*EW77+(1-EXP(-LN(2)/25))/(LN(2)/25)*Calculateur!ER78*Calculateur!ET78*VLOOKUP('Données projet'!$B$15,Paramètres!$A$1:$I$89,3,0)*0.475*44/12</f>
        <v>3.9860155219718174</v>
      </c>
      <c r="EX78" s="23">
        <f>EXP(-LN(2)/2)*EX77+(1-EXP(-LN(2)/2))/(LN(2)/2)*ER78*EU78*VLOOKUP('Données projet'!$B$15,Paramètres!$A$1:$I$89,3,0)*0.475*44/12</f>
        <v>1.7090711416324614E-6</v>
      </c>
      <c r="EY78" s="24">
        <f t="shared" si="75"/>
        <v>14.902003353406416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1.5783333333333318</v>
      </c>
      <c r="FE78" s="13">
        <f>IF('Données projet'!$A$218&gt;35,FE77+FD78-FM77,IF(A78&lt;'Données projet'!$A$218,$FB$205^A78,IF(A78='Données projet'!$A$218,'Données projet'!$B$218,FE77+FD78-FM77)))</f>
        <v>92.254166666666606</v>
      </c>
      <c r="FF78" s="18">
        <f>FE78*VLOOKUP('Données projet'!$B$16,Paramètres!$A$1:$I$89,3,0)*VLOOKUP('Données projet'!$B$16,Paramètres!$A$1:$I$89,5,0)</f>
        <v>106.27679999999992</v>
      </c>
      <c r="FG78" s="14">
        <f t="shared" si="101"/>
        <v>28.45201941300353</v>
      </c>
      <c r="FH78" s="22">
        <f t="shared" si="76"/>
        <v>234.65269381098105</v>
      </c>
      <c r="FI78" s="62">
        <f t="shared" si="77"/>
        <v>503.31427851080582</v>
      </c>
      <c r="FJ78" s="62">
        <f ca="1">AVERAGE(OFFSET($FI$3,0,0,'Données projet'!$E$16+1,1))-AVERAGE(OFFSET($H$3,0,0,'Données projet'!$E$16+1,1))</f>
        <v>283.95543623515323</v>
      </c>
      <c r="FK78" s="62">
        <f t="shared" si="102"/>
        <v>196.96883829830929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5.6843418860808015E-14</v>
      </c>
      <c r="GA78" s="18">
        <f>FZ78*VLOOKUP('Données projet'!$B$17,Paramètres!$A$1:$I$89,3,0)*VLOOKUP('Données projet'!$B$17,Paramètres!$A$1:$I$89,5,0)</f>
        <v>3.3992364478763198E-14</v>
      </c>
      <c r="GB78" s="14">
        <f t="shared" si="103"/>
        <v>5.790027782444094E-13</v>
      </c>
      <c r="GC78" s="22">
        <f t="shared" si="79"/>
        <v>1.0676332069095257E-12</v>
      </c>
      <c r="GD78" s="62">
        <f t="shared" si="80"/>
        <v>268.66158469982588</v>
      </c>
      <c r="GE78" s="62">
        <f ca="1">AVERAGE(OFFSET($GD$3,0,0,'Données projet'!$E$17+1,1))-AVERAGE(OFFSET($H$3,0,0,'Données projet'!$E$17+1,1))</f>
        <v>223.57443551076992</v>
      </c>
      <c r="GF78" s="62">
        <f t="shared" si="104"/>
        <v>382.12751862619427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10.915986122363456</v>
      </c>
      <c r="GM78" s="23">
        <f>EXP(-LN(2)/25)*GM77+(1-EXP(-LN(2)/25))/(LN(2)/25)*Calculateur!GH78*Calculateur!GJ78*VLOOKUP('Données projet'!$B$17,Paramètres!$A$1:$I$89,3,0)*0.475*44/12</f>
        <v>3.9860155219718174</v>
      </c>
      <c r="GN78" s="23">
        <f>EXP(-LN(2)/2)*GN77+(1-EXP(-LN(2)/2))/(LN(2)/2)*GH78*GK78*VLOOKUP('Données projet'!$B$17,Paramètres!$A$1:$I$89,3,0)*0.475*44/12</f>
        <v>1.7090711416324614E-6</v>
      </c>
      <c r="GO78" s="23">
        <f t="shared" si="81"/>
        <v>14.902003353406416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6.3957954686202676</v>
      </c>
      <c r="GU78" s="13">
        <f>IF('Données projet'!$A$270&gt;35,GU77+GT78-HC77,IF(A78&lt;'Données projet'!$A$270,$GR$205^A78,IF(A78='Données projet'!$A$270,'Données projet'!$B$270,GU77+GT78-HC77)))</f>
        <v>238.31144800908407</v>
      </c>
      <c r="GV78" s="18">
        <f>GU78*VLOOKUP('Données projet'!$B$18,Paramètres!$A$1:$I$89,3,0)*VLOOKUP('Données projet'!$B$18,Paramètres!$A$1:$I$89,5,0)</f>
        <v>260.23610122591981</v>
      </c>
      <c r="GW78" s="14">
        <f t="shared" si="105"/>
        <v>62.77270253754822</v>
      </c>
      <c r="GX78" s="22">
        <f t="shared" si="82"/>
        <v>562.57366655470685</v>
      </c>
      <c r="GY78" s="62">
        <f t="shared" si="83"/>
        <v>831.2352512545317</v>
      </c>
      <c r="GZ78" s="62">
        <f ca="1">AVERAGE(OFFSET($GY$3,0,0,'Données projet'!$E$18+1,1))-AVERAGE(OFFSET($H$3,0,0,'Données projet'!$E$18+1,1))</f>
        <v>754.33260592777049</v>
      </c>
      <c r="HA78" s="62">
        <f t="shared" si="106"/>
        <v>250.97643915279005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9">
        <f t="shared" si="56"/>
        <v>183.33333333333334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838.51161983006114</v>
      </c>
      <c r="S79" s="62">
        <f ca="1">AVERAGE(OFFSET($R$3,0,0,'Données projet'!$E$9+1,1))-AVERAGE(OFFSET($H$3,0,0,'Données projet'!$E$9+1,1))</f>
        <v>550.39292625253665</v>
      </c>
      <c r="T79" s="62">
        <f t="shared" si="88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295.27680000000004</v>
      </c>
      <c r="AK79" s="14">
        <f t="shared" si="89"/>
        <v>70.185386686980493</v>
      </c>
      <c r="AL79" s="22">
        <f t="shared" si="58"/>
        <v>636.51330847982445</v>
      </c>
      <c r="AM79" s="62">
        <f t="shared" si="59"/>
        <v>905.60289286067382</v>
      </c>
      <c r="AN79" s="62">
        <f ca="1">AVERAGE(OFFSET($AM$3,0,0,'Données projet'!$E$10+1,1))-AVERAGE(OFFSET($H$3,0,0,'Données projet'!$E$10+1,1))</f>
        <v>606.55142836375308</v>
      </c>
      <c r="AO79" s="62">
        <f t="shared" si="90"/>
        <v>325.72635759450861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</v>
      </c>
      <c r="BD79" s="13">
        <f>IF('Données projet'!$A$88&gt;35,BD78+BC79-BL78,IF(A79&lt;'Données projet'!$A$88,$BA$205^A79,IF(A79='Données projet'!$A$88,'Données projet'!$B$88,BD78+BC79-BL78)))</f>
        <v>308.2051282051284</v>
      </c>
      <c r="BE79" s="14">
        <f>BD79*VLOOKUP('Données projet'!$B$11,Paramètres!$A$1:$I$89,3,0)*VLOOKUP('Données projet'!$B$11,Paramètres!$A$1:$I$89,5,0)</f>
        <v>322.13600000000025</v>
      </c>
      <c r="BF79" s="14">
        <f t="shared" si="91"/>
        <v>75.797617773850888</v>
      </c>
      <c r="BG79" s="22">
        <f t="shared" si="61"/>
        <v>693.06771762279084</v>
      </c>
      <c r="BH79" s="62">
        <f t="shared" si="62"/>
        <v>962.15730200364032</v>
      </c>
      <c r="BI79" s="62">
        <f ca="1">AVERAGE(OFFSET($BH$3,0,0,'Données projet'!$E$11+1,1))-AVERAGE(OFFSET($H$3,0,0,'Données projet'!$E$11+1,1))</f>
        <v>635.13577238794812</v>
      </c>
      <c r="BJ79" s="62">
        <f t="shared" si="92"/>
        <v>374.35810525172019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9.8000000000000007</v>
      </c>
      <c r="BY79" s="13">
        <f>IF('Données projet'!$A$114&gt;35,BY78+BX79-CG78,IF(A79&lt;'Données projet'!$A$114,$BV$205^A79,IF(A79='Données projet'!$A$114,'Données projet'!$B$114,BY78+BX79-CG78)))</f>
        <v>978.7999999999995</v>
      </c>
      <c r="BZ79" s="14">
        <f>BY79*VLOOKUP('Données projet'!$B$12,Paramètres!$A$1:$I$89,3,0)*VLOOKUP('Données projet'!$B$12,Paramètres!$A$1:$I$89,5,0)</f>
        <v>432.62959999999981</v>
      </c>
      <c r="CA79" s="14">
        <f t="shared" si="93"/>
        <v>98.361323946430133</v>
      </c>
      <c r="CB79" s="22">
        <f t="shared" si="64"/>
        <v>924.80919254003209</v>
      </c>
      <c r="CC79" s="62">
        <f t="shared" si="65"/>
        <v>1193.8987769208816</v>
      </c>
      <c r="CD79" s="62">
        <f ca="1">AVERAGE(OFFSET($CC$3,0,0,'Données projet'!$E$12+1,1))-AVERAGE(OFFSET($H$3,0,0,'Données projet'!$E$12+1,1))</f>
        <v>580.02817743695846</v>
      </c>
      <c r="CE79" s="62">
        <f t="shared" si="94"/>
        <v>551.23515633208865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9.52371794871795</v>
      </c>
      <c r="CT79" s="13">
        <f>IF('Données projet'!$A$140&gt;35,CT78+CS79-DB78,IF(A79&lt;'Données projet'!$A$140,$CQ$205^A79,IF(A79='Données projet'!$A$140,'Données projet'!$B$140,CT78+CS79-DB78)))</f>
        <v>293.11730769230763</v>
      </c>
      <c r="CU79" s="18">
        <f>CT79*VLOOKUP('Données projet'!$B$13,Paramètres!$A$1:$I$89,3,0)*VLOOKUP('Données projet'!$B$13,Paramètres!$A$1:$I$89,5,0)</f>
        <v>137.17889999999997</v>
      </c>
      <c r="CV79" s="14">
        <f t="shared" si="95"/>
        <v>35.649967423044082</v>
      </c>
      <c r="CW79" s="22">
        <f t="shared" si="67"/>
        <v>301.01027742846838</v>
      </c>
      <c r="CX79" s="62">
        <f t="shared" si="68"/>
        <v>570.09986180931787</v>
      </c>
      <c r="CY79" s="62">
        <f ca="1">AVERAGE(OFFSET($CX$3,0,0,'Données projet'!$E$13+1,1))-AVERAGE(OFFSET($H$3,0,0,'Données projet'!$E$13+1,1))</f>
        <v>321.05795935196863</v>
      </c>
      <c r="CZ79" s="62">
        <f t="shared" si="96"/>
        <v>209.59551322748908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7.2</v>
      </c>
      <c r="DO79" s="13">
        <f>IF('Données projet'!$A$166&gt;35,DO78+DN79-DW78,IF(A79&lt;'Données projet'!$A$166,$DL$205^A79,IF(A79='Données projet'!$A$166,'Données projet'!$B$166,DO78+DN79-DW78)))</f>
        <v>291.20000000000005</v>
      </c>
      <c r="DP79" s="18">
        <f>DO79*VLOOKUP('Données projet'!$B$14,Paramètres!$A$1:$I$89,3,0)*VLOOKUP('Données projet'!$B$14,Paramètres!$A$1:$I$89,5,0)</f>
        <v>313.44768000000005</v>
      </c>
      <c r="DQ79" s="14">
        <f t="shared" si="97"/>
        <v>73.988378849122171</v>
      </c>
      <c r="DR79" s="22">
        <f t="shared" si="70"/>
        <v>674.78446916222117</v>
      </c>
      <c r="DS79" s="62">
        <f t="shared" si="71"/>
        <v>943.87405354307066</v>
      </c>
      <c r="DT79" s="62">
        <f ca="1">AVERAGE(OFFSET($DS$3,0,0,'Données projet'!$E$14+1,1))-AVERAGE(OFFSET($H$3,0,0,'Données projet'!$E$14+1,1))</f>
        <v>638.58602907610805</v>
      </c>
      <c r="DU79" s="62">
        <f t="shared" si="98"/>
        <v>341.9250949809848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5.6843418860808015E-14</v>
      </c>
      <c r="EK79" s="18">
        <f>EJ79*VLOOKUP('Données projet'!$B$15,Paramètres!$A$1:$I$89,3,0)*VLOOKUP('Données projet'!$B$15,Paramètres!$A$1:$I$89,5,0)</f>
        <v>3.3992364478763198E-14</v>
      </c>
      <c r="EL79" s="14">
        <f t="shared" si="99"/>
        <v>5.790027782444094E-13</v>
      </c>
      <c r="EM79" s="22">
        <f t="shared" si="73"/>
        <v>1.0676332069095257E-12</v>
      </c>
      <c r="EN79" s="62">
        <f t="shared" si="74"/>
        <v>269.08958438085051</v>
      </c>
      <c r="EO79" s="62">
        <f ca="1">AVERAGE(OFFSET($EN$3,0,0,'Données projet'!$E$15+1,1))-AVERAGE(OFFSET($H$3,0,0,'Données projet'!$E$15+1,1))</f>
        <v>223.57443551076992</v>
      </c>
      <c r="EP79" s="62">
        <f t="shared" si="100"/>
        <v>382.12751862619427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10.701930292598011</v>
      </c>
      <c r="EW79" s="23">
        <f>EXP(-LN(2)/25)*EW78+(1-EXP(-LN(2)/25))/(LN(2)/25)*Calculateur!ER79*Calculateur!ET79*VLOOKUP('Données projet'!$B$15,Paramètres!$A$1:$I$89,3,0)*0.475*44/12</f>
        <v>3.8770177179080521</v>
      </c>
      <c r="EX79" s="23">
        <f>EXP(-LN(2)/2)*EX78+(1-EXP(-LN(2)/2))/(LN(2)/2)*ER79*EU79*VLOOKUP('Données projet'!$B$15,Paramètres!$A$1:$I$89,3,0)*0.475*44/12</f>
        <v>1.2084957937785478E-6</v>
      </c>
      <c r="EY79" s="24">
        <f t="shared" si="75"/>
        <v>14.578949219001856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1.5783333333333318</v>
      </c>
      <c r="FE79" s="13">
        <f>IF('Données projet'!$A$218&gt;35,FE78+FD79-FM78,IF(A79&lt;'Données projet'!$A$218,$FB$205^A79,IF(A79='Données projet'!$A$218,'Données projet'!$B$218,FE78+FD79-FM78)))</f>
        <v>93.832499999999939</v>
      </c>
      <c r="FF79" s="18">
        <f>FE79*VLOOKUP('Données projet'!$B$16,Paramètres!$A$1:$I$89,3,0)*VLOOKUP('Données projet'!$B$16,Paramètres!$A$1:$I$89,5,0)</f>
        <v>108.09503999999993</v>
      </c>
      <c r="FG79" s="14">
        <f t="shared" si="101"/>
        <v>28.881705828313297</v>
      </c>
      <c r="FH79" s="22">
        <f t="shared" si="76"/>
        <v>238.56783231764553</v>
      </c>
      <c r="FI79" s="62">
        <f t="shared" si="77"/>
        <v>507.65741669849496</v>
      </c>
      <c r="FJ79" s="62">
        <f ca="1">AVERAGE(OFFSET($FI$3,0,0,'Données projet'!$E$16+1,1))-AVERAGE(OFFSET($H$3,0,0,'Données projet'!$E$16+1,1))</f>
        <v>283.95543623515323</v>
      </c>
      <c r="FK79" s="62">
        <f t="shared" si="102"/>
        <v>196.96883829830929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5.6843418860808015E-14</v>
      </c>
      <c r="GA79" s="18">
        <f>FZ79*VLOOKUP('Données projet'!$B$17,Paramètres!$A$1:$I$89,3,0)*VLOOKUP('Données projet'!$B$17,Paramètres!$A$1:$I$89,5,0)</f>
        <v>3.3992364478763198E-14</v>
      </c>
      <c r="GB79" s="14">
        <f t="shared" si="103"/>
        <v>5.790027782444094E-13</v>
      </c>
      <c r="GC79" s="22">
        <f t="shared" si="79"/>
        <v>1.0676332069095257E-12</v>
      </c>
      <c r="GD79" s="62">
        <f t="shared" si="80"/>
        <v>269.08958438085051</v>
      </c>
      <c r="GE79" s="62">
        <f ca="1">AVERAGE(OFFSET($GD$3,0,0,'Données projet'!$E$17+1,1))-AVERAGE(OFFSET($H$3,0,0,'Données projet'!$E$17+1,1))</f>
        <v>223.57443551076992</v>
      </c>
      <c r="GF79" s="62">
        <f t="shared" si="104"/>
        <v>382.12751862619427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10.701930292598011</v>
      </c>
      <c r="GM79" s="23">
        <f>EXP(-LN(2)/25)*GM78+(1-EXP(-LN(2)/25))/(LN(2)/25)*Calculateur!GH79*Calculateur!GJ79*VLOOKUP('Données projet'!$B$17,Paramètres!$A$1:$I$89,3,0)*0.475*44/12</f>
        <v>3.8770177179080521</v>
      </c>
      <c r="GN79" s="23">
        <f>EXP(-LN(2)/2)*GN78+(1-EXP(-LN(2)/2))/(LN(2)/2)*GH79*GK79*VLOOKUP('Données projet'!$B$17,Paramètres!$A$1:$I$89,3,0)*0.475*44/12</f>
        <v>1.2084957937785478E-6</v>
      </c>
      <c r="GO79" s="23">
        <f t="shared" si="81"/>
        <v>14.578949219001856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6.3957954686202676</v>
      </c>
      <c r="GU79" s="13">
        <f>IF('Données projet'!$A$270&gt;35,GU78+GT79-HC78,IF(A79&lt;'Données projet'!$A$270,$GR$205^A79,IF(A79='Données projet'!$A$270,'Données projet'!$B$270,GU78+GT79-HC78)))</f>
        <v>244.70724347770434</v>
      </c>
      <c r="GV79" s="18">
        <f>GU79*VLOOKUP('Données projet'!$B$18,Paramètres!$A$1:$I$89,3,0)*VLOOKUP('Données projet'!$B$18,Paramètres!$A$1:$I$89,5,0)</f>
        <v>267.22030987765316</v>
      </c>
      <c r="GW79" s="14">
        <f t="shared" si="105"/>
        <v>64.258994060472276</v>
      </c>
      <c r="GX79" s="22">
        <f t="shared" si="82"/>
        <v>577.32645435890174</v>
      </c>
      <c r="GY79" s="62">
        <f t="shared" si="83"/>
        <v>846.41603873975123</v>
      </c>
      <c r="GZ79" s="62">
        <f ca="1">AVERAGE(OFFSET($GY$3,0,0,'Données projet'!$E$18+1,1))-AVERAGE(OFFSET($H$3,0,0,'Données projet'!$E$18+1,1))</f>
        <v>754.33260592777049</v>
      </c>
      <c r="HA79" s="62">
        <f t="shared" si="106"/>
        <v>250.97643915279005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9">
        <f t="shared" si="56"/>
        <v>183.33333333333334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852.68975517110448</v>
      </c>
      <c r="S80" s="62">
        <f ca="1">AVERAGE(OFFSET($R$3,0,0,'Données projet'!$E$9+1,1))-AVERAGE(OFFSET($H$3,0,0,'Données projet'!$E$9+1,1))</f>
        <v>550.39292625253665</v>
      </c>
      <c r="T80" s="62">
        <f t="shared" si="88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302.57760000000007</v>
      </c>
      <c r="AK80" s="14">
        <f t="shared" si="89"/>
        <v>71.716558091076294</v>
      </c>
      <c r="AL80" s="22">
        <f t="shared" si="58"/>
        <v>651.89565867529132</v>
      </c>
      <c r="AM80" s="62">
        <f t="shared" si="59"/>
        <v>921.40581789956354</v>
      </c>
      <c r="AN80" s="62">
        <f ca="1">AVERAGE(OFFSET($AM$3,0,0,'Données projet'!$E$10+1,1))-AVERAGE(OFFSET($H$3,0,0,'Données projet'!$E$10+1,1))</f>
        <v>606.55142836375308</v>
      </c>
      <c r="AO80" s="62">
        <f t="shared" si="90"/>
        <v>325.72635759450861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</v>
      </c>
      <c r="BD80" s="13">
        <f>IF('Données projet'!$A$88&gt;35,BD79+BC80-BL79,IF(A80&lt;'Données projet'!$A$88,$BA$205^A80,IF(A80='Données projet'!$A$88,'Données projet'!$B$88,BD79+BC80-BL79)))</f>
        <v>313.2051282051284</v>
      </c>
      <c r="BE80" s="14">
        <f>BD80*VLOOKUP('Données projet'!$B$11,Paramètres!$A$1:$I$89,3,0)*VLOOKUP('Données projet'!$B$11,Paramètres!$A$1:$I$89,5,0)</f>
        <v>327.36200000000025</v>
      </c>
      <c r="BF80" s="14">
        <f t="shared" si="91"/>
        <v>76.883127252111535</v>
      </c>
      <c r="BG80" s="22">
        <f t="shared" si="61"/>
        <v>704.06026329742792</v>
      </c>
      <c r="BH80" s="62">
        <f t="shared" si="62"/>
        <v>973.57042252170027</v>
      </c>
      <c r="BI80" s="62">
        <f ca="1">AVERAGE(OFFSET($BH$3,0,0,'Données projet'!$E$11+1,1))-AVERAGE(OFFSET($H$3,0,0,'Données projet'!$E$11+1,1))</f>
        <v>635.13577238794812</v>
      </c>
      <c r="BJ80" s="62">
        <f t="shared" si="92"/>
        <v>374.35810525172019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9.8000000000000007</v>
      </c>
      <c r="BY80" s="13">
        <f>IF('Données projet'!$A$114&gt;35,BY79+BX80-CG79,IF(A80&lt;'Données projet'!$A$114,$BV$205^A80,IF(A80='Données projet'!$A$114,'Données projet'!$B$114,BY79+BX80-CG79)))</f>
        <v>988.59999999999945</v>
      </c>
      <c r="BZ80" s="14">
        <f>BY80*VLOOKUP('Données projet'!$B$12,Paramètres!$A$1:$I$89,3,0)*VLOOKUP('Données projet'!$B$12,Paramètres!$A$1:$I$89,5,0)</f>
        <v>436.96119999999985</v>
      </c>
      <c r="CA80" s="14">
        <f t="shared" si="93"/>
        <v>99.231004949009716</v>
      </c>
      <c r="CB80" s="22">
        <f t="shared" si="64"/>
        <v>933.86809028619166</v>
      </c>
      <c r="CC80" s="62">
        <f t="shared" si="65"/>
        <v>1203.378249510464</v>
      </c>
      <c r="CD80" s="62">
        <f ca="1">AVERAGE(OFFSET($CC$3,0,0,'Données projet'!$E$12+1,1))-AVERAGE(OFFSET($H$3,0,0,'Données projet'!$E$12+1,1))</f>
        <v>580.02817743695846</v>
      </c>
      <c r="CE80" s="62">
        <f t="shared" si="94"/>
        <v>551.23515633208865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9.52371794871795</v>
      </c>
      <c r="CT80" s="13">
        <f>IF('Données projet'!$A$140&gt;35,CT79+CS80-DB79,IF(A80&lt;'Données projet'!$A$140,$CQ$205^A80,IF(A80='Données projet'!$A$140,'Données projet'!$B$140,CT79+CS80-DB79)))</f>
        <v>302.64102564102558</v>
      </c>
      <c r="CU80" s="18">
        <f>CT80*VLOOKUP('Données projet'!$B$13,Paramètres!$A$1:$I$89,3,0)*VLOOKUP('Données projet'!$B$13,Paramètres!$A$1:$I$89,5,0)</f>
        <v>141.63599999999997</v>
      </c>
      <c r="CV80" s="14">
        <f t="shared" si="95"/>
        <v>36.671536328944384</v>
      </c>
      <c r="CW80" s="22">
        <f t="shared" si="67"/>
        <v>310.55229243957808</v>
      </c>
      <c r="CX80" s="62">
        <f t="shared" si="68"/>
        <v>580.06245166385042</v>
      </c>
      <c r="CY80" s="62">
        <f ca="1">AVERAGE(OFFSET($CX$3,0,0,'Données projet'!$E$13+1,1))-AVERAGE(OFFSET($H$3,0,0,'Données projet'!$E$13+1,1))</f>
        <v>321.05795935196863</v>
      </c>
      <c r="CZ80" s="62">
        <f t="shared" si="96"/>
        <v>209.59551322748908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7.2</v>
      </c>
      <c r="DO80" s="13">
        <f>IF('Données projet'!$A$166&gt;35,DO79+DN80-DW79,IF(A80&lt;'Données projet'!$A$166,$DL$205^A80,IF(A80='Données projet'!$A$166,'Données projet'!$B$166,DO79+DN80-DW79)))</f>
        <v>298.40000000000003</v>
      </c>
      <c r="DP80" s="18">
        <f>DO80*VLOOKUP('Données projet'!$B$14,Paramètres!$A$1:$I$89,3,0)*VLOOKUP('Données projet'!$B$14,Paramètres!$A$1:$I$89,5,0)</f>
        <v>321.19776000000002</v>
      </c>
      <c r="DQ80" s="14">
        <f t="shared" si="97"/>
        <v>75.602516709962615</v>
      </c>
      <c r="DR80" s="22">
        <f t="shared" si="70"/>
        <v>691.09381526985146</v>
      </c>
      <c r="DS80" s="62">
        <f t="shared" si="71"/>
        <v>960.6039744941238</v>
      </c>
      <c r="DT80" s="62">
        <f ca="1">AVERAGE(OFFSET($DS$3,0,0,'Données projet'!$E$14+1,1))-AVERAGE(OFFSET($H$3,0,0,'Données projet'!$E$14+1,1))</f>
        <v>638.58602907610805</v>
      </c>
      <c r="DU80" s="62">
        <f t="shared" si="98"/>
        <v>341.9250949809848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5.6843418860808015E-14</v>
      </c>
      <c r="EK80" s="18">
        <f>EJ80*VLOOKUP('Données projet'!$B$15,Paramètres!$A$1:$I$89,3,0)*VLOOKUP('Données projet'!$B$15,Paramètres!$A$1:$I$89,5,0)</f>
        <v>3.3992364478763198E-14</v>
      </c>
      <c r="EL80" s="14">
        <f t="shared" si="99"/>
        <v>5.790027782444094E-13</v>
      </c>
      <c r="EM80" s="22">
        <f t="shared" si="73"/>
        <v>1.0676332069095257E-12</v>
      </c>
      <c r="EN80" s="62">
        <f t="shared" si="74"/>
        <v>269.51015922427337</v>
      </c>
      <c r="EO80" s="62">
        <f ca="1">AVERAGE(OFFSET($EN$3,0,0,'Données projet'!$E$15+1,1))-AVERAGE(OFFSET($H$3,0,0,'Données projet'!$E$15+1,1))</f>
        <v>223.57443551076992</v>
      </c>
      <c r="EP80" s="62">
        <f t="shared" si="100"/>
        <v>382.12751862619427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10.492071967093102</v>
      </c>
      <c r="EW80" s="23">
        <f>EXP(-LN(2)/25)*EW79+(1-EXP(-LN(2)/25))/(LN(2)/25)*Calculateur!ER80*Calculateur!ET80*VLOOKUP('Données projet'!$B$15,Paramètres!$A$1:$I$89,3,0)*0.475*44/12</f>
        <v>3.7710004645283557</v>
      </c>
      <c r="EX80" s="23">
        <f>EXP(-LN(2)/2)*EX79+(1-EXP(-LN(2)/2))/(LN(2)/2)*ER80*EU80*VLOOKUP('Données projet'!$B$15,Paramètres!$A$1:$I$89,3,0)*0.475*44/12</f>
        <v>8.545355708162307E-7</v>
      </c>
      <c r="EY80" s="24">
        <f t="shared" si="75"/>
        <v>14.263073286157029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1.5783333333333318</v>
      </c>
      <c r="FE80" s="13">
        <f>IF('Données projet'!$A$218&gt;35,FE79+FD80-FM79,IF(A80&lt;'Données projet'!$A$218,$FB$205^A80,IF(A80='Données projet'!$A$218,'Données projet'!$B$218,FE79+FD80-FM79)))</f>
        <v>95.410833333333272</v>
      </c>
      <c r="FF80" s="18">
        <f>FE80*VLOOKUP('Données projet'!$B$16,Paramètres!$A$1:$I$89,3,0)*VLOOKUP('Données projet'!$B$16,Paramètres!$A$1:$I$89,5,0)</f>
        <v>109.91327999999992</v>
      </c>
      <c r="FG80" s="14">
        <f t="shared" si="101"/>
        <v>29.310551726420417</v>
      </c>
      <c r="FH80" s="22">
        <f t="shared" si="76"/>
        <v>242.48150692351541</v>
      </c>
      <c r="FI80" s="62">
        <f t="shared" si="77"/>
        <v>511.99166614778767</v>
      </c>
      <c r="FJ80" s="62">
        <f ca="1">AVERAGE(OFFSET($FI$3,0,0,'Données projet'!$E$16+1,1))-AVERAGE(OFFSET($H$3,0,0,'Données projet'!$E$16+1,1))</f>
        <v>283.95543623515323</v>
      </c>
      <c r="FK80" s="62">
        <f t="shared" si="102"/>
        <v>196.96883829830929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5.6843418860808015E-14</v>
      </c>
      <c r="GA80" s="18">
        <f>FZ80*VLOOKUP('Données projet'!$B$17,Paramètres!$A$1:$I$89,3,0)*VLOOKUP('Données projet'!$B$17,Paramètres!$A$1:$I$89,5,0)</f>
        <v>3.3992364478763198E-14</v>
      </c>
      <c r="GB80" s="14">
        <f t="shared" si="103"/>
        <v>5.790027782444094E-13</v>
      </c>
      <c r="GC80" s="22">
        <f t="shared" si="79"/>
        <v>1.0676332069095257E-12</v>
      </c>
      <c r="GD80" s="62">
        <f t="shared" si="80"/>
        <v>269.51015922427337</v>
      </c>
      <c r="GE80" s="62">
        <f ca="1">AVERAGE(OFFSET($GD$3,0,0,'Données projet'!$E$17+1,1))-AVERAGE(OFFSET($H$3,0,0,'Données projet'!$E$17+1,1))</f>
        <v>223.57443551076992</v>
      </c>
      <c r="GF80" s="62">
        <f t="shared" si="104"/>
        <v>382.12751862619427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10.492071967093102</v>
      </c>
      <c r="GM80" s="23">
        <f>EXP(-LN(2)/25)*GM79+(1-EXP(-LN(2)/25))/(LN(2)/25)*Calculateur!GH80*Calculateur!GJ80*VLOOKUP('Données projet'!$B$17,Paramètres!$A$1:$I$89,3,0)*0.475*44/12</f>
        <v>3.7710004645283557</v>
      </c>
      <c r="GN80" s="23">
        <f>EXP(-LN(2)/2)*GN79+(1-EXP(-LN(2)/2))/(LN(2)/2)*GH80*GK80*VLOOKUP('Données projet'!$B$17,Paramètres!$A$1:$I$89,3,0)*0.475*44/12</f>
        <v>8.545355708162307E-7</v>
      </c>
      <c r="GO80" s="23">
        <f t="shared" si="81"/>
        <v>14.263073286157029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6.3957954686202676</v>
      </c>
      <c r="GU80" s="13">
        <f>IF('Données projet'!$A$270&gt;35,GU79+GT80-HC79,IF(A80&lt;'Données projet'!$A$270,$GR$205^A80,IF(A80='Données projet'!$A$270,'Données projet'!$B$270,GU79+GT80-HC79)))</f>
        <v>251.1030389463246</v>
      </c>
      <c r="GV80" s="18">
        <f>GU80*VLOOKUP('Données projet'!$B$18,Paramètres!$A$1:$I$89,3,0)*VLOOKUP('Données projet'!$B$18,Paramètres!$A$1:$I$89,5,0)</f>
        <v>274.20451852938646</v>
      </c>
      <c r="GW80" s="14">
        <f t="shared" si="105"/>
        <v>65.740770180353564</v>
      </c>
      <c r="GX80" s="22">
        <f t="shared" si="82"/>
        <v>592.07137783613041</v>
      </c>
      <c r="GY80" s="62">
        <f t="shared" si="83"/>
        <v>861.58153706040275</v>
      </c>
      <c r="GZ80" s="62">
        <f ca="1">AVERAGE(OFFSET($GY$3,0,0,'Données projet'!$E$18+1,1))-AVERAGE(OFFSET($H$3,0,0,'Données projet'!$E$18+1,1))</f>
        <v>754.33260592777049</v>
      </c>
      <c r="HA80" s="62">
        <f t="shared" si="106"/>
        <v>250.97643915279005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9">
        <f t="shared" si="56"/>
        <v>183.33333333333334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866.8538307678042</v>
      </c>
      <c r="S81" s="62">
        <f ca="1">AVERAGE(OFFSET($R$3,0,0,'Données projet'!$E$9+1,1))-AVERAGE(OFFSET($H$3,0,0,'Données projet'!$E$9+1,1))</f>
        <v>550.39292625253665</v>
      </c>
      <c r="T81" s="62">
        <f t="shared" si="88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309.87840000000006</v>
      </c>
      <c r="AK81" s="14">
        <f t="shared" si="89"/>
        <v>73.243434672131556</v>
      </c>
      <c r="AL81" s="22">
        <f t="shared" si="58"/>
        <v>667.27052872062916</v>
      </c>
      <c r="AM81" s="62">
        <f t="shared" si="59"/>
        <v>937.19396675505538</v>
      </c>
      <c r="AN81" s="62">
        <f ca="1">AVERAGE(OFFSET($AM$3,0,0,'Données projet'!$E$10+1,1))-AVERAGE(OFFSET($H$3,0,0,'Données projet'!$E$10+1,1))</f>
        <v>606.55142836375308</v>
      </c>
      <c r="AO81" s="62">
        <f t="shared" si="90"/>
        <v>325.72635759450861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</v>
      </c>
      <c r="BD81" s="13">
        <f>IF('Données projet'!$A$88&gt;35,BD80+BC81-BL80,IF(A81&lt;'Données projet'!$A$88,$BA$205^A81,IF(A81='Données projet'!$A$88,'Données projet'!$B$88,BD80+BC81-BL80)))</f>
        <v>318.2051282051284</v>
      </c>
      <c r="BE81" s="14">
        <f>BD81*VLOOKUP('Données projet'!$B$11,Paramètres!$A$1:$I$89,3,0)*VLOOKUP('Données projet'!$B$11,Paramètres!$A$1:$I$89,5,0)</f>
        <v>332.58800000000025</v>
      </c>
      <c r="BF81" s="14">
        <f t="shared" si="91"/>
        <v>77.966621411360478</v>
      </c>
      <c r="BG81" s="22">
        <f t="shared" si="61"/>
        <v>715.04929895811983</v>
      </c>
      <c r="BH81" s="62">
        <f t="shared" si="62"/>
        <v>984.97273699254606</v>
      </c>
      <c r="BI81" s="62">
        <f ca="1">AVERAGE(OFFSET($BH$3,0,0,'Données projet'!$E$11+1,1))-AVERAGE(OFFSET($H$3,0,0,'Données projet'!$E$11+1,1))</f>
        <v>635.13577238794812</v>
      </c>
      <c r="BJ81" s="62">
        <f t="shared" si="92"/>
        <v>374.35810525172019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9.8000000000000007</v>
      </c>
      <c r="BY81" s="13">
        <f>IF('Données projet'!$A$114&gt;35,BY80+BX81-CG80,IF(A81&lt;'Données projet'!$A$114,$BV$205^A81,IF(A81='Données projet'!$A$114,'Données projet'!$B$114,BY80+BX81-CG80)))</f>
        <v>998.39999999999941</v>
      </c>
      <c r="BZ81" s="14">
        <f>BY81*VLOOKUP('Données projet'!$B$12,Paramètres!$A$1:$I$89,3,0)*VLOOKUP('Données projet'!$B$12,Paramètres!$A$1:$I$89,5,0)</f>
        <v>441.29279999999983</v>
      </c>
      <c r="CA81" s="14">
        <f t="shared" si="93"/>
        <v>100.09968301051067</v>
      </c>
      <c r="CB81" s="22">
        <f t="shared" si="64"/>
        <v>942.92524124330578</v>
      </c>
      <c r="CC81" s="62">
        <f t="shared" si="65"/>
        <v>1212.8486792777321</v>
      </c>
      <c r="CD81" s="62">
        <f ca="1">AVERAGE(OFFSET($CC$3,0,0,'Données projet'!$E$12+1,1))-AVERAGE(OFFSET($H$3,0,0,'Données projet'!$E$12+1,1))</f>
        <v>580.02817743695846</v>
      </c>
      <c r="CE81" s="62">
        <f t="shared" si="94"/>
        <v>551.23515633208865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9.52371794871795</v>
      </c>
      <c r="CT81" s="13">
        <f>IF('Données projet'!$A$140&gt;35,CT80+CS81-DB80,IF(A81&lt;'Données projet'!$A$140,$CQ$205^A81,IF(A81='Données projet'!$A$140,'Données projet'!$B$140,CT80+CS81-DB80)))</f>
        <v>312.16474358974352</v>
      </c>
      <c r="CU81" s="18">
        <f>CT81*VLOOKUP('Données projet'!$B$13,Paramètres!$A$1:$I$89,3,0)*VLOOKUP('Données projet'!$B$13,Paramètres!$A$1:$I$89,5,0)</f>
        <v>146.09309999999996</v>
      </c>
      <c r="CV81" s="14">
        <f t="shared" si="95"/>
        <v>37.68936946640143</v>
      </c>
      <c r="CW81" s="22">
        <f t="shared" si="67"/>
        <v>320.08780098731569</v>
      </c>
      <c r="CX81" s="62">
        <f t="shared" si="68"/>
        <v>590.01123902174186</v>
      </c>
      <c r="CY81" s="62">
        <f ca="1">AVERAGE(OFFSET($CX$3,0,0,'Données projet'!$E$13+1,1))-AVERAGE(OFFSET($H$3,0,0,'Données projet'!$E$13+1,1))</f>
        <v>321.05795935196863</v>
      </c>
      <c r="CZ81" s="62">
        <f t="shared" si="96"/>
        <v>209.59551322748908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7.2</v>
      </c>
      <c r="DO81" s="13">
        <f>IF('Données projet'!$A$166&gt;35,DO80+DN81-DW80,IF(A81&lt;'Données projet'!$A$166,$DL$205^A81,IF(A81='Données projet'!$A$166,'Données projet'!$B$166,DO80+DN81-DW80)))</f>
        <v>305.60000000000002</v>
      </c>
      <c r="DP81" s="18">
        <f>DO81*VLOOKUP('Données projet'!$B$14,Paramètres!$A$1:$I$89,3,0)*VLOOKUP('Données projet'!$B$14,Paramètres!$A$1:$I$89,5,0)</f>
        <v>328.94784000000004</v>
      </c>
      <c r="DQ81" s="14">
        <f t="shared" si="97"/>
        <v>77.212127032960666</v>
      </c>
      <c r="DR81" s="22">
        <f t="shared" si="70"/>
        <v>707.39527591573994</v>
      </c>
      <c r="DS81" s="62">
        <f t="shared" si="71"/>
        <v>977.31871395016617</v>
      </c>
      <c r="DT81" s="62">
        <f ca="1">AVERAGE(OFFSET($DS$3,0,0,'Données projet'!$E$14+1,1))-AVERAGE(OFFSET($H$3,0,0,'Données projet'!$E$14+1,1))</f>
        <v>638.58602907610805</v>
      </c>
      <c r="DU81" s="62">
        <f t="shared" si="98"/>
        <v>341.9250949809848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5.6843418860808015E-14</v>
      </c>
      <c r="EK81" s="18">
        <f>EJ81*VLOOKUP('Données projet'!$B$15,Paramètres!$A$1:$I$89,3,0)*VLOOKUP('Données projet'!$B$15,Paramètres!$A$1:$I$89,5,0)</f>
        <v>3.3992364478763198E-14</v>
      </c>
      <c r="EL81" s="14">
        <f t="shared" si="99"/>
        <v>5.790027782444094E-13</v>
      </c>
      <c r="EM81" s="22">
        <f t="shared" si="73"/>
        <v>1.0676332069095257E-12</v>
      </c>
      <c r="EN81" s="62">
        <f t="shared" si="74"/>
        <v>269.92343803442731</v>
      </c>
      <c r="EO81" s="62">
        <f ca="1">AVERAGE(OFFSET($EN$3,0,0,'Données projet'!$E$15+1,1))-AVERAGE(OFFSET($H$3,0,0,'Données projet'!$E$15+1,1))</f>
        <v>223.57443551076992</v>
      </c>
      <c r="EP81" s="62">
        <f t="shared" si="100"/>
        <v>382.12751862619427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10.286328835350405</v>
      </c>
      <c r="EW81" s="23">
        <f>EXP(-LN(2)/25)*EW80+(1-EXP(-LN(2)/25))/(LN(2)/25)*Calculateur!ER81*Calculateur!ET81*VLOOKUP('Données projet'!$B$15,Paramètres!$A$1:$I$89,3,0)*0.475*44/12</f>
        <v>3.6678822585175319</v>
      </c>
      <c r="EX81" s="23">
        <f>EXP(-LN(2)/2)*EX80+(1-EXP(-LN(2)/2))/(LN(2)/2)*ER81*EU81*VLOOKUP('Données projet'!$B$15,Paramètres!$A$1:$I$89,3,0)*0.475*44/12</f>
        <v>6.0424789688927392E-7</v>
      </c>
      <c r="EY81" s="24">
        <f t="shared" si="75"/>
        <v>13.954211698115833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1.5783333333333318</v>
      </c>
      <c r="FE81" s="13">
        <f>IF('Données projet'!$A$218&gt;35,FE80+FD81-FM80,IF(A81&lt;'Données projet'!$A$218,$FB$205^A81,IF(A81='Données projet'!$A$218,'Données projet'!$B$218,FE80+FD81-FM80)))</f>
        <v>96.989166666666605</v>
      </c>
      <c r="FF81" s="18">
        <f>FE81*VLOOKUP('Données projet'!$B$16,Paramètres!$A$1:$I$89,3,0)*VLOOKUP('Données projet'!$B$16,Paramètres!$A$1:$I$89,5,0)</f>
        <v>111.73151999999993</v>
      </c>
      <c r="FG81" s="14">
        <f t="shared" si="101"/>
        <v>29.738572616522461</v>
      </c>
      <c r="FH81" s="22">
        <f t="shared" si="76"/>
        <v>246.39374464044309</v>
      </c>
      <c r="FI81" s="62">
        <f t="shared" si="77"/>
        <v>516.31718267486929</v>
      </c>
      <c r="FJ81" s="62">
        <f ca="1">AVERAGE(OFFSET($FI$3,0,0,'Données projet'!$E$16+1,1))-AVERAGE(OFFSET($H$3,0,0,'Données projet'!$E$16+1,1))</f>
        <v>283.95543623515323</v>
      </c>
      <c r="FK81" s="62">
        <f t="shared" si="102"/>
        <v>196.96883829830929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5.6843418860808015E-14</v>
      </c>
      <c r="GA81" s="18">
        <f>FZ81*VLOOKUP('Données projet'!$B$17,Paramètres!$A$1:$I$89,3,0)*VLOOKUP('Données projet'!$B$17,Paramètres!$A$1:$I$89,5,0)</f>
        <v>3.3992364478763198E-14</v>
      </c>
      <c r="GB81" s="14">
        <f t="shared" si="103"/>
        <v>5.790027782444094E-13</v>
      </c>
      <c r="GC81" s="22">
        <f t="shared" si="79"/>
        <v>1.0676332069095257E-12</v>
      </c>
      <c r="GD81" s="62">
        <f t="shared" si="80"/>
        <v>269.92343803442731</v>
      </c>
      <c r="GE81" s="62">
        <f ca="1">AVERAGE(OFFSET($GD$3,0,0,'Données projet'!$E$17+1,1))-AVERAGE(OFFSET($H$3,0,0,'Données projet'!$E$17+1,1))</f>
        <v>223.57443551076992</v>
      </c>
      <c r="GF81" s="62">
        <f t="shared" si="104"/>
        <v>382.12751862619427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10.286328835350405</v>
      </c>
      <c r="GM81" s="23">
        <f>EXP(-LN(2)/25)*GM80+(1-EXP(-LN(2)/25))/(LN(2)/25)*Calculateur!GH81*Calculateur!GJ81*VLOOKUP('Données projet'!$B$17,Paramètres!$A$1:$I$89,3,0)*0.475*44/12</f>
        <v>3.6678822585175319</v>
      </c>
      <c r="GN81" s="23">
        <f>EXP(-LN(2)/2)*GN80+(1-EXP(-LN(2)/2))/(LN(2)/2)*GH81*GK81*VLOOKUP('Données projet'!$B$17,Paramètres!$A$1:$I$89,3,0)*0.475*44/12</f>
        <v>6.0424789688927392E-7</v>
      </c>
      <c r="GO81" s="23">
        <f t="shared" si="81"/>
        <v>13.954211698115833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6.3957954686202676</v>
      </c>
      <c r="GU81" s="13">
        <f>IF('Données projet'!$A$270&gt;35,GU80+GT81-HC80,IF(A81&lt;'Données projet'!$A$270,$GR$205^A81,IF(A81='Données projet'!$A$270,'Données projet'!$B$270,GU80+GT81-HC80)))</f>
        <v>257.49883441494489</v>
      </c>
      <c r="GV81" s="18">
        <f>GU81*VLOOKUP('Données projet'!$B$18,Paramètres!$A$1:$I$89,3,0)*VLOOKUP('Données projet'!$B$18,Paramètres!$A$1:$I$89,5,0)</f>
        <v>281.18872718111982</v>
      </c>
      <c r="GW81" s="14">
        <f t="shared" si="105"/>
        <v>67.218159133303132</v>
      </c>
      <c r="GX81" s="22">
        <f t="shared" si="82"/>
        <v>606.80866033095333</v>
      </c>
      <c r="GY81" s="62">
        <f t="shared" si="83"/>
        <v>876.73209836537956</v>
      </c>
      <c r="GZ81" s="62">
        <f ca="1">AVERAGE(OFFSET($GY$3,0,0,'Données projet'!$E$18+1,1))-AVERAGE(OFFSET($H$3,0,0,'Données projet'!$E$18+1,1))</f>
        <v>754.33260592777049</v>
      </c>
      <c r="HA81" s="62">
        <f t="shared" si="106"/>
        <v>250.97643915279005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9">
        <f t="shared" si="56"/>
        <v>183.33333333333334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881.00415088284853</v>
      </c>
      <c r="S82" s="62">
        <f ca="1">AVERAGE(OFFSET($R$3,0,0,'Données projet'!$E$9+1,1))-AVERAGE(OFFSET($H$3,0,0,'Données projet'!$E$9+1,1))</f>
        <v>550.39292625253665</v>
      </c>
      <c r="T82" s="62">
        <f t="shared" si="88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317.17920000000004</v>
      </c>
      <c r="AK82" s="14">
        <f t="shared" si="89"/>
        <v>74.766129261581426</v>
      </c>
      <c r="AL82" s="22">
        <f t="shared" si="58"/>
        <v>682.63811513058772</v>
      </c>
      <c r="AM82" s="62">
        <f t="shared" si="59"/>
        <v>952.96766251176473</v>
      </c>
      <c r="AN82" s="62">
        <f ca="1">AVERAGE(OFFSET($AM$3,0,0,'Données projet'!$E$10+1,1))-AVERAGE(OFFSET($H$3,0,0,'Données projet'!$E$10+1,1))</f>
        <v>606.55142836375308</v>
      </c>
      <c r="AO82" s="62">
        <f t="shared" si="90"/>
        <v>325.72635759450861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</v>
      </c>
      <c r="BD82" s="13">
        <f>IF('Données projet'!$A$88&gt;35,BD81+BC82-BL81,IF(A82&lt;'Données projet'!$A$88,$BA$205^A82,IF(A82='Données projet'!$A$88,'Données projet'!$B$88,BD81+BC82-BL81)))</f>
        <v>323.2051282051284</v>
      </c>
      <c r="BE82" s="14">
        <f>BD82*VLOOKUP('Données projet'!$B$11,Paramètres!$A$1:$I$89,3,0)*VLOOKUP('Données projet'!$B$11,Paramètres!$A$1:$I$89,5,0)</f>
        <v>337.81400000000025</v>
      </c>
      <c r="BF82" s="14">
        <f t="shared" si="91"/>
        <v>79.048135575229935</v>
      </c>
      <c r="BG82" s="22">
        <f t="shared" si="61"/>
        <v>726.03488612685931</v>
      </c>
      <c r="BH82" s="62">
        <f t="shared" si="62"/>
        <v>996.3644335080362</v>
      </c>
      <c r="BI82" s="62">
        <f ca="1">AVERAGE(OFFSET($BH$3,0,0,'Données projet'!$E$11+1,1))-AVERAGE(OFFSET($H$3,0,0,'Données projet'!$E$11+1,1))</f>
        <v>635.13577238794812</v>
      </c>
      <c r="BJ82" s="62">
        <f t="shared" si="92"/>
        <v>374.35810525172019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9.8000000000000007</v>
      </c>
      <c r="BY82" s="13">
        <f>IF('Données projet'!$A$114&gt;35,BY81+BX82-CG81,IF(A82&lt;'Données projet'!$A$114,$BV$205^A82,IF(A82='Données projet'!$A$114,'Données projet'!$B$114,BY81+BX82-CG81)))</f>
        <v>1008.1999999999994</v>
      </c>
      <c r="BZ82" s="14">
        <f>BY82*VLOOKUP('Données projet'!$B$12,Paramètres!$A$1:$I$89,3,0)*VLOOKUP('Données projet'!$B$12,Paramètres!$A$1:$I$89,5,0)</f>
        <v>445.62439999999975</v>
      </c>
      <c r="CA82" s="14">
        <f t="shared" si="93"/>
        <v>100.96736911549361</v>
      </c>
      <c r="CB82" s="22">
        <f t="shared" si="64"/>
        <v>951.98066454281752</v>
      </c>
      <c r="CC82" s="62">
        <f t="shared" si="65"/>
        <v>1222.3102119239945</v>
      </c>
      <c r="CD82" s="62">
        <f ca="1">AVERAGE(OFFSET($CC$3,0,0,'Données projet'!$E$12+1,1))-AVERAGE(OFFSET($H$3,0,0,'Données projet'!$E$12+1,1))</f>
        <v>580.02817743695846</v>
      </c>
      <c r="CE82" s="62">
        <f t="shared" si="94"/>
        <v>551.23515633208865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9.52371794871795</v>
      </c>
      <c r="CT82" s="13">
        <f>IF('Données projet'!$A$140&gt;35,CT81+CS82-DB81,IF(A82&lt;'Données projet'!$A$140,$CQ$205^A82,IF(A82='Données projet'!$A$140,'Données projet'!$B$140,CT81+CS82-DB81)))</f>
        <v>321.68846153846147</v>
      </c>
      <c r="CU82" s="18">
        <f>CT82*VLOOKUP('Données projet'!$B$13,Paramètres!$A$1:$I$89,3,0)*VLOOKUP('Données projet'!$B$13,Paramètres!$A$1:$I$89,5,0)</f>
        <v>150.55019999999996</v>
      </c>
      <c r="CV82" s="14">
        <f t="shared" si="95"/>
        <v>38.703593889379775</v>
      </c>
      <c r="CW82" s="22">
        <f t="shared" si="67"/>
        <v>329.61702435733633</v>
      </c>
      <c r="CX82" s="62">
        <f t="shared" si="68"/>
        <v>599.94657173851328</v>
      </c>
      <c r="CY82" s="62">
        <f ca="1">AVERAGE(OFFSET($CX$3,0,0,'Données projet'!$E$13+1,1))-AVERAGE(OFFSET($H$3,0,0,'Données projet'!$E$13+1,1))</f>
        <v>321.05795935196863</v>
      </c>
      <c r="CZ82" s="62">
        <f t="shared" si="96"/>
        <v>209.59551322748908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7.2</v>
      </c>
      <c r="DO82" s="13">
        <f>IF('Données projet'!$A$166&gt;35,DO81+DN82-DW81,IF(A82&lt;'Données projet'!$A$166,$DL$205^A82,IF(A82='Données projet'!$A$166,'Données projet'!$B$166,DO81+DN82-DW81)))</f>
        <v>312.8</v>
      </c>
      <c r="DP82" s="18">
        <f>DO82*VLOOKUP('Données projet'!$B$14,Paramètres!$A$1:$I$89,3,0)*VLOOKUP('Données projet'!$B$14,Paramètres!$A$1:$I$89,5,0)</f>
        <v>336.69792000000001</v>
      </c>
      <c r="DQ82" s="14">
        <f t="shared" si="97"/>
        <v>78.817328763317647</v>
      </c>
      <c r="DR82" s="22">
        <f t="shared" si="70"/>
        <v>723.6890582627783</v>
      </c>
      <c r="DS82" s="62">
        <f t="shared" si="71"/>
        <v>994.0186056439552</v>
      </c>
      <c r="DT82" s="62">
        <f ca="1">AVERAGE(OFFSET($DS$3,0,0,'Données projet'!$E$14+1,1))-AVERAGE(OFFSET($H$3,0,0,'Données projet'!$E$14+1,1))</f>
        <v>638.58602907610805</v>
      </c>
      <c r="DU82" s="62">
        <f t="shared" si="98"/>
        <v>341.9250949809848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5.6843418860808015E-14</v>
      </c>
      <c r="EK82" s="18">
        <f>EJ82*VLOOKUP('Données projet'!$B$15,Paramètres!$A$1:$I$89,3,0)*VLOOKUP('Données projet'!$B$15,Paramètres!$A$1:$I$89,5,0)</f>
        <v>3.3992364478763198E-14</v>
      </c>
      <c r="EL82" s="14">
        <f t="shared" si="99"/>
        <v>5.790027782444094E-13</v>
      </c>
      <c r="EM82" s="22">
        <f t="shared" si="73"/>
        <v>1.0676332069095257E-12</v>
      </c>
      <c r="EN82" s="62">
        <f t="shared" si="74"/>
        <v>270.32954738117803</v>
      </c>
      <c r="EO82" s="62">
        <f ca="1">AVERAGE(OFFSET($EN$3,0,0,'Données projet'!$E$15+1,1))-AVERAGE(OFFSET($H$3,0,0,'Données projet'!$E$15+1,1))</f>
        <v>223.57443551076992</v>
      </c>
      <c r="EP82" s="62">
        <f t="shared" si="100"/>
        <v>382.12751862619427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10.084620200930264</v>
      </c>
      <c r="EW82" s="23">
        <f>EXP(-LN(2)/25)*EW81+(1-EXP(-LN(2)/25))/(LN(2)/25)*Calculateur!ER82*Calculateur!ET82*VLOOKUP('Données projet'!$B$15,Paramètres!$A$1:$I$89,3,0)*0.475*44/12</f>
        <v>3.5675838252728251</v>
      </c>
      <c r="EX82" s="23">
        <f>EXP(-LN(2)/2)*EX81+(1-EXP(-LN(2)/2))/(LN(2)/2)*ER82*EU82*VLOOKUP('Données projet'!$B$15,Paramètres!$A$1:$I$89,3,0)*0.475*44/12</f>
        <v>4.2726778540811535E-7</v>
      </c>
      <c r="EY82" s="24">
        <f t="shared" si="75"/>
        <v>13.652204453470874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1.5783333333333318</v>
      </c>
      <c r="FE82" s="13">
        <f>IF('Données projet'!$A$218&gt;35,FE81+FD82-FM81,IF(A82&lt;'Données projet'!$A$218,$FB$205^A82,IF(A82='Données projet'!$A$218,'Données projet'!$B$218,FE81+FD82-FM81)))</f>
        <v>98.567499999999939</v>
      </c>
      <c r="FF82" s="18">
        <f>FE82*VLOOKUP('Données projet'!$B$16,Paramètres!$A$1:$I$89,3,0)*VLOOKUP('Données projet'!$B$16,Paramètres!$A$1:$I$89,5,0)</f>
        <v>113.54975999999992</v>
      </c>
      <c r="FG82" s="14">
        <f t="shared" si="101"/>
        <v>30.165783474102916</v>
      </c>
      <c r="FH82" s="22">
        <f t="shared" si="76"/>
        <v>250.30457155072909</v>
      </c>
      <c r="FI82" s="62">
        <f t="shared" si="77"/>
        <v>520.63411893190607</v>
      </c>
      <c r="FJ82" s="62">
        <f ca="1">AVERAGE(OFFSET($FI$3,0,0,'Données projet'!$E$16+1,1))-AVERAGE(OFFSET($H$3,0,0,'Données projet'!$E$16+1,1))</f>
        <v>283.95543623515323</v>
      </c>
      <c r="FK82" s="62">
        <f t="shared" si="102"/>
        <v>196.96883829830929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5.6843418860808015E-14</v>
      </c>
      <c r="GA82" s="18">
        <f>FZ82*VLOOKUP('Données projet'!$B$17,Paramètres!$A$1:$I$89,3,0)*VLOOKUP('Données projet'!$B$17,Paramètres!$A$1:$I$89,5,0)</f>
        <v>3.3992364478763198E-14</v>
      </c>
      <c r="GB82" s="14">
        <f t="shared" si="103"/>
        <v>5.790027782444094E-13</v>
      </c>
      <c r="GC82" s="22">
        <f t="shared" si="79"/>
        <v>1.0676332069095257E-12</v>
      </c>
      <c r="GD82" s="62">
        <f t="shared" si="80"/>
        <v>270.32954738117803</v>
      </c>
      <c r="GE82" s="62">
        <f ca="1">AVERAGE(OFFSET($GD$3,0,0,'Données projet'!$E$17+1,1))-AVERAGE(OFFSET($H$3,0,0,'Données projet'!$E$17+1,1))</f>
        <v>223.57443551076992</v>
      </c>
      <c r="GF82" s="62">
        <f t="shared" si="104"/>
        <v>382.12751862619427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10.084620200930264</v>
      </c>
      <c r="GM82" s="23">
        <f>EXP(-LN(2)/25)*GM81+(1-EXP(-LN(2)/25))/(LN(2)/25)*Calculateur!GH82*Calculateur!GJ82*VLOOKUP('Données projet'!$B$17,Paramètres!$A$1:$I$89,3,0)*0.475*44/12</f>
        <v>3.5675838252728251</v>
      </c>
      <c r="GN82" s="23">
        <f>EXP(-LN(2)/2)*GN81+(1-EXP(-LN(2)/2))/(LN(2)/2)*GH82*GK82*VLOOKUP('Données projet'!$B$17,Paramètres!$A$1:$I$89,3,0)*0.475*44/12</f>
        <v>4.2726778540811535E-7</v>
      </c>
      <c r="GO82" s="23">
        <f t="shared" si="81"/>
        <v>13.652204453470874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6.3957954686202676</v>
      </c>
      <c r="GU82" s="13">
        <f>IF('Données projet'!$A$270&gt;35,GU81+GT82-HC81,IF(A82&lt;'Données projet'!$A$270,$GR$205^A82,IF(A82='Données projet'!$A$270,'Données projet'!$B$270,GU81+GT82-HC81)))</f>
        <v>263.89462988356519</v>
      </c>
      <c r="GV82" s="18">
        <f>GU82*VLOOKUP('Données projet'!$B$18,Paramètres!$A$1:$I$89,3,0)*VLOOKUP('Données projet'!$B$18,Paramètres!$A$1:$I$89,5,0)</f>
        <v>288.17293583285317</v>
      </c>
      <c r="GW82" s="14">
        <f t="shared" si="105"/>
        <v>68.691282422032685</v>
      </c>
      <c r="GX82" s="22">
        <f t="shared" si="82"/>
        <v>621.53851346059275</v>
      </c>
      <c r="GY82" s="62">
        <f t="shared" si="83"/>
        <v>891.86806084176965</v>
      </c>
      <c r="GZ82" s="62">
        <f ca="1">AVERAGE(OFFSET($GY$3,0,0,'Données projet'!$E$18+1,1))-AVERAGE(OFFSET($H$3,0,0,'Données projet'!$E$18+1,1))</f>
        <v>754.33260592777049</v>
      </c>
      <c r="HA82" s="62">
        <f t="shared" si="106"/>
        <v>250.97643915279005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9">
        <f t="shared" si="56"/>
        <v>183.33333333333334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895.14100893618843</v>
      </c>
      <c r="S83" s="62">
        <f ca="1">AVERAGE(OFFSET($R$3,0,0,'Données projet'!$E$9+1,1))-AVERAGE(OFFSET($H$3,0,0,'Données projet'!$E$9+1,1))</f>
        <v>550.39292625253665</v>
      </c>
      <c r="T83" s="62">
        <f t="shared" si="88"/>
        <v>297.32483725004136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324.48</v>
      </c>
      <c r="AK83" s="14">
        <f t="shared" si="89"/>
        <v>76.284749200165578</v>
      </c>
      <c r="AL83" s="22">
        <f t="shared" si="58"/>
        <v>697.99860485695501</v>
      </c>
      <c r="AM83" s="62">
        <f t="shared" si="59"/>
        <v>968.72721649564119</v>
      </c>
      <c r="AN83" s="62">
        <f ca="1">AVERAGE(OFFSET($AM$3,0,0,'Données projet'!$E$10+1,1))-AVERAGE(OFFSET($H$3,0,0,'Données projet'!$E$10+1,1))</f>
        <v>606.55142836375308</v>
      </c>
      <c r="AO83" s="62">
        <f t="shared" si="90"/>
        <v>325.72635759450861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328.20512820512818</v>
      </c>
      <c r="BB83" s="13">
        <f>VLOOKUP(A83,'Données projet'!$A$87:$I$107,9,0)</f>
        <v>5</v>
      </c>
      <c r="BC83" s="13">
        <f t="array" ref="BC83">INDEX(BB:BB,MIN(IF(ISNUMBER(BB83:BB279),ROW(BB83:BB279),"")))</f>
        <v>5</v>
      </c>
      <c r="BD83" s="13">
        <f>IF('Données projet'!$A$88&gt;35,BD82+BC83-BL82,IF(A83&lt;'Données projet'!$A$88,$BA$205^A83,IF(A83='Données projet'!$A$88,'Données projet'!$B$88,BD82+BC83-BL82)))</f>
        <v>328.2051282051284</v>
      </c>
      <c r="BE83" s="14">
        <f>BD83*VLOOKUP('Données projet'!$B$11,Paramètres!$A$1:$I$89,3,0)*VLOOKUP('Données projet'!$B$11,Paramètres!$A$1:$I$89,5,0)</f>
        <v>343.04000000000025</v>
      </c>
      <c r="BF83" s="14">
        <f t="shared" si="91"/>
        <v>80.127703911730649</v>
      </c>
      <c r="BG83" s="22">
        <f t="shared" si="61"/>
        <v>737.01708431293127</v>
      </c>
      <c r="BH83" s="62">
        <f t="shared" si="62"/>
        <v>1007.7456959516173</v>
      </c>
      <c r="BI83" s="62">
        <f ca="1">AVERAGE(OFFSET($BH$3,0,0,'Données projet'!$E$11+1,1))-AVERAGE(OFFSET($H$3,0,0,'Données projet'!$E$11+1,1))</f>
        <v>635.13577238794812</v>
      </c>
      <c r="BJ83" s="62">
        <f t="shared" si="92"/>
        <v>374.35810525172019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1018</v>
      </c>
      <c r="BW83" s="13">
        <f>VLOOKUP(A83,'Données projet'!$A$113:$I$133,9,0)</f>
        <v>9.8000000000000007</v>
      </c>
      <c r="BX83" s="13">
        <f t="array" ref="BX83">INDEX(BW:BW,MIN(IF(ISNUMBER(BW83:BW279),ROW(BW83:BW279),"")))</f>
        <v>9.8000000000000007</v>
      </c>
      <c r="BY83" s="13">
        <f>IF('Données projet'!$A$114&gt;35,BY82+BX83-CG82,IF(A83&lt;'Données projet'!$A$114,$BV$205^A83,IF(A83='Données projet'!$A$114,'Données projet'!$B$114,BY82+BX83-CG82)))</f>
        <v>1017.9999999999993</v>
      </c>
      <c r="BZ83" s="14">
        <f>BY83*VLOOKUP('Données projet'!$B$12,Paramètres!$A$1:$I$89,3,0)*VLOOKUP('Données projet'!$B$12,Paramètres!$A$1:$I$89,5,0)</f>
        <v>449.95599999999973</v>
      </c>
      <c r="CA83" s="14">
        <f t="shared" si="93"/>
        <v>101.83407402266171</v>
      </c>
      <c r="CB83" s="22">
        <f t="shared" si="64"/>
        <v>961.03437892280181</v>
      </c>
      <c r="CC83" s="62">
        <f t="shared" si="65"/>
        <v>1231.7629905614879</v>
      </c>
      <c r="CD83" s="62">
        <f ca="1">AVERAGE(OFFSET($CC$3,0,0,'Données projet'!$E$12+1,1))-AVERAGE(OFFSET($H$3,0,0,'Données projet'!$E$12+1,1))</f>
        <v>580.02817743695846</v>
      </c>
      <c r="CE83" s="62">
        <f t="shared" si="94"/>
        <v>551.23515633208865</v>
      </c>
      <c r="CF83" s="16">
        <f>IF(ISNA(VLOOKUP(A83,'Données projet'!$A$113:$I$133,3,0)),0,VLOOKUP(A83,'Données projet'!$A$113:$I$133,3,0))</f>
        <v>8</v>
      </c>
      <c r="CG83" s="16">
        <f>IF(ISNA(VLOOKUP(A83,'Données projet'!$A$113:$I$133,4,0)),0,VLOOKUP(A83,'Données projet'!$A$113:$I$133,4,0))</f>
        <v>1018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9.52371794871795</v>
      </c>
      <c r="CT83" s="13">
        <f>IF('Données projet'!$A$140&gt;35,CT82+CS83-DB82,IF(A83&lt;'Données projet'!$A$140,$CQ$205^A83,IF(A83='Données projet'!$A$140,'Données projet'!$B$140,CT82+CS83-DB82)))</f>
        <v>331.21217948717941</v>
      </c>
      <c r="CU83" s="18">
        <f>CT83*VLOOKUP('Données projet'!$B$13,Paramètres!$A$1:$I$89,3,0)*VLOOKUP('Données projet'!$B$13,Paramètres!$A$1:$I$89,5,0)</f>
        <v>155.00729999999996</v>
      </c>
      <c r="CV83" s="14">
        <f t="shared" si="95"/>
        <v>39.714328701221483</v>
      </c>
      <c r="CW83" s="22">
        <f t="shared" si="67"/>
        <v>339.14016998796063</v>
      </c>
      <c r="CX83" s="62">
        <f t="shared" si="68"/>
        <v>609.86878162664675</v>
      </c>
      <c r="CY83" s="62">
        <f ca="1">AVERAGE(OFFSET($CX$3,0,0,'Données projet'!$E$13+1,1))-AVERAGE(OFFSET($H$3,0,0,'Données projet'!$E$13+1,1))</f>
        <v>321.05795935196863</v>
      </c>
      <c r="CZ83" s="62">
        <f t="shared" si="96"/>
        <v>209.59551322748908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320</v>
      </c>
      <c r="DM83" s="13">
        <f>VLOOKUP(A83,'Données projet'!$A$165:$I$185,9,0)</f>
        <v>7.2</v>
      </c>
      <c r="DN83" s="13">
        <f t="array" ref="DN83">INDEX(DM:DM,MIN(IF(ISNUMBER(DM83:DM279),ROW(DM83:DM279),"")))</f>
        <v>7.2</v>
      </c>
      <c r="DO83" s="13">
        <f>IF('Données projet'!$A$166&gt;35,DO82+DN83-DW82,IF(A83&lt;'Données projet'!$A$166,$DL$205^A83,IF(A83='Données projet'!$A$166,'Données projet'!$B$166,DO82+DN83-DW82)))</f>
        <v>320</v>
      </c>
      <c r="DP83" s="18">
        <f>DO83*VLOOKUP('Données projet'!$B$14,Paramètres!$A$1:$I$89,3,0)*VLOOKUP('Données projet'!$B$14,Paramètres!$A$1:$I$89,5,0)</f>
        <v>344.44799999999998</v>
      </c>
      <c r="DQ83" s="14">
        <f t="shared" si="97"/>
        <v>80.418235058027051</v>
      </c>
      <c r="DR83" s="22">
        <f t="shared" si="70"/>
        <v>739.9753593927303</v>
      </c>
      <c r="DS83" s="62">
        <f t="shared" si="71"/>
        <v>1010.7039710314164</v>
      </c>
      <c r="DT83" s="62">
        <f ca="1">AVERAGE(OFFSET($DS$3,0,0,'Données projet'!$E$14+1,1))-AVERAGE(OFFSET($H$3,0,0,'Données projet'!$E$14+1,1))</f>
        <v>638.58602907610805</v>
      </c>
      <c r="DU83" s="62">
        <f t="shared" si="98"/>
        <v>341.9250949809848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5.6843418860808015E-14</v>
      </c>
      <c r="EK83" s="18">
        <f>EJ83*VLOOKUP('Données projet'!$B$15,Paramètres!$A$1:$I$89,3,0)*VLOOKUP('Données projet'!$B$15,Paramètres!$A$1:$I$89,5,0)</f>
        <v>3.3992364478763198E-14</v>
      </c>
      <c r="EL83" s="14">
        <f t="shared" si="99"/>
        <v>5.790027782444094E-13</v>
      </c>
      <c r="EM83" s="22">
        <f t="shared" si="73"/>
        <v>1.0676332069095257E-12</v>
      </c>
      <c r="EN83" s="62">
        <f t="shared" si="74"/>
        <v>270.7286116386872</v>
      </c>
      <c r="EO83" s="62">
        <f ca="1">AVERAGE(OFFSET($EN$3,0,0,'Données projet'!$E$15+1,1))-AVERAGE(OFFSET($H$3,0,0,'Données projet'!$E$15+1,1))</f>
        <v>223.57443551076992</v>
      </c>
      <c r="EP83" s="62">
        <f t="shared" si="100"/>
        <v>382.12751862619427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9.8868669498009822</v>
      </c>
      <c r="EW83" s="23">
        <f>EXP(-LN(2)/25)*EW82+(1-EXP(-LN(2)/25))/(LN(2)/25)*Calculateur!ER83*Calculateur!ET83*VLOOKUP('Données projet'!$B$15,Paramètres!$A$1:$I$89,3,0)*0.475*44/12</f>
        <v>3.4700280579596603</v>
      </c>
      <c r="EX83" s="23">
        <f>EXP(-LN(2)/2)*EX82+(1-EXP(-LN(2)/2))/(LN(2)/2)*ER83*EU83*VLOOKUP('Données projet'!$B$15,Paramètres!$A$1:$I$89,3,0)*0.475*44/12</f>
        <v>3.0212394844463696E-7</v>
      </c>
      <c r="EY83" s="24">
        <f t="shared" si="75"/>
        <v>13.356895309884591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100.14583333333333</v>
      </c>
      <c r="FC83" s="13">
        <f>VLOOKUP(A83,'Données projet'!$A$217:$I$237,9,0)</f>
        <v>1.5783333333333318</v>
      </c>
      <c r="FD83" s="13">
        <f t="array" ref="FD83">INDEX(FC:FC,MIN(IF(ISNUMBER(FC83:FC279),ROW(FC83:FC279),"")))</f>
        <v>1.5783333333333318</v>
      </c>
      <c r="FE83" s="13">
        <f>IF('Données projet'!$A$218&gt;35,FE82+FD83-FM82,IF(A83&lt;'Données projet'!$A$218,$FB$205^A83,IF(A83='Données projet'!$A$218,'Données projet'!$B$218,FE82+FD83-FM82)))</f>
        <v>100.14583333333327</v>
      </c>
      <c r="FF83" s="18">
        <f>FE83*VLOOKUP('Données projet'!$B$16,Paramètres!$A$1:$I$89,3,0)*VLOOKUP('Données projet'!$B$16,Paramètres!$A$1:$I$89,5,0)</f>
        <v>115.36799999999992</v>
      </c>
      <c r="FG83" s="14">
        <f t="shared" si="101"/>
        <v>30.592198767544506</v>
      </c>
      <c r="FH83" s="22">
        <f t="shared" si="76"/>
        <v>254.21401285347324</v>
      </c>
      <c r="FI83" s="62">
        <f t="shared" si="77"/>
        <v>524.94262449215933</v>
      </c>
      <c r="FJ83" s="62">
        <f ca="1">AVERAGE(OFFSET($FI$3,0,0,'Données projet'!$E$16+1,1))-AVERAGE(OFFSET($H$3,0,0,'Données projet'!$E$16+1,1))</f>
        <v>283.95543623515323</v>
      </c>
      <c r="FK83" s="62">
        <f t="shared" si="102"/>
        <v>196.96883829830929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9.1666666666666679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5.6843418860808015E-14</v>
      </c>
      <c r="GA83" s="18">
        <f>FZ83*VLOOKUP('Données projet'!$B$17,Paramètres!$A$1:$I$89,3,0)*VLOOKUP('Données projet'!$B$17,Paramètres!$A$1:$I$89,5,0)</f>
        <v>3.3992364478763198E-14</v>
      </c>
      <c r="GB83" s="14">
        <f t="shared" si="103"/>
        <v>5.790027782444094E-13</v>
      </c>
      <c r="GC83" s="22">
        <f t="shared" si="79"/>
        <v>1.0676332069095257E-12</v>
      </c>
      <c r="GD83" s="62">
        <f t="shared" si="80"/>
        <v>270.7286116386872</v>
      </c>
      <c r="GE83" s="62">
        <f ca="1">AVERAGE(OFFSET($GD$3,0,0,'Données projet'!$E$17+1,1))-AVERAGE(OFFSET($H$3,0,0,'Données projet'!$E$17+1,1))</f>
        <v>223.57443551076992</v>
      </c>
      <c r="GF83" s="62">
        <f t="shared" si="104"/>
        <v>382.12751862619427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9.8868669498009822</v>
      </c>
      <c r="GM83" s="23">
        <f>EXP(-LN(2)/25)*GM82+(1-EXP(-LN(2)/25))/(LN(2)/25)*Calculateur!GH83*Calculateur!GJ83*VLOOKUP('Données projet'!$B$17,Paramètres!$A$1:$I$89,3,0)*0.475*44/12</f>
        <v>3.4700280579596603</v>
      </c>
      <c r="GN83" s="23">
        <f>EXP(-LN(2)/2)*GN82+(1-EXP(-LN(2)/2))/(LN(2)/2)*GH83*GK83*VLOOKUP('Données projet'!$B$17,Paramètres!$A$1:$I$89,3,0)*0.475*44/12</f>
        <v>3.0212394844463696E-7</v>
      </c>
      <c r="GO83" s="23">
        <f t="shared" si="81"/>
        <v>13.356895309884591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6.3957954686202676</v>
      </c>
      <c r="GU83" s="13">
        <f>IF('Données projet'!$A$270&gt;35,GU82+GT83-HC82,IF(A83&lt;'Données projet'!$A$270,$GR$205^A83,IF(A83='Données projet'!$A$270,'Données projet'!$B$270,GU82+GT83-HC82)))</f>
        <v>270.29042535218548</v>
      </c>
      <c r="GV83" s="18">
        <f>GU83*VLOOKUP('Données projet'!$B$18,Paramètres!$A$1:$I$89,3,0)*VLOOKUP('Données projet'!$B$18,Paramètres!$A$1:$I$89,5,0)</f>
        <v>295.15714448458652</v>
      </c>
      <c r="GW83" s="14">
        <f t="shared" si="105"/>
        <v>70.160255323909723</v>
      </c>
      <c r="GX83" s="22">
        <f t="shared" si="82"/>
        <v>636.2611379997976</v>
      </c>
      <c r="GY83" s="62">
        <f t="shared" si="83"/>
        <v>906.98974963848377</v>
      </c>
      <c r="GZ83" s="62">
        <f ca="1">AVERAGE(OFFSET($GY$3,0,0,'Données projet'!$E$18+1,1))-AVERAGE(OFFSET($H$3,0,0,'Données projet'!$E$18+1,1))</f>
        <v>754.33260592777049</v>
      </c>
      <c r="HA83" s="62">
        <f t="shared" si="106"/>
        <v>250.97643915279005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9">
        <f t="shared" si="56"/>
        <v>183.33333333333334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3.8</v>
      </c>
      <c r="N84" s="14">
        <f>IF('Données projet'!$A$36&gt;35,N83+M84-V83,IF(A84&lt;'Données projet'!$A$36,$K$205^A84,IF(A84='Données projet'!$A$36,'Données projet'!$B$36,N83+M84-V83)))</f>
        <v>323.8</v>
      </c>
      <c r="O84" s="14">
        <f>N84*VLOOKUP('Données projet'!$B$9,Paramètres!$A$1:$I$89,3,0)*VLOOKUP('Données projet'!$B$9,Paramètres!$A$1:$I$89,5,0)</f>
        <v>292.97424000000001</v>
      </c>
      <c r="P84" s="14">
        <f t="shared" si="87"/>
        <v>69.701569084730806</v>
      </c>
      <c r="Q84" s="22">
        <f t="shared" si="54"/>
        <v>631.66036748923955</v>
      </c>
      <c r="R84" s="62">
        <f t="shared" si="55"/>
        <v>902.78112051274093</v>
      </c>
      <c r="S84" s="62">
        <f ca="1">AVERAGE(OFFSET($R$3,0,0,'Données projet'!$E$9+1,1))-AVERAGE(OFFSET($H$3,0,0,'Données projet'!$E$9+1,1))</f>
        <v>550.39292625253665</v>
      </c>
      <c r="T84" s="62">
        <f t="shared" si="88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3.8</v>
      </c>
      <c r="AI84" s="14">
        <f>IF('Données projet'!$A$62&gt;35,AI83+AH84-AQ83,IF(A84&lt;'Données projet'!$A$62,$AF$205^A84,IF(A84='Données projet'!$A$62,'Données projet'!$B$62,AI83+AH84-AQ83)))</f>
        <v>323.8</v>
      </c>
      <c r="AJ84" s="14">
        <f>AI84*VLOOKUP('Données projet'!$B$10,Paramètres!$A$1:$I$89,3,0)*VLOOKUP('Données projet'!$B$10,Paramètres!$A$1:$I$89,5,0)</f>
        <v>328.33320000000003</v>
      </c>
      <c r="AK84" s="14">
        <f t="shared" si="89"/>
        <v>77.084635229848772</v>
      </c>
      <c r="AL84" s="22">
        <f t="shared" si="58"/>
        <v>706.10272969198661</v>
      </c>
      <c r="AM84" s="62">
        <f t="shared" si="59"/>
        <v>977.22348271548799</v>
      </c>
      <c r="AN84" s="62">
        <f ca="1">AVERAGE(OFFSET($AM$3,0,0,'Données projet'!$E$10+1,1))-AVERAGE(OFFSET($H$3,0,0,'Données projet'!$E$10+1,1))</f>
        <v>606.55142836375308</v>
      </c>
      <c r="AO84" s="62">
        <f t="shared" si="90"/>
        <v>325.72635759450861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4.7435897435897463</v>
      </c>
      <c r="BD84" s="13">
        <f>IF('Données projet'!$A$88&gt;35,BD83+BC84-BL83,IF(A84&lt;'Données projet'!$A$88,$BA$205^A84,IF(A84='Données projet'!$A$88,'Données projet'!$B$88,BD83+BC84-BL83)))</f>
        <v>332.94871794871813</v>
      </c>
      <c r="BE84" s="14">
        <f>BD84*VLOOKUP('Données projet'!$B$11,Paramètres!$A$1:$I$89,3,0)*VLOOKUP('Données projet'!$B$11,Paramètres!$A$1:$I$89,5,0)</f>
        <v>347.99800000000022</v>
      </c>
      <c r="BF84" s="14">
        <f t="shared" si="91"/>
        <v>81.150141119373359</v>
      </c>
      <c r="BG84" s="22">
        <f t="shared" si="61"/>
        <v>747.43301244957559</v>
      </c>
      <c r="BH84" s="62">
        <f t="shared" si="62"/>
        <v>1018.553765473077</v>
      </c>
      <c r="BI84" s="62">
        <f ca="1">AVERAGE(OFFSET($BH$3,0,0,'Données projet'!$E$11+1,1))-AVERAGE(OFFSET($H$3,0,0,'Données projet'!$E$11+1,1))</f>
        <v>635.13577238794812</v>
      </c>
      <c r="BJ84" s="62">
        <f t="shared" si="92"/>
        <v>374.35810525172019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-6.8212102632969618E-13</v>
      </c>
      <c r="BZ84" s="14">
        <f>BY84*VLOOKUP('Données projet'!$B$12,Paramètres!$A$1:$I$89,3,0)*VLOOKUP('Données projet'!$B$12,Paramètres!$A$1:$I$89,5,0)</f>
        <v>-3.0149749363772573E-13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580.02817743695846</v>
      </c>
      <c r="CE84" s="62">
        <f t="shared" si="94"/>
        <v>551.23515633208865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9.52371794871795</v>
      </c>
      <c r="CT84" s="13">
        <f>IF('Données projet'!$A$140&gt;35,CT83+CS84-DB83,IF(A84&lt;'Données projet'!$A$140,$CQ$205^A84,IF(A84='Données projet'!$A$140,'Données projet'!$B$140,CT83+CS84-DB83)))</f>
        <v>340.73589743589736</v>
      </c>
      <c r="CU84" s="18">
        <f>CT84*VLOOKUP('Données projet'!$B$13,Paramètres!$A$1:$I$89,3,0)*VLOOKUP('Données projet'!$B$13,Paramètres!$A$1:$I$89,5,0)</f>
        <v>159.46439999999996</v>
      </c>
      <c r="CV84" s="14">
        <f t="shared" si="95"/>
        <v>40.721685766303267</v>
      </c>
      <c r="CW84" s="22">
        <f t="shared" si="67"/>
        <v>348.65743270964475</v>
      </c>
      <c r="CX84" s="62">
        <f t="shared" si="68"/>
        <v>619.77818573314619</v>
      </c>
      <c r="CY84" s="62">
        <f ca="1">AVERAGE(OFFSET($CX$3,0,0,'Données projet'!$E$13+1,1))-AVERAGE(OFFSET($H$3,0,0,'Données projet'!$E$13+1,1))</f>
        <v>321.05795935196863</v>
      </c>
      <c r="CZ84" s="62">
        <f t="shared" si="96"/>
        <v>209.59551322748908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3.8</v>
      </c>
      <c r="DO84" s="13">
        <f>IF('Données projet'!$A$166&gt;35,DO83+DN84-DW83,IF(A84&lt;'Données projet'!$A$166,$DL$205^A84,IF(A84='Données projet'!$A$166,'Données projet'!$B$166,DO83+DN84-DW83)))</f>
        <v>323.8</v>
      </c>
      <c r="DP84" s="18">
        <f>DO84*VLOOKUP('Données projet'!$B$14,Paramètres!$A$1:$I$89,3,0)*VLOOKUP('Données projet'!$B$14,Paramètres!$A$1:$I$89,5,0)</f>
        <v>348.53832</v>
      </c>
      <c r="DQ84" s="14">
        <f t="shared" si="97"/>
        <v>81.261462877861788</v>
      </c>
      <c r="DR84" s="22">
        <f t="shared" si="70"/>
        <v>748.56795517894261</v>
      </c>
      <c r="DS84" s="62">
        <f t="shared" si="71"/>
        <v>1019.6887082024441</v>
      </c>
      <c r="DT84" s="62">
        <f ca="1">AVERAGE(OFFSET($DS$3,0,0,'Données projet'!$E$14+1,1))-AVERAGE(OFFSET($H$3,0,0,'Données projet'!$E$14+1,1))</f>
        <v>638.58602907610805</v>
      </c>
      <c r="DU84" s="62">
        <f t="shared" si="98"/>
        <v>341.9250949809848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5.6843418860808015E-14</v>
      </c>
      <c r="EK84" s="18">
        <f>EJ84*VLOOKUP('Données projet'!$B$15,Paramètres!$A$1:$I$89,3,0)*VLOOKUP('Données projet'!$B$15,Paramètres!$A$1:$I$89,5,0)</f>
        <v>3.3992364478763198E-14</v>
      </c>
      <c r="EL84" s="14">
        <f t="shared" si="99"/>
        <v>5.790027782444094E-13</v>
      </c>
      <c r="EM84" s="22">
        <f t="shared" si="73"/>
        <v>1.0676332069095257E-12</v>
      </c>
      <c r="EN84" s="62">
        <f t="shared" si="74"/>
        <v>271.12075302350252</v>
      </c>
      <c r="EO84" s="62">
        <f ca="1">AVERAGE(OFFSET($EN$3,0,0,'Données projet'!$E$15+1,1))-AVERAGE(OFFSET($H$3,0,0,'Données projet'!$E$15+1,1))</f>
        <v>223.57443551076992</v>
      </c>
      <c r="EP84" s="62">
        <f t="shared" si="100"/>
        <v>382.12751862619427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9.692991519308773</v>
      </c>
      <c r="EW84" s="23">
        <f>EXP(-LN(2)/25)*EW83+(1-EXP(-LN(2)/25))/(LN(2)/25)*Calculateur!ER84*Calculateur!ET84*VLOOKUP('Données projet'!$B$15,Paramètres!$A$1:$I$89,3,0)*0.475*44/12</f>
        <v>3.3751399582339086</v>
      </c>
      <c r="EX84" s="23">
        <f>EXP(-LN(2)/2)*EX83+(1-EXP(-LN(2)/2))/(LN(2)/2)*ER84*EU84*VLOOKUP('Données projet'!$B$15,Paramètres!$A$1:$I$89,3,0)*0.475*44/12</f>
        <v>2.1363389270405767E-7</v>
      </c>
      <c r="EY84" s="24">
        <f t="shared" si="75"/>
        <v>13.068131691176575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1.5429166666666674</v>
      </c>
      <c r="FE84" s="13">
        <f>IF('Données projet'!$A$218&gt;35,FE83+FD84-FM83,IF(A84&lt;'Données projet'!$A$218,$FB$205^A84,IF(A84='Données projet'!$A$218,'Données projet'!$B$218,FE83+FD84-FM83)))</f>
        <v>92.522083333333271</v>
      </c>
      <c r="FF84" s="18">
        <f>FE84*VLOOKUP('Données projet'!$B$16,Paramètres!$A$1:$I$89,3,0)*VLOOKUP('Données projet'!$B$16,Paramètres!$A$1:$I$89,5,0)</f>
        <v>106.58543999999992</v>
      </c>
      <c r="FG84" s="14">
        <f t="shared" si="101"/>
        <v>28.525017119169313</v>
      </c>
      <c r="FH84" s="22">
        <f t="shared" si="76"/>
        <v>235.31737948255306</v>
      </c>
      <c r="FI84" s="62">
        <f t="shared" si="77"/>
        <v>506.4381325060545</v>
      </c>
      <c r="FJ84" s="62">
        <f ca="1">AVERAGE(OFFSET($FI$3,0,0,'Données projet'!$E$16+1,1))-AVERAGE(OFFSET($H$3,0,0,'Données projet'!$E$16+1,1))</f>
        <v>283.95543623515323</v>
      </c>
      <c r="FK84" s="62">
        <f t="shared" si="102"/>
        <v>196.96883829830929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5.6843418860808015E-14</v>
      </c>
      <c r="GA84" s="18">
        <f>FZ84*VLOOKUP('Données projet'!$B$17,Paramètres!$A$1:$I$89,3,0)*VLOOKUP('Données projet'!$B$17,Paramètres!$A$1:$I$89,5,0)</f>
        <v>3.3992364478763198E-14</v>
      </c>
      <c r="GB84" s="14">
        <f t="shared" si="103"/>
        <v>5.790027782444094E-13</v>
      </c>
      <c r="GC84" s="22">
        <f t="shared" si="79"/>
        <v>1.0676332069095257E-12</v>
      </c>
      <c r="GD84" s="62">
        <f t="shared" si="80"/>
        <v>271.12075302350252</v>
      </c>
      <c r="GE84" s="62">
        <f ca="1">AVERAGE(OFFSET($GD$3,0,0,'Données projet'!$E$17+1,1))-AVERAGE(OFFSET($H$3,0,0,'Données projet'!$E$17+1,1))</f>
        <v>223.57443551076992</v>
      </c>
      <c r="GF84" s="62">
        <f t="shared" si="104"/>
        <v>382.12751862619427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9.692991519308773</v>
      </c>
      <c r="GM84" s="23">
        <f>EXP(-LN(2)/25)*GM83+(1-EXP(-LN(2)/25))/(LN(2)/25)*Calculateur!GH84*Calculateur!GJ84*VLOOKUP('Données projet'!$B$17,Paramètres!$A$1:$I$89,3,0)*0.475*44/12</f>
        <v>3.3751399582339086</v>
      </c>
      <c r="GN84" s="23">
        <f>EXP(-LN(2)/2)*GN83+(1-EXP(-LN(2)/2))/(LN(2)/2)*GH84*GK84*VLOOKUP('Données projet'!$B$17,Paramètres!$A$1:$I$89,3,0)*0.475*44/12</f>
        <v>2.1363389270405767E-7</v>
      </c>
      <c r="GO84" s="23">
        <f t="shared" si="81"/>
        <v>13.068131691176575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6.3957954686202676</v>
      </c>
      <c r="GU84" s="13">
        <f>IF('Données projet'!$A$270&gt;35,GU83+GT84-HC83,IF(A84&lt;'Données projet'!$A$270,$GR$205^A84,IF(A84='Données projet'!$A$270,'Données projet'!$B$270,GU83+GT84-HC83)))</f>
        <v>276.68622082080577</v>
      </c>
      <c r="GV84" s="18">
        <f>GU84*VLOOKUP('Données projet'!$B$18,Paramètres!$A$1:$I$89,3,0)*VLOOKUP('Données projet'!$B$18,Paramètres!$A$1:$I$89,5,0)</f>
        <v>302.14135313631988</v>
      </c>
      <c r="GW84" s="14">
        <f t="shared" si="105"/>
        <v>71.625187349569458</v>
      </c>
      <c r="GX84" s="22">
        <f t="shared" si="82"/>
        <v>650.97672467959057</v>
      </c>
      <c r="GY84" s="62">
        <f t="shared" si="83"/>
        <v>922.09747770309195</v>
      </c>
      <c r="GZ84" s="62">
        <f ca="1">AVERAGE(OFFSET($GY$3,0,0,'Données projet'!$E$18+1,1))-AVERAGE(OFFSET($H$3,0,0,'Données projet'!$E$18+1,1))</f>
        <v>754.33260592777049</v>
      </c>
      <c r="HA84" s="62">
        <f t="shared" si="106"/>
        <v>250.97643915279005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9">
        <f t="shared" si="56"/>
        <v>183.33333333333334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3.8</v>
      </c>
      <c r="N85" s="14">
        <f>IF('Données projet'!$A$36&gt;35,N84+M85-V84,IF(A85&lt;'Données projet'!$A$36,$K$205^A85,IF(A85='Données projet'!$A$36,'Données projet'!$B$36,N84+M85-V84)))</f>
        <v>327.60000000000002</v>
      </c>
      <c r="O85" s="14">
        <f>N85*VLOOKUP('Données projet'!$B$9,Paramètres!$A$1:$I$89,3,0)*VLOOKUP('Données projet'!$B$9,Paramètres!$A$1:$I$89,5,0)</f>
        <v>296.41248000000002</v>
      </c>
      <c r="P85" s="14">
        <f t="shared" si="87"/>
        <v>70.423855708154761</v>
      </c>
      <c r="Q85" s="22">
        <f t="shared" si="54"/>
        <v>638.90661802503621</v>
      </c>
      <c r="R85" s="62">
        <f t="shared" si="55"/>
        <v>910.41270965702324</v>
      </c>
      <c r="S85" s="62">
        <f ca="1">AVERAGE(OFFSET($R$3,0,0,'Données projet'!$E$9+1,1))-AVERAGE(OFFSET($H$3,0,0,'Données projet'!$E$9+1,1))</f>
        <v>550.39292625253665</v>
      </c>
      <c r="T85" s="62">
        <f t="shared" si="88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3.8</v>
      </c>
      <c r="AI85" s="14">
        <f>IF('Données projet'!$A$62&gt;35,AI84+AH85-AQ84,IF(A85&lt;'Données projet'!$A$62,$AF$205^A85,IF(A85='Données projet'!$A$62,'Données projet'!$B$62,AI84+AH85-AQ84)))</f>
        <v>327.60000000000002</v>
      </c>
      <c r="AJ85" s="14">
        <f>AI85*VLOOKUP('Données projet'!$B$10,Paramètres!$A$1:$I$89,3,0)*VLOOKUP('Données projet'!$B$10,Paramètres!$A$1:$I$89,5,0)</f>
        <v>332.18640000000005</v>
      </c>
      <c r="AK85" s="14">
        <f t="shared" si="89"/>
        <v>77.88342931194974</v>
      </c>
      <c r="AL85" s="22">
        <f t="shared" si="58"/>
        <v>714.20495271831248</v>
      </c>
      <c r="AM85" s="62">
        <f t="shared" si="59"/>
        <v>985.71104435029952</v>
      </c>
      <c r="AN85" s="62">
        <f ca="1">AVERAGE(OFFSET($AM$3,0,0,'Données projet'!$E$10+1,1))-AVERAGE(OFFSET($H$3,0,0,'Données projet'!$E$10+1,1))</f>
        <v>606.55142836375308</v>
      </c>
      <c r="AO85" s="62">
        <f t="shared" si="90"/>
        <v>325.72635759450861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4.7435897435897463</v>
      </c>
      <c r="BD85" s="13">
        <f>IF('Données projet'!$A$88&gt;35,BD84+BC85-BL84,IF(A85&lt;'Données projet'!$A$88,$BA$205^A85,IF(A85='Données projet'!$A$88,'Données projet'!$B$88,BD84+BC85-BL84)))</f>
        <v>337.69230769230785</v>
      </c>
      <c r="BE85" s="14">
        <f>BD85*VLOOKUP('Données projet'!$B$11,Paramètres!$A$1:$I$89,3,0)*VLOOKUP('Données projet'!$B$11,Paramètres!$A$1:$I$89,5,0)</f>
        <v>352.95600000000019</v>
      </c>
      <c r="BF85" s="14">
        <f t="shared" si="91"/>
        <v>82.170884087237624</v>
      </c>
      <c r="BG85" s="22">
        <f t="shared" si="61"/>
        <v>757.84598978527254</v>
      </c>
      <c r="BH85" s="62">
        <f t="shared" si="62"/>
        <v>1029.3520814172596</v>
      </c>
      <c r="BI85" s="62">
        <f ca="1">AVERAGE(OFFSET($BH$3,0,0,'Données projet'!$E$11+1,1))-AVERAGE(OFFSET($H$3,0,0,'Données projet'!$E$11+1,1))</f>
        <v>635.13577238794812</v>
      </c>
      <c r="BJ85" s="62">
        <f t="shared" si="92"/>
        <v>374.35810525172019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-6.8212102632969618E-13</v>
      </c>
      <c r="BZ85" s="14">
        <f>BY85*VLOOKUP('Données projet'!$B$12,Paramètres!$A$1:$I$89,3,0)*VLOOKUP('Données projet'!$B$12,Paramètres!$A$1:$I$89,5,0)</f>
        <v>-3.0149749363772573E-13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580.02817743695846</v>
      </c>
      <c r="CE85" s="62">
        <f t="shared" si="94"/>
        <v>551.23515633208865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9.52371794871795</v>
      </c>
      <c r="CT85" s="13">
        <f>IF('Données projet'!$A$140&gt;35,CT84+CS85-DB84,IF(A85&lt;'Données projet'!$A$140,$CQ$205^A85,IF(A85='Données projet'!$A$140,'Données projet'!$B$140,CT84+CS85-DB84)))</f>
        <v>350.2596153846153</v>
      </c>
      <c r="CU85" s="18">
        <f>CT85*VLOOKUP('Données projet'!$B$13,Paramètres!$A$1:$I$89,3,0)*VLOOKUP('Données projet'!$B$13,Paramètres!$A$1:$I$89,5,0)</f>
        <v>163.92149999999995</v>
      </c>
      <c r="CV85" s="14">
        <f t="shared" si="95"/>
        <v>41.72577033989257</v>
      </c>
      <c r="CW85" s="22">
        <f t="shared" si="67"/>
        <v>358.16899584197949</v>
      </c>
      <c r="CX85" s="62">
        <f t="shared" si="68"/>
        <v>629.67508747396653</v>
      </c>
      <c r="CY85" s="62">
        <f ca="1">AVERAGE(OFFSET($CX$3,0,0,'Données projet'!$E$13+1,1))-AVERAGE(OFFSET($H$3,0,0,'Données projet'!$E$13+1,1))</f>
        <v>321.05795935196863</v>
      </c>
      <c r="CZ85" s="62">
        <f t="shared" si="96"/>
        <v>209.59551322748908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3.8</v>
      </c>
      <c r="DO85" s="13">
        <f>IF('Données projet'!$A$166&gt;35,DO84+DN85-DW84,IF(A85&lt;'Données projet'!$A$166,$DL$205^A85,IF(A85='Données projet'!$A$166,'Données projet'!$B$166,DO84+DN85-DW84)))</f>
        <v>327.60000000000002</v>
      </c>
      <c r="DP85" s="18">
        <f>DO85*VLOOKUP('Données projet'!$B$14,Paramètres!$A$1:$I$89,3,0)*VLOOKUP('Données projet'!$B$14,Paramètres!$A$1:$I$89,5,0)</f>
        <v>352.62864000000002</v>
      </c>
      <c r="DQ85" s="14">
        <f t="shared" si="97"/>
        <v>82.103539582981469</v>
      </c>
      <c r="DR85" s="22">
        <f t="shared" si="70"/>
        <v>757.15854610702615</v>
      </c>
      <c r="DS85" s="62">
        <f t="shared" si="71"/>
        <v>1028.6646377390132</v>
      </c>
      <c r="DT85" s="62">
        <f ca="1">AVERAGE(OFFSET($DS$3,0,0,'Données projet'!$E$14+1,1))-AVERAGE(OFFSET($H$3,0,0,'Données projet'!$E$14+1,1))</f>
        <v>638.58602907610805</v>
      </c>
      <c r="DU85" s="62">
        <f t="shared" si="98"/>
        <v>341.9250949809848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5.6843418860808015E-14</v>
      </c>
      <c r="EK85" s="18">
        <f>EJ85*VLOOKUP('Données projet'!$B$15,Paramètres!$A$1:$I$89,3,0)*VLOOKUP('Données projet'!$B$15,Paramètres!$A$1:$I$89,5,0)</f>
        <v>3.3992364478763198E-14</v>
      </c>
      <c r="EL85" s="14">
        <f t="shared" si="99"/>
        <v>5.790027782444094E-13</v>
      </c>
      <c r="EM85" s="22">
        <f t="shared" si="73"/>
        <v>1.0676332069095257E-12</v>
      </c>
      <c r="EN85" s="62">
        <f t="shared" si="74"/>
        <v>271.50609163198811</v>
      </c>
      <c r="EO85" s="62">
        <f ca="1">AVERAGE(OFFSET($EN$3,0,0,'Données projet'!$E$15+1,1))-AVERAGE(OFFSET($H$3,0,0,'Données projet'!$E$15+1,1))</f>
        <v>223.57443551076992</v>
      </c>
      <c r="EP85" s="62">
        <f t="shared" si="100"/>
        <v>382.12751862619427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9.5029178677561799</v>
      </c>
      <c r="EW85" s="23">
        <f>EXP(-LN(2)/25)*EW84+(1-EXP(-LN(2)/25))/(LN(2)/25)*Calculateur!ER85*Calculateur!ET85*VLOOKUP('Données projet'!$B$15,Paramètres!$A$1:$I$89,3,0)*0.475*44/12</f>
        <v>3.2828465785851058</v>
      </c>
      <c r="EX85" s="23">
        <f>EXP(-LN(2)/2)*EX84+(1-EXP(-LN(2)/2))/(LN(2)/2)*ER85*EU85*VLOOKUP('Données projet'!$B$15,Paramètres!$A$1:$I$89,3,0)*0.475*44/12</f>
        <v>1.5106197422231848E-7</v>
      </c>
      <c r="EY85" s="24">
        <f t="shared" si="75"/>
        <v>12.78576459740326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1.5429166666666674</v>
      </c>
      <c r="FE85" s="13">
        <f>IF('Données projet'!$A$218&gt;35,FE84+FD85-FM84,IF(A85&lt;'Données projet'!$A$218,$FB$205^A85,IF(A85='Données projet'!$A$218,'Données projet'!$B$218,FE84+FD85-FM84)))</f>
        <v>94.064999999999941</v>
      </c>
      <c r="FF85" s="18">
        <f>FE85*VLOOKUP('Données projet'!$B$16,Paramètres!$A$1:$I$89,3,0)*VLOOKUP('Données projet'!$B$16,Paramètres!$A$1:$I$89,5,0)</f>
        <v>108.36287999999992</v>
      </c>
      <c r="FG85" s="14">
        <f t="shared" si="101"/>
        <v>28.944930362905506</v>
      </c>
      <c r="FH85" s="22">
        <f t="shared" si="76"/>
        <v>239.14443638206026</v>
      </c>
      <c r="FI85" s="62">
        <f t="shared" si="77"/>
        <v>510.65052801404727</v>
      </c>
      <c r="FJ85" s="62">
        <f ca="1">AVERAGE(OFFSET($FI$3,0,0,'Données projet'!$E$16+1,1))-AVERAGE(OFFSET($H$3,0,0,'Données projet'!$E$16+1,1))</f>
        <v>283.95543623515323</v>
      </c>
      <c r="FK85" s="62">
        <f t="shared" si="102"/>
        <v>196.96883829830929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5.6843418860808015E-14</v>
      </c>
      <c r="GA85" s="18">
        <f>FZ85*VLOOKUP('Données projet'!$B$17,Paramètres!$A$1:$I$89,3,0)*VLOOKUP('Données projet'!$B$17,Paramètres!$A$1:$I$89,5,0)</f>
        <v>3.3992364478763198E-14</v>
      </c>
      <c r="GB85" s="14">
        <f t="shared" si="103"/>
        <v>5.790027782444094E-13</v>
      </c>
      <c r="GC85" s="22">
        <f t="shared" si="79"/>
        <v>1.0676332069095257E-12</v>
      </c>
      <c r="GD85" s="62">
        <f t="shared" si="80"/>
        <v>271.50609163198811</v>
      </c>
      <c r="GE85" s="62">
        <f ca="1">AVERAGE(OFFSET($GD$3,0,0,'Données projet'!$E$17+1,1))-AVERAGE(OFFSET($H$3,0,0,'Données projet'!$E$17+1,1))</f>
        <v>223.57443551076992</v>
      </c>
      <c r="GF85" s="62">
        <f t="shared" si="104"/>
        <v>382.12751862619427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9.5029178677561799</v>
      </c>
      <c r="GM85" s="23">
        <f>EXP(-LN(2)/25)*GM84+(1-EXP(-LN(2)/25))/(LN(2)/25)*Calculateur!GH85*Calculateur!GJ85*VLOOKUP('Données projet'!$B$17,Paramètres!$A$1:$I$89,3,0)*0.475*44/12</f>
        <v>3.2828465785851058</v>
      </c>
      <c r="GN85" s="23">
        <f>EXP(-LN(2)/2)*GN84+(1-EXP(-LN(2)/2))/(LN(2)/2)*GH85*GK85*VLOOKUP('Données projet'!$B$17,Paramètres!$A$1:$I$89,3,0)*0.475*44/12</f>
        <v>1.5106197422231848E-7</v>
      </c>
      <c r="GO85" s="23">
        <f t="shared" si="81"/>
        <v>12.78576459740326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6.3957954686202676</v>
      </c>
      <c r="GU85" s="13">
        <f>IF('Données projet'!$A$270&gt;35,GU84+GT85-HC84,IF(A85&lt;'Données projet'!$A$270,$GR$205^A85,IF(A85='Données projet'!$A$270,'Données projet'!$B$270,GU84+GT85-HC84)))</f>
        <v>283.08201628942606</v>
      </c>
      <c r="GV85" s="18">
        <f>GU85*VLOOKUP('Données projet'!$B$18,Paramètres!$A$1:$I$89,3,0)*VLOOKUP('Données projet'!$B$18,Paramètres!$A$1:$I$89,5,0)</f>
        <v>309.12556178805323</v>
      </c>
      <c r="GW85" s="14">
        <f t="shared" si="105"/>
        <v>73.08618265792775</v>
      </c>
      <c r="GX85" s="22">
        <f t="shared" si="82"/>
        <v>665.68545491008354</v>
      </c>
      <c r="GY85" s="62">
        <f t="shared" si="83"/>
        <v>937.19154654207057</v>
      </c>
      <c r="GZ85" s="62">
        <f ca="1">AVERAGE(OFFSET($GY$3,0,0,'Données projet'!$E$18+1,1))-AVERAGE(OFFSET($H$3,0,0,'Données projet'!$E$18+1,1))</f>
        <v>754.33260592777049</v>
      </c>
      <c r="HA85" s="62">
        <f t="shared" si="106"/>
        <v>250.97643915279005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9">
        <f t="shared" si="56"/>
        <v>183.33333333333334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3.8</v>
      </c>
      <c r="N86" s="14">
        <f>IF('Données projet'!$A$36&gt;35,N85+M86-V85,IF(A86&lt;'Données projet'!$A$36,$K$205^A86,IF(A86='Données projet'!$A$36,'Données projet'!$B$36,N85+M86-V85)))</f>
        <v>331.40000000000003</v>
      </c>
      <c r="O86" s="14">
        <f>N86*VLOOKUP('Données projet'!$B$9,Paramètres!$A$1:$I$89,3,0)*VLOOKUP('Données projet'!$B$9,Paramètres!$A$1:$I$89,5,0)</f>
        <v>299.85072000000002</v>
      </c>
      <c r="P86" s="14">
        <f t="shared" si="87"/>
        <v>71.145167747304328</v>
      </c>
      <c r="Q86" s="22">
        <f t="shared" si="54"/>
        <v>646.15117115988835</v>
      </c>
      <c r="R86" s="62">
        <f t="shared" si="55"/>
        <v>918.03591663699183</v>
      </c>
      <c r="S86" s="62">
        <f ca="1">AVERAGE(OFFSET($R$3,0,0,'Données projet'!$E$9+1,1))-AVERAGE(OFFSET($H$3,0,0,'Données projet'!$E$9+1,1))</f>
        <v>550.39292625253665</v>
      </c>
      <c r="T86" s="62">
        <f t="shared" si="88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3.8</v>
      </c>
      <c r="AI86" s="14">
        <f>IF('Données projet'!$A$62&gt;35,AI85+AH86-AQ85,IF(A86&lt;'Données projet'!$A$62,$AF$205^A86,IF(A86='Données projet'!$A$62,'Données projet'!$B$62,AI85+AH86-AQ85)))</f>
        <v>331.40000000000003</v>
      </c>
      <c r="AJ86" s="14">
        <f>AI86*VLOOKUP('Données projet'!$B$10,Paramètres!$A$1:$I$89,3,0)*VLOOKUP('Données projet'!$B$10,Paramètres!$A$1:$I$89,5,0)</f>
        <v>336.03960000000006</v>
      </c>
      <c r="AK86" s="14">
        <f t="shared" si="89"/>
        <v>78.681145577951611</v>
      </c>
      <c r="AL86" s="22">
        <f t="shared" si="58"/>
        <v>722.3052985482658</v>
      </c>
      <c r="AM86" s="62">
        <f t="shared" si="59"/>
        <v>994.19004402536928</v>
      </c>
      <c r="AN86" s="62">
        <f ca="1">AVERAGE(OFFSET($AM$3,0,0,'Données projet'!$E$10+1,1))-AVERAGE(OFFSET($H$3,0,0,'Données projet'!$E$10+1,1))</f>
        <v>606.55142836375308</v>
      </c>
      <c r="AO86" s="62">
        <f t="shared" si="90"/>
        <v>325.72635759450861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4.7435897435897463</v>
      </c>
      <c r="BD86" s="13">
        <f>IF('Données projet'!$A$88&gt;35,BD85+BC86-BL85,IF(A86&lt;'Données projet'!$A$88,$BA$205^A86,IF(A86='Données projet'!$A$88,'Données projet'!$B$88,BD85+BC86-BL85)))</f>
        <v>342.43589743589757</v>
      </c>
      <c r="BE86" s="14">
        <f>BD86*VLOOKUP('Données projet'!$B$11,Paramètres!$A$1:$I$89,3,0)*VLOOKUP('Données projet'!$B$11,Paramètres!$A$1:$I$89,5,0)</f>
        <v>357.91400000000016</v>
      </c>
      <c r="BF86" s="14">
        <f t="shared" si="91"/>
        <v>83.189959364704251</v>
      </c>
      <c r="BG86" s="22">
        <f t="shared" si="61"/>
        <v>768.25606256019353</v>
      </c>
      <c r="BH86" s="62">
        <f t="shared" si="62"/>
        <v>1040.1408080372971</v>
      </c>
      <c r="BI86" s="62">
        <f ca="1">AVERAGE(OFFSET($BH$3,0,0,'Données projet'!$E$11+1,1))-AVERAGE(OFFSET($H$3,0,0,'Données projet'!$E$11+1,1))</f>
        <v>635.13577238794812</v>
      </c>
      <c r="BJ86" s="62">
        <f t="shared" si="92"/>
        <v>374.35810525172019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-6.8212102632969618E-13</v>
      </c>
      <c r="BZ86" s="14">
        <f>BY86*VLOOKUP('Données projet'!$B$12,Paramètres!$A$1:$I$89,3,0)*VLOOKUP('Données projet'!$B$12,Paramètres!$A$1:$I$89,5,0)</f>
        <v>-3.0149749363772573E-13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580.02817743695846</v>
      </c>
      <c r="CE86" s="62">
        <f t="shared" si="94"/>
        <v>551.23515633208865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9.52371794871795</v>
      </c>
      <c r="CT86" s="13">
        <f>IF('Données projet'!$A$140&gt;35,CT85+CS86-DB85,IF(A86&lt;'Données projet'!$A$140,$CQ$205^A86,IF(A86='Données projet'!$A$140,'Données projet'!$B$140,CT85+CS86-DB85)))</f>
        <v>359.78333333333325</v>
      </c>
      <c r="CU86" s="18">
        <f>CT86*VLOOKUP('Données projet'!$B$13,Paramètres!$A$1:$I$89,3,0)*VLOOKUP('Données projet'!$B$13,Paramètres!$A$1:$I$89,5,0)</f>
        <v>168.37859999999995</v>
      </c>
      <c r="CV86" s="14">
        <f t="shared" si="95"/>
        <v>42.726681627572866</v>
      </c>
      <c r="CW86" s="22">
        <f t="shared" si="67"/>
        <v>367.67503216802265</v>
      </c>
      <c r="CX86" s="62">
        <f t="shared" si="68"/>
        <v>639.55977764512613</v>
      </c>
      <c r="CY86" s="62">
        <f ca="1">AVERAGE(OFFSET($CX$3,0,0,'Données projet'!$E$13+1,1))-AVERAGE(OFFSET($H$3,0,0,'Données projet'!$E$13+1,1))</f>
        <v>321.05795935196863</v>
      </c>
      <c r="CZ86" s="62">
        <f t="shared" si="96"/>
        <v>209.59551322748908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3.8</v>
      </c>
      <c r="DO86" s="13">
        <f>IF('Données projet'!$A$166&gt;35,DO85+DN86-DW85,IF(A86&lt;'Données projet'!$A$166,$DL$205^A86,IF(A86='Données projet'!$A$166,'Données projet'!$B$166,DO85+DN86-DW85)))</f>
        <v>331.40000000000003</v>
      </c>
      <c r="DP86" s="18">
        <f>DO86*VLOOKUP('Données projet'!$B$14,Paramètres!$A$1:$I$89,3,0)*VLOOKUP('Données projet'!$B$14,Paramètres!$A$1:$I$89,5,0)</f>
        <v>356.71895999999998</v>
      </c>
      <c r="DQ86" s="14">
        <f t="shared" si="97"/>
        <v>82.944480070583026</v>
      </c>
      <c r="DR86" s="22">
        <f t="shared" si="70"/>
        <v>765.74715812293209</v>
      </c>
      <c r="DS86" s="62">
        <f t="shared" si="71"/>
        <v>1037.6319036000355</v>
      </c>
      <c r="DT86" s="62">
        <f ca="1">AVERAGE(OFFSET($DS$3,0,0,'Données projet'!$E$14+1,1))-AVERAGE(OFFSET($H$3,0,0,'Données projet'!$E$14+1,1))</f>
        <v>638.58602907610805</v>
      </c>
      <c r="DU86" s="62">
        <f t="shared" si="98"/>
        <v>341.9250949809848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5.6843418860808015E-14</v>
      </c>
      <c r="EK86" s="18">
        <f>EJ86*VLOOKUP('Données projet'!$B$15,Paramètres!$A$1:$I$89,3,0)*VLOOKUP('Données projet'!$B$15,Paramètres!$A$1:$I$89,5,0)</f>
        <v>3.3992364478763198E-14</v>
      </c>
      <c r="EL86" s="14">
        <f t="shared" si="99"/>
        <v>5.790027782444094E-13</v>
      </c>
      <c r="EM86" s="22">
        <f t="shared" si="73"/>
        <v>1.0676332069095257E-12</v>
      </c>
      <c r="EN86" s="62">
        <f t="shared" si="74"/>
        <v>271.88474547710456</v>
      </c>
      <c r="EO86" s="62">
        <f ca="1">AVERAGE(OFFSET($EN$3,0,0,'Données projet'!$E$15+1,1))-AVERAGE(OFFSET($H$3,0,0,'Données projet'!$E$15+1,1))</f>
        <v>223.57443551076992</v>
      </c>
      <c r="EP86" s="62">
        <f t="shared" si="100"/>
        <v>382.12751862619427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9.3165714445770522</v>
      </c>
      <c r="EW86" s="23">
        <f>EXP(-LN(2)/25)*EW85+(1-EXP(-LN(2)/25))/(LN(2)/25)*Calculateur!ER86*Calculateur!ET86*VLOOKUP('Données projet'!$B$15,Paramètres!$A$1:$I$89,3,0)*0.475*44/12</f>
        <v>3.1930769662562977</v>
      </c>
      <c r="EX86" s="23">
        <f>EXP(-LN(2)/2)*EX85+(1-EXP(-LN(2)/2))/(LN(2)/2)*ER86*EU86*VLOOKUP('Données projet'!$B$15,Paramètres!$A$1:$I$89,3,0)*0.475*44/12</f>
        <v>1.0681694635202884E-7</v>
      </c>
      <c r="EY86" s="24">
        <f t="shared" si="75"/>
        <v>12.509648517650296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1.5429166666666674</v>
      </c>
      <c r="FE86" s="13">
        <f>IF('Données projet'!$A$218&gt;35,FE85+FD86-FM85,IF(A86&lt;'Données projet'!$A$218,$FB$205^A86,IF(A86='Données projet'!$A$218,'Données projet'!$B$218,FE85+FD86-FM85)))</f>
        <v>95.607916666666611</v>
      </c>
      <c r="FF86" s="18">
        <f>FE86*VLOOKUP('Données projet'!$B$16,Paramètres!$A$1:$I$89,3,0)*VLOOKUP('Données projet'!$B$16,Paramètres!$A$1:$I$89,5,0)</f>
        <v>110.14031999999993</v>
      </c>
      <c r="FG86" s="14">
        <f t="shared" si="101"/>
        <v>29.364042605701115</v>
      </c>
      <c r="FH86" s="22">
        <f t="shared" si="76"/>
        <v>242.97009820492926</v>
      </c>
      <c r="FI86" s="62">
        <f t="shared" si="77"/>
        <v>514.85484368203277</v>
      </c>
      <c r="FJ86" s="62">
        <f ca="1">AVERAGE(OFFSET($FI$3,0,0,'Données projet'!$E$16+1,1))-AVERAGE(OFFSET($H$3,0,0,'Données projet'!$E$16+1,1))</f>
        <v>283.95543623515323</v>
      </c>
      <c r="FK86" s="62">
        <f t="shared" si="102"/>
        <v>196.96883829830929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5.6843418860808015E-14</v>
      </c>
      <c r="GA86" s="18">
        <f>FZ86*VLOOKUP('Données projet'!$B$17,Paramètres!$A$1:$I$89,3,0)*VLOOKUP('Données projet'!$B$17,Paramètres!$A$1:$I$89,5,0)</f>
        <v>3.3992364478763198E-14</v>
      </c>
      <c r="GB86" s="14">
        <f t="shared" si="103"/>
        <v>5.790027782444094E-13</v>
      </c>
      <c r="GC86" s="22">
        <f t="shared" si="79"/>
        <v>1.0676332069095257E-12</v>
      </c>
      <c r="GD86" s="62">
        <f t="shared" si="80"/>
        <v>271.88474547710456</v>
      </c>
      <c r="GE86" s="62">
        <f ca="1">AVERAGE(OFFSET($GD$3,0,0,'Données projet'!$E$17+1,1))-AVERAGE(OFFSET($H$3,0,0,'Données projet'!$E$17+1,1))</f>
        <v>223.57443551076992</v>
      </c>
      <c r="GF86" s="62">
        <f t="shared" si="104"/>
        <v>382.12751862619427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9.3165714445770522</v>
      </c>
      <c r="GM86" s="23">
        <f>EXP(-LN(2)/25)*GM85+(1-EXP(-LN(2)/25))/(LN(2)/25)*Calculateur!GH86*Calculateur!GJ86*VLOOKUP('Données projet'!$B$17,Paramètres!$A$1:$I$89,3,0)*0.475*44/12</f>
        <v>3.1930769662562977</v>
      </c>
      <c r="GN86" s="23">
        <f>EXP(-LN(2)/2)*GN85+(1-EXP(-LN(2)/2))/(LN(2)/2)*GH86*GK86*VLOOKUP('Données projet'!$B$17,Paramètres!$A$1:$I$89,3,0)*0.475*44/12</f>
        <v>1.0681694635202884E-7</v>
      </c>
      <c r="GO86" s="23">
        <f t="shared" si="81"/>
        <v>12.509648517650296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6.3957954686202676</v>
      </c>
      <c r="GU86" s="13">
        <f>IF('Données projet'!$A$270&gt;35,GU85+GT86-HC85,IF(A86&lt;'Données projet'!$A$270,$GR$205^A86,IF(A86='Données projet'!$A$270,'Données projet'!$B$270,GU85+GT86-HC85)))</f>
        <v>289.47781175804636</v>
      </c>
      <c r="GV86" s="18">
        <f>GU86*VLOOKUP('Données projet'!$B$18,Paramètres!$A$1:$I$89,3,0)*VLOOKUP('Données projet'!$B$18,Paramètres!$A$1:$I$89,5,0)</f>
        <v>316.10977043978664</v>
      </c>
      <c r="GW86" s="14">
        <f t="shared" si="105"/>
        <v>74.54334043263016</v>
      </c>
      <c r="GX86" s="22">
        <f t="shared" si="82"/>
        <v>680.38750143612583</v>
      </c>
      <c r="GY86" s="62">
        <f t="shared" si="83"/>
        <v>952.27224691322931</v>
      </c>
      <c r="GZ86" s="62">
        <f ca="1">AVERAGE(OFFSET($GY$3,0,0,'Données projet'!$E$18+1,1))-AVERAGE(OFFSET($H$3,0,0,'Données projet'!$E$18+1,1))</f>
        <v>754.33260592777049</v>
      </c>
      <c r="HA86" s="62">
        <f t="shared" si="106"/>
        <v>250.97643915279005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9">
        <f t="shared" si="56"/>
        <v>183.33333333333334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3.8</v>
      </c>
      <c r="N87" s="14">
        <f>IF('Données projet'!$A$36&gt;35,N86+M87-V86,IF(A87&lt;'Données projet'!$A$36,$K$205^A87,IF(A87='Données projet'!$A$36,'Données projet'!$B$36,N86+M87-V86)))</f>
        <v>335.20000000000005</v>
      </c>
      <c r="O87" s="14">
        <f>N87*VLOOKUP('Données projet'!$B$9,Paramètres!$A$1:$I$89,3,0)*VLOOKUP('Données projet'!$B$9,Paramètres!$A$1:$I$89,5,0)</f>
        <v>303.28896000000003</v>
      </c>
      <c r="P87" s="14">
        <f t="shared" si="87"/>
        <v>71.865517670261696</v>
      </c>
      <c r="Q87" s="22">
        <f t="shared" si="54"/>
        <v>653.39404860903915</v>
      </c>
      <c r="R87" s="62">
        <f t="shared" si="55"/>
        <v>925.65087913358946</v>
      </c>
      <c r="S87" s="62">
        <f ca="1">AVERAGE(OFFSET($R$3,0,0,'Données projet'!$E$9+1,1))-AVERAGE(OFFSET($H$3,0,0,'Données projet'!$E$9+1,1))</f>
        <v>550.39292625253665</v>
      </c>
      <c r="T87" s="62">
        <f t="shared" si="88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3.8</v>
      </c>
      <c r="AI87" s="14">
        <f>IF('Données projet'!$A$62&gt;35,AI86+AH87-AQ86,IF(A87&lt;'Données projet'!$A$62,$AF$205^A87,IF(A87='Données projet'!$A$62,'Données projet'!$B$62,AI86+AH87-AQ86)))</f>
        <v>335.20000000000005</v>
      </c>
      <c r="AJ87" s="14">
        <f>AI87*VLOOKUP('Données projet'!$B$10,Paramètres!$A$1:$I$89,3,0)*VLOOKUP('Données projet'!$B$10,Paramètres!$A$1:$I$89,5,0)</f>
        <v>339.89280000000002</v>
      </c>
      <c r="AK87" s="14">
        <f t="shared" si="89"/>
        <v>79.477797816605189</v>
      </c>
      <c r="AL87" s="22">
        <f t="shared" si="58"/>
        <v>730.40379119725401</v>
      </c>
      <c r="AM87" s="62">
        <f t="shared" si="59"/>
        <v>1002.6606217218043</v>
      </c>
      <c r="AN87" s="62">
        <f ca="1">AVERAGE(OFFSET($AM$3,0,0,'Données projet'!$E$10+1,1))-AVERAGE(OFFSET($H$3,0,0,'Données projet'!$E$10+1,1))</f>
        <v>606.55142836375308</v>
      </c>
      <c r="AO87" s="62">
        <f t="shared" si="90"/>
        <v>325.72635759450861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4.7435897435897463</v>
      </c>
      <c r="BD87" s="13">
        <f>IF('Données projet'!$A$88&gt;35,BD86+BC87-BL86,IF(A87&lt;'Données projet'!$A$88,$BA$205^A87,IF(A87='Données projet'!$A$88,'Données projet'!$B$88,BD86+BC87-BL86)))</f>
        <v>347.1794871794873</v>
      </c>
      <c r="BE87" s="14">
        <f>BD87*VLOOKUP('Données projet'!$B$11,Paramètres!$A$1:$I$89,3,0)*VLOOKUP('Données projet'!$B$11,Paramètres!$A$1:$I$89,5,0)</f>
        <v>362.87200000000018</v>
      </c>
      <c r="BF87" s="14">
        <f t="shared" si="91"/>
        <v>84.207392723348264</v>
      </c>
      <c r="BG87" s="22">
        <f t="shared" si="61"/>
        <v>778.66327565983192</v>
      </c>
      <c r="BH87" s="62">
        <f t="shared" si="62"/>
        <v>1050.9201061843823</v>
      </c>
      <c r="BI87" s="62">
        <f ca="1">AVERAGE(OFFSET($BH$3,0,0,'Données projet'!$E$11+1,1))-AVERAGE(OFFSET($H$3,0,0,'Données projet'!$E$11+1,1))</f>
        <v>635.13577238794812</v>
      </c>
      <c r="BJ87" s="62">
        <f t="shared" si="92"/>
        <v>374.35810525172019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-6.8212102632969618E-13</v>
      </c>
      <c r="BZ87" s="14">
        <f>BY87*VLOOKUP('Données projet'!$B$12,Paramètres!$A$1:$I$89,3,0)*VLOOKUP('Données projet'!$B$12,Paramètres!$A$1:$I$89,5,0)</f>
        <v>-3.0149749363772573E-13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580.02817743695846</v>
      </c>
      <c r="CE87" s="62">
        <f t="shared" si="94"/>
        <v>551.23515633208865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9.52371794871795</v>
      </c>
      <c r="CT87" s="13">
        <f>IF('Données projet'!$A$140&gt;35,CT86+CS87-DB86,IF(A87&lt;'Données projet'!$A$140,$CQ$205^A87,IF(A87='Données projet'!$A$140,'Données projet'!$B$140,CT86+CS87-DB86)))</f>
        <v>369.30705128205119</v>
      </c>
      <c r="CU87" s="18">
        <f>CT87*VLOOKUP('Données projet'!$B$13,Paramètres!$A$1:$I$89,3,0)*VLOOKUP('Données projet'!$B$13,Paramètres!$A$1:$I$89,5,0)</f>
        <v>172.83569999999997</v>
      </c>
      <c r="CV87" s="14">
        <f t="shared" si="95"/>
        <v>43.72451328376944</v>
      </c>
      <c r="CW87" s="22">
        <f t="shared" si="67"/>
        <v>377.17570480256512</v>
      </c>
      <c r="CX87" s="62">
        <f t="shared" si="68"/>
        <v>649.43253532711537</v>
      </c>
      <c r="CY87" s="62">
        <f ca="1">AVERAGE(OFFSET($CX$3,0,0,'Données projet'!$E$13+1,1))-AVERAGE(OFFSET($H$3,0,0,'Données projet'!$E$13+1,1))</f>
        <v>321.05795935196863</v>
      </c>
      <c r="CZ87" s="62">
        <f t="shared" si="96"/>
        <v>209.59551322748908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3.8</v>
      </c>
      <c r="DO87" s="13">
        <f>IF('Données projet'!$A$166&gt;35,DO86+DN87-DW86,IF(A87&lt;'Données projet'!$A$166,$DL$205^A87,IF(A87='Données projet'!$A$166,'Données projet'!$B$166,DO86+DN87-DW86)))</f>
        <v>335.20000000000005</v>
      </c>
      <c r="DP87" s="18">
        <f>DO87*VLOOKUP('Données projet'!$B$14,Paramètres!$A$1:$I$89,3,0)*VLOOKUP('Données projet'!$B$14,Paramètres!$A$1:$I$89,5,0)</f>
        <v>360.80928</v>
      </c>
      <c r="DQ87" s="14">
        <f t="shared" si="97"/>
        <v>83.784298876560143</v>
      </c>
      <c r="DR87" s="22">
        <f t="shared" si="70"/>
        <v>774.33381654334232</v>
      </c>
      <c r="DS87" s="62">
        <f t="shared" si="71"/>
        <v>1046.5906470678926</v>
      </c>
      <c r="DT87" s="62">
        <f ca="1">AVERAGE(OFFSET($DS$3,0,0,'Données projet'!$E$14+1,1))-AVERAGE(OFFSET($H$3,0,0,'Données projet'!$E$14+1,1))</f>
        <v>638.58602907610805</v>
      </c>
      <c r="DU87" s="62">
        <f t="shared" si="98"/>
        <v>341.9250949809848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5.6843418860808015E-14</v>
      </c>
      <c r="EK87" s="18">
        <f>EJ87*VLOOKUP('Données projet'!$B$15,Paramètres!$A$1:$I$89,3,0)*VLOOKUP('Données projet'!$B$15,Paramètres!$A$1:$I$89,5,0)</f>
        <v>3.3992364478763198E-14</v>
      </c>
      <c r="EL87" s="14">
        <f t="shared" si="99"/>
        <v>5.790027782444094E-13</v>
      </c>
      <c r="EM87" s="22">
        <f t="shared" si="73"/>
        <v>1.0676332069095257E-12</v>
      </c>
      <c r="EN87" s="62">
        <f t="shared" si="74"/>
        <v>272.25683052455139</v>
      </c>
      <c r="EO87" s="62">
        <f ca="1">AVERAGE(OFFSET($EN$3,0,0,'Données projet'!$E$15+1,1))-AVERAGE(OFFSET($H$3,0,0,'Données projet'!$E$15+1,1))</f>
        <v>223.57443551076992</v>
      </c>
      <c r="EP87" s="62">
        <f t="shared" si="100"/>
        <v>382.12751862619427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9.1338791610963721</v>
      </c>
      <c r="EW87" s="23">
        <f>EXP(-LN(2)/25)*EW86+(1-EXP(-LN(2)/25))/(LN(2)/25)*Calculateur!ER87*Calculateur!ET87*VLOOKUP('Données projet'!$B$15,Paramètres!$A$1:$I$89,3,0)*0.475*44/12</f>
        <v>3.1057621086973994</v>
      </c>
      <c r="EX87" s="23">
        <f>EXP(-LN(2)/2)*EX86+(1-EXP(-LN(2)/2))/(LN(2)/2)*ER87*EU87*VLOOKUP('Données projet'!$B$15,Paramètres!$A$1:$I$89,3,0)*0.475*44/12</f>
        <v>7.553098711115924E-8</v>
      </c>
      <c r="EY87" s="24">
        <f t="shared" si="75"/>
        <v>12.23964134532476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1.5429166666666674</v>
      </c>
      <c r="FE87" s="13">
        <f>IF('Données projet'!$A$218&gt;35,FE86+FD87-FM86,IF(A87&lt;'Données projet'!$A$218,$FB$205^A87,IF(A87='Données projet'!$A$218,'Données projet'!$B$218,FE86+FD87-FM86)))</f>
        <v>97.150833333333281</v>
      </c>
      <c r="FF87" s="18">
        <f>FE87*VLOOKUP('Données projet'!$B$16,Paramètres!$A$1:$I$89,3,0)*VLOOKUP('Données projet'!$B$16,Paramètres!$A$1:$I$89,5,0)</f>
        <v>111.91775999999994</v>
      </c>
      <c r="FG87" s="14">
        <f t="shared" si="101"/>
        <v>29.782368266438901</v>
      </c>
      <c r="FH87" s="22">
        <f t="shared" si="76"/>
        <v>246.79439006404766</v>
      </c>
      <c r="FI87" s="62">
        <f t="shared" si="77"/>
        <v>519.05122058859797</v>
      </c>
      <c r="FJ87" s="62">
        <f ca="1">AVERAGE(OFFSET($FI$3,0,0,'Données projet'!$E$16+1,1))-AVERAGE(OFFSET($H$3,0,0,'Données projet'!$E$16+1,1))</f>
        <v>283.95543623515323</v>
      </c>
      <c r="FK87" s="62">
        <f t="shared" si="102"/>
        <v>196.96883829830929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5.6843418860808015E-14</v>
      </c>
      <c r="GA87" s="18">
        <f>FZ87*VLOOKUP('Données projet'!$B$17,Paramètres!$A$1:$I$89,3,0)*VLOOKUP('Données projet'!$B$17,Paramètres!$A$1:$I$89,5,0)</f>
        <v>3.3992364478763198E-14</v>
      </c>
      <c r="GB87" s="14">
        <f t="shared" si="103"/>
        <v>5.790027782444094E-13</v>
      </c>
      <c r="GC87" s="22">
        <f t="shared" si="79"/>
        <v>1.0676332069095257E-12</v>
      </c>
      <c r="GD87" s="62">
        <f t="shared" si="80"/>
        <v>272.25683052455139</v>
      </c>
      <c r="GE87" s="62">
        <f ca="1">AVERAGE(OFFSET($GD$3,0,0,'Données projet'!$E$17+1,1))-AVERAGE(OFFSET($H$3,0,0,'Données projet'!$E$17+1,1))</f>
        <v>223.57443551076992</v>
      </c>
      <c r="GF87" s="62">
        <f t="shared" si="104"/>
        <v>382.12751862619427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9.1338791610963721</v>
      </c>
      <c r="GM87" s="23">
        <f>EXP(-LN(2)/25)*GM86+(1-EXP(-LN(2)/25))/(LN(2)/25)*Calculateur!GH87*Calculateur!GJ87*VLOOKUP('Données projet'!$B$17,Paramètres!$A$1:$I$89,3,0)*0.475*44/12</f>
        <v>3.1057621086973994</v>
      </c>
      <c r="GN87" s="23">
        <f>EXP(-LN(2)/2)*GN86+(1-EXP(-LN(2)/2))/(LN(2)/2)*GH87*GK87*VLOOKUP('Données projet'!$B$17,Paramètres!$A$1:$I$89,3,0)*0.475*44/12</f>
        <v>7.553098711115924E-8</v>
      </c>
      <c r="GO87" s="23">
        <f t="shared" si="81"/>
        <v>12.23964134532476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6.3957954686202676</v>
      </c>
      <c r="GU87" s="13">
        <f>IF('Données projet'!$A$270&gt;35,GU86+GT87-HC86,IF(A87&lt;'Données projet'!$A$270,$GR$205^A87,IF(A87='Données projet'!$A$270,'Données projet'!$B$270,GU86+GT87-HC86)))</f>
        <v>295.87360722666665</v>
      </c>
      <c r="GV87" s="18">
        <f>GU87*VLOOKUP('Données projet'!$B$18,Paramètres!$A$1:$I$89,3,0)*VLOOKUP('Données projet'!$B$18,Paramètres!$A$1:$I$89,5,0)</f>
        <v>323.09397909152</v>
      </c>
      <c r="GW87" s="14">
        <f t="shared" si="105"/>
        <v>75.996755224293537</v>
      </c>
      <c r="GX87" s="22">
        <f t="shared" si="82"/>
        <v>695.0830289333752</v>
      </c>
      <c r="GY87" s="62">
        <f t="shared" si="83"/>
        <v>967.33985945792551</v>
      </c>
      <c r="GZ87" s="62">
        <f ca="1">AVERAGE(OFFSET($GY$3,0,0,'Données projet'!$E$18+1,1))-AVERAGE(OFFSET($H$3,0,0,'Données projet'!$E$18+1,1))</f>
        <v>754.33260592777049</v>
      </c>
      <c r="HA87" s="62">
        <f t="shared" si="106"/>
        <v>250.97643915279005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9">
        <f t="shared" si="56"/>
        <v>183.33333333333334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3.8</v>
      </c>
      <c r="N88" s="14">
        <f>IF('Données projet'!$A$36&gt;35,N87+M88-V87,IF(A88&lt;'Données projet'!$A$36,$K$205^A88,IF(A88='Données projet'!$A$36,'Données projet'!$B$36,N87+M88-V87)))</f>
        <v>339.00000000000006</v>
      </c>
      <c r="O88" s="14">
        <f>N88*VLOOKUP('Données projet'!$B$9,Paramètres!$A$1:$I$89,3,0)*VLOOKUP('Données projet'!$B$9,Paramètres!$A$1:$I$89,5,0)</f>
        <v>306.72720000000004</v>
      </c>
      <c r="P88" s="14">
        <f t="shared" si="87"/>
        <v>72.584917646145641</v>
      </c>
      <c r="Q88" s="22">
        <f t="shared" si="54"/>
        <v>660.63527156703708</v>
      </c>
      <c r="R88" s="62">
        <f t="shared" si="55"/>
        <v>933.25773229531865</v>
      </c>
      <c r="S88" s="62">
        <f ca="1">AVERAGE(OFFSET($R$3,0,0,'Données projet'!$E$9+1,1))-AVERAGE(OFFSET($H$3,0,0,'Données projet'!$E$9+1,1))</f>
        <v>550.39292625253665</v>
      </c>
      <c r="T88" s="62">
        <f t="shared" si="88"/>
        <v>297.32483725004136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3.8</v>
      </c>
      <c r="AI88" s="14">
        <f>IF('Données projet'!$A$62&gt;35,AI87+AH88-AQ87,IF(A88&lt;'Données projet'!$A$62,$AF$205^A88,IF(A88='Données projet'!$A$62,'Données projet'!$B$62,AI87+AH88-AQ87)))</f>
        <v>339.00000000000006</v>
      </c>
      <c r="AJ88" s="14">
        <f>AI88*VLOOKUP('Données projet'!$B$10,Paramètres!$A$1:$I$89,3,0)*VLOOKUP('Données projet'!$B$10,Paramètres!$A$1:$I$89,5,0)</f>
        <v>343.74600000000009</v>
      </c>
      <c r="AK88" s="14">
        <f t="shared" si="89"/>
        <v>80.273399486030513</v>
      </c>
      <c r="AL88" s="22">
        <f t="shared" si="58"/>
        <v>738.50045410483654</v>
      </c>
      <c r="AM88" s="62">
        <f t="shared" si="59"/>
        <v>1011.1229148331181</v>
      </c>
      <c r="AN88" s="62">
        <f ca="1">AVERAGE(OFFSET($AM$3,0,0,'Données projet'!$E$10+1,1))-AVERAGE(OFFSET($H$3,0,0,'Données projet'!$E$10+1,1))</f>
        <v>606.55142836375308</v>
      </c>
      <c r="AO88" s="62">
        <f t="shared" si="90"/>
        <v>325.72635759450861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351.92307692307691</v>
      </c>
      <c r="BB88" s="13">
        <f>VLOOKUP(A88,'Données projet'!$A$87:$I$107,9,0)</f>
        <v>4.7435897435897463</v>
      </c>
      <c r="BC88" s="13">
        <f t="array" ref="BC88">INDEX(BB:BB,MIN(IF(ISNUMBER(BB88:BB284),ROW(BB88:BB284),"")))</f>
        <v>4.7435897435897463</v>
      </c>
      <c r="BD88" s="13">
        <f>IF('Données projet'!$A$88&gt;35,BD87+BC88-BL87,IF(A88&lt;'Données projet'!$A$88,$BA$205^A88,IF(A88='Données projet'!$A$88,'Données projet'!$B$88,BD87+BC88-BL87)))</f>
        <v>351.92307692307702</v>
      </c>
      <c r="BE88" s="14">
        <f>BD88*VLOOKUP('Données projet'!$B$11,Paramètres!$A$1:$I$89,3,0)*VLOOKUP('Données projet'!$B$11,Paramètres!$A$1:$I$89,5,0)</f>
        <v>367.8300000000001</v>
      </c>
      <c r="BF88" s="14">
        <f t="shared" si="91"/>
        <v>85.223209190035078</v>
      </c>
      <c r="BG88" s="22">
        <f t="shared" si="61"/>
        <v>789.06767267264468</v>
      </c>
      <c r="BH88" s="62">
        <f t="shared" si="62"/>
        <v>1061.6901334009262</v>
      </c>
      <c r="BI88" s="62">
        <f ca="1">AVERAGE(OFFSET($BH$3,0,0,'Données projet'!$E$11+1,1))-AVERAGE(OFFSET($H$3,0,0,'Données projet'!$E$11+1,1))</f>
        <v>635.13577238794812</v>
      </c>
      <c r="BJ88" s="62">
        <f t="shared" si="92"/>
        <v>374.35810525172019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26.923076923076923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-6.8212102632969618E-13</v>
      </c>
      <c r="BZ88" s="14">
        <f>BY88*VLOOKUP('Données projet'!$B$12,Paramètres!$A$1:$I$89,3,0)*VLOOKUP('Données projet'!$B$12,Paramètres!$A$1:$I$89,5,0)</f>
        <v>-3.0149749363772573E-13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580.02817743695846</v>
      </c>
      <c r="CE88" s="62">
        <f t="shared" si="94"/>
        <v>551.23515633208865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378.83076923076925</v>
      </c>
      <c r="CR88" s="13">
        <f>VLOOKUP(A88,'Données projet'!$A$139:$I$159,9,0)</f>
        <v>9.52371794871795</v>
      </c>
      <c r="CS88" s="13">
        <f t="array" ref="CS88">INDEX(CR:CR,MIN(IF(ISNUMBER(CR88:CR284),ROW(CR88:CR284),"")))</f>
        <v>9.52371794871795</v>
      </c>
      <c r="CT88" s="13">
        <f>IF('Données projet'!$A$140&gt;35,CT87+CS88-DB87,IF(A88&lt;'Données projet'!$A$140,$CQ$205^A88,IF(A88='Données projet'!$A$140,'Données projet'!$B$140,CT87+CS88-DB87)))</f>
        <v>378.83076923076914</v>
      </c>
      <c r="CU88" s="18">
        <f>CT88*VLOOKUP('Données projet'!$B$13,Paramètres!$A$1:$I$89,3,0)*VLOOKUP('Données projet'!$B$13,Paramètres!$A$1:$I$89,5,0)</f>
        <v>177.29279999999997</v>
      </c>
      <c r="CV88" s="14">
        <f t="shared" si="95"/>
        <v>44.719353857403867</v>
      </c>
      <c r="CW88" s="22">
        <f t="shared" si="67"/>
        <v>386.67116796831169</v>
      </c>
      <c r="CX88" s="62">
        <f t="shared" si="68"/>
        <v>659.29362869659326</v>
      </c>
      <c r="CY88" s="62">
        <f ca="1">AVERAGE(OFFSET($CX$3,0,0,'Données projet'!$E$13+1,1))-AVERAGE(OFFSET($H$3,0,0,'Données projet'!$E$13+1,1))</f>
        <v>321.05795935196863</v>
      </c>
      <c r="CZ88" s="62">
        <f t="shared" si="96"/>
        <v>209.59551322748908</v>
      </c>
      <c r="DA88" s="16">
        <f>IF(ISNA(VLOOKUP(A88,'Données projet'!$A$139:$I$159,3,0)),0,VLOOKUP(A88,'Données projet'!$A$139:$I$159,3,0))</f>
        <v>4</v>
      </c>
      <c r="DB88" s="16">
        <f>IF(ISNA(VLOOKUP(A88,'Données projet'!$A$139:$I$159,4,0)),0,VLOOKUP(A88,'Données projet'!$A$139:$I$159,4,0))</f>
        <v>85.207692307692341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3.8</v>
      </c>
      <c r="DO88" s="13">
        <f>IF('Données projet'!$A$166&gt;35,DO87+DN88-DW87,IF(A88&lt;'Données projet'!$A$166,$DL$205^A88,IF(A88='Données projet'!$A$166,'Données projet'!$B$166,DO87+DN88-DW87)))</f>
        <v>339.00000000000006</v>
      </c>
      <c r="DP88" s="18">
        <f>DO88*VLOOKUP('Données projet'!$B$14,Paramètres!$A$1:$I$89,3,0)*VLOOKUP('Données projet'!$B$14,Paramètres!$A$1:$I$89,5,0)</f>
        <v>364.89960000000008</v>
      </c>
      <c r="DQ88" s="14">
        <f t="shared" si="97"/>
        <v>84.623010188260508</v>
      </c>
      <c r="DR88" s="22">
        <f t="shared" si="70"/>
        <v>782.91854607788719</v>
      </c>
      <c r="DS88" s="62">
        <f t="shared" si="71"/>
        <v>1055.5410068061688</v>
      </c>
      <c r="DT88" s="62">
        <f ca="1">AVERAGE(OFFSET($DS$3,0,0,'Données projet'!$E$14+1,1))-AVERAGE(OFFSET($H$3,0,0,'Données projet'!$E$14+1,1))</f>
        <v>638.58602907610805</v>
      </c>
      <c r="DU88" s="62">
        <f t="shared" si="98"/>
        <v>341.9250949809848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5.6843418860808015E-14</v>
      </c>
      <c r="EK88" s="18">
        <f>EJ88*VLOOKUP('Données projet'!$B$15,Paramètres!$A$1:$I$89,3,0)*VLOOKUP('Données projet'!$B$15,Paramètres!$A$1:$I$89,5,0)</f>
        <v>3.3992364478763198E-14</v>
      </c>
      <c r="EL88" s="14">
        <f t="shared" si="99"/>
        <v>5.790027782444094E-13</v>
      </c>
      <c r="EM88" s="22">
        <f t="shared" si="73"/>
        <v>1.0676332069095257E-12</v>
      </c>
      <c r="EN88" s="62">
        <f t="shared" si="74"/>
        <v>272.62246072828259</v>
      </c>
      <c r="EO88" s="62">
        <f ca="1">AVERAGE(OFFSET($EN$3,0,0,'Données projet'!$E$15+1,1))-AVERAGE(OFFSET($H$3,0,0,'Données projet'!$E$15+1,1))</f>
        <v>223.57443551076992</v>
      </c>
      <c r="EP88" s="62">
        <f t="shared" si="100"/>
        <v>382.12751862619427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8.954769361863459</v>
      </c>
      <c r="EW88" s="23">
        <f>EXP(-LN(2)/25)*EW87+(1-EXP(-LN(2)/25))/(LN(2)/25)*Calculateur!ER88*Calculateur!ET88*VLOOKUP('Données projet'!$B$15,Paramètres!$A$1:$I$89,3,0)*0.475*44/12</f>
        <v>3.0208348805101379</v>
      </c>
      <c r="EX88" s="23">
        <f>EXP(-LN(2)/2)*EX87+(1-EXP(-LN(2)/2))/(LN(2)/2)*ER88*EU88*VLOOKUP('Données projet'!$B$15,Paramètres!$A$1:$I$89,3,0)*0.475*44/12</f>
        <v>5.3408473176014419E-8</v>
      </c>
      <c r="EY88" s="24">
        <f t="shared" si="75"/>
        <v>11.97560429578207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1.5429166666666674</v>
      </c>
      <c r="FE88" s="13">
        <f>IF('Données projet'!$A$218&gt;35,FE87+FD88-FM87,IF(A88&lt;'Données projet'!$A$218,$FB$205^A88,IF(A88='Données projet'!$A$218,'Données projet'!$B$218,FE87+FD88-FM87)))</f>
        <v>98.693749999999952</v>
      </c>
      <c r="FF88" s="18">
        <f>FE88*VLOOKUP('Données projet'!$B$16,Paramètres!$A$1:$I$89,3,0)*VLOOKUP('Données projet'!$B$16,Paramètres!$A$1:$I$89,5,0)</f>
        <v>113.69519999999994</v>
      </c>
      <c r="FG88" s="14">
        <f t="shared" si="101"/>
        <v>30.199921279741705</v>
      </c>
      <c r="FH88" s="22">
        <f t="shared" si="76"/>
        <v>250.61733622888337</v>
      </c>
      <c r="FI88" s="62">
        <f t="shared" si="77"/>
        <v>523.23979695716491</v>
      </c>
      <c r="FJ88" s="62">
        <f ca="1">AVERAGE(OFFSET($FI$3,0,0,'Données projet'!$E$16+1,1))-AVERAGE(OFFSET($H$3,0,0,'Données projet'!$E$16+1,1))</f>
        <v>283.95543623515323</v>
      </c>
      <c r="FK88" s="62">
        <f t="shared" si="102"/>
        <v>196.96883829830929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5.6843418860808015E-14</v>
      </c>
      <c r="GA88" s="18">
        <f>FZ88*VLOOKUP('Données projet'!$B$17,Paramètres!$A$1:$I$89,3,0)*VLOOKUP('Données projet'!$B$17,Paramètres!$A$1:$I$89,5,0)</f>
        <v>3.3992364478763198E-14</v>
      </c>
      <c r="GB88" s="14">
        <f t="shared" si="103"/>
        <v>5.790027782444094E-13</v>
      </c>
      <c r="GC88" s="22">
        <f t="shared" si="79"/>
        <v>1.0676332069095257E-12</v>
      </c>
      <c r="GD88" s="62">
        <f t="shared" si="80"/>
        <v>272.62246072828259</v>
      </c>
      <c r="GE88" s="62">
        <f ca="1">AVERAGE(OFFSET($GD$3,0,0,'Données projet'!$E$17+1,1))-AVERAGE(OFFSET($H$3,0,0,'Données projet'!$E$17+1,1))</f>
        <v>223.57443551076992</v>
      </c>
      <c r="GF88" s="62">
        <f t="shared" si="104"/>
        <v>382.12751862619427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8.954769361863459</v>
      </c>
      <c r="GM88" s="23">
        <f>EXP(-LN(2)/25)*GM87+(1-EXP(-LN(2)/25))/(LN(2)/25)*Calculateur!GH88*Calculateur!GJ88*VLOOKUP('Données projet'!$B$17,Paramètres!$A$1:$I$89,3,0)*0.475*44/12</f>
        <v>3.0208348805101379</v>
      </c>
      <c r="GN88" s="23">
        <f>EXP(-LN(2)/2)*GN87+(1-EXP(-LN(2)/2))/(LN(2)/2)*GH88*GK88*VLOOKUP('Données projet'!$B$17,Paramètres!$A$1:$I$89,3,0)*0.475*44/12</f>
        <v>5.3408473176014419E-8</v>
      </c>
      <c r="GO88" s="23">
        <f t="shared" si="81"/>
        <v>11.97560429578207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6.3957954686202676</v>
      </c>
      <c r="GU88" s="13">
        <f>IF('Données projet'!$A$270&gt;35,GU87+GT88-HC87,IF(A88&lt;'Données projet'!$A$270,$GR$205^A88,IF(A88='Données projet'!$A$270,'Données projet'!$B$270,GU87+GT88-HC87)))</f>
        <v>302.26940269528694</v>
      </c>
      <c r="GV88" s="18">
        <f>GU88*VLOOKUP('Données projet'!$B$18,Paramètres!$A$1:$I$89,3,0)*VLOOKUP('Données projet'!$B$18,Paramètres!$A$1:$I$89,5,0)</f>
        <v>330.0781877432533</v>
      </c>
      <c r="GW88" s="14">
        <f t="shared" si="105"/>
        <v>77.446517262320228</v>
      </c>
      <c r="GX88" s="22">
        <f t="shared" si="82"/>
        <v>709.7721945513739</v>
      </c>
      <c r="GY88" s="62">
        <f t="shared" si="83"/>
        <v>982.39465527965535</v>
      </c>
      <c r="GZ88" s="62">
        <f ca="1">AVERAGE(OFFSET($GY$3,0,0,'Données projet'!$E$18+1,1))-AVERAGE(OFFSET($H$3,0,0,'Données projet'!$E$18+1,1))</f>
        <v>754.33260592777049</v>
      </c>
      <c r="HA88" s="62">
        <f t="shared" si="106"/>
        <v>250.97643915279005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9">
        <f t="shared" si="56"/>
        <v>183.33333333333334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3.8</v>
      </c>
      <c r="N89" s="14">
        <f>IF('Données projet'!$A$36&gt;35,N88+M89-V88,IF(A89&lt;'Données projet'!$A$36,$K$205^A89,IF(A89='Données projet'!$A$36,'Données projet'!$B$36,N88+M89-V88)))</f>
        <v>342.80000000000007</v>
      </c>
      <c r="O89" s="14">
        <f>N89*VLOOKUP('Données projet'!$B$9,Paramètres!$A$1:$I$89,3,0)*VLOOKUP('Données projet'!$B$9,Paramètres!$A$1:$I$89,5,0)</f>
        <v>310.16544000000005</v>
      </c>
      <c r="P89" s="14">
        <f t="shared" si="87"/>
        <v>73.303379555549114</v>
      </c>
      <c r="Q89" s="22">
        <f t="shared" si="54"/>
        <v>667.87486072591469</v>
      </c>
      <c r="R89" s="62">
        <f t="shared" si="55"/>
        <v>940.85660879131933</v>
      </c>
      <c r="S89" s="62">
        <f ca="1">AVERAGE(OFFSET($R$3,0,0,'Données projet'!$E$9+1,1))-AVERAGE(OFFSET($H$3,0,0,'Données projet'!$E$9+1,1))</f>
        <v>550.39292625253665</v>
      </c>
      <c r="T89" s="62">
        <f t="shared" si="88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3.8</v>
      </c>
      <c r="AI89" s="14">
        <f>IF('Données projet'!$A$62&gt;35,AI88+AH89-AQ88,IF(A89&lt;'Données projet'!$A$62,$AF$205^A89,IF(A89='Données projet'!$A$62,'Données projet'!$B$62,AI88+AH89-AQ88)))</f>
        <v>342.80000000000007</v>
      </c>
      <c r="AJ89" s="14">
        <f>AI89*VLOOKUP('Données projet'!$B$10,Paramètres!$A$1:$I$89,3,0)*VLOOKUP('Données projet'!$B$10,Paramètres!$A$1:$I$89,5,0)</f>
        <v>347.59920000000011</v>
      </c>
      <c r="AK89" s="14">
        <f t="shared" si="89"/>
        <v>81.067963725259943</v>
      </c>
      <c r="AL89" s="22">
        <f t="shared" si="58"/>
        <v>746.59531015482787</v>
      </c>
      <c r="AM89" s="62">
        <f t="shared" si="59"/>
        <v>1019.5770582202326</v>
      </c>
      <c r="AN89" s="62">
        <f ca="1">AVERAGE(OFFSET($AM$3,0,0,'Données projet'!$E$10+1,1))-AVERAGE(OFFSET($H$3,0,0,'Données projet'!$E$10+1,1))</f>
        <v>606.55142836375308</v>
      </c>
      <c r="AO89" s="62">
        <f t="shared" si="90"/>
        <v>325.72635759450861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4.4871794871794801</v>
      </c>
      <c r="BD89" s="13">
        <f>IF('Données projet'!$A$88&gt;35,BD88+BC89-BL88,IF(A89&lt;'Données projet'!$A$88,$BA$205^A89,IF(A89='Données projet'!$A$88,'Données projet'!$B$88,BD88+BC89-BL88)))</f>
        <v>329.48717948717962</v>
      </c>
      <c r="BE89" s="14">
        <f>BD89*VLOOKUP('Données projet'!$B$11,Paramètres!$A$1:$I$89,3,0)*VLOOKUP('Données projet'!$B$11,Paramètres!$A$1:$I$89,5,0)</f>
        <v>344.38000000000017</v>
      </c>
      <c r="BF89" s="14">
        <f t="shared" si="91"/>
        <v>80.404206905472648</v>
      </c>
      <c r="BG89" s="22">
        <f t="shared" si="61"/>
        <v>739.83249369369844</v>
      </c>
      <c r="BH89" s="62">
        <f t="shared" si="62"/>
        <v>1012.8142417591032</v>
      </c>
      <c r="BI89" s="62">
        <f ca="1">AVERAGE(OFFSET($BH$3,0,0,'Données projet'!$E$11+1,1))-AVERAGE(OFFSET($H$3,0,0,'Données projet'!$E$11+1,1))</f>
        <v>635.13577238794812</v>
      </c>
      <c r="BJ89" s="62">
        <f t="shared" si="92"/>
        <v>374.35810525172019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-6.8212102632969618E-13</v>
      </c>
      <c r="BZ89" s="14">
        <f>BY89*VLOOKUP('Données projet'!$B$12,Paramètres!$A$1:$I$89,3,0)*VLOOKUP('Données projet'!$B$12,Paramètres!$A$1:$I$89,5,0)</f>
        <v>-3.0149749363772573E-13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580.02817743695846</v>
      </c>
      <c r="CE89" s="62">
        <f t="shared" si="94"/>
        <v>551.23515633208865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8.7211538461538485</v>
      </c>
      <c r="CT89" s="13">
        <f>IF('Données projet'!$A$140&gt;35,CT88+CS89-DB88,IF(A89&lt;'Données projet'!$A$140,$CQ$205^A89,IF(A89='Données projet'!$A$140,'Données projet'!$B$140,CT88+CS89-DB88)))</f>
        <v>302.34423076923065</v>
      </c>
      <c r="CU89" s="18">
        <f>CT89*VLOOKUP('Données projet'!$B$13,Paramètres!$A$1:$I$89,3,0)*VLOOKUP('Données projet'!$B$13,Paramètres!$A$1:$I$89,5,0)</f>
        <v>141.49709999999996</v>
      </c>
      <c r="CV89" s="14">
        <f t="shared" si="95"/>
        <v>36.639757477223647</v>
      </c>
      <c r="CW89" s="22">
        <f t="shared" si="67"/>
        <v>310.25502677283106</v>
      </c>
      <c r="CX89" s="62">
        <f t="shared" si="68"/>
        <v>583.23677483823576</v>
      </c>
      <c r="CY89" s="62">
        <f ca="1">AVERAGE(OFFSET($CX$3,0,0,'Données projet'!$E$13+1,1))-AVERAGE(OFFSET($H$3,0,0,'Données projet'!$E$13+1,1))</f>
        <v>321.05795935196863</v>
      </c>
      <c r="CZ89" s="62">
        <f t="shared" si="96"/>
        <v>209.59551322748908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3.8</v>
      </c>
      <c r="DO89" s="13">
        <f>IF('Données projet'!$A$166&gt;35,DO88+DN89-DW88,IF(A89&lt;'Données projet'!$A$166,$DL$205^A89,IF(A89='Données projet'!$A$166,'Données projet'!$B$166,DO88+DN89-DW88)))</f>
        <v>342.80000000000007</v>
      </c>
      <c r="DP89" s="18">
        <f>DO89*VLOOKUP('Données projet'!$B$14,Paramètres!$A$1:$I$89,3,0)*VLOOKUP('Données projet'!$B$14,Paramètres!$A$1:$I$89,5,0)</f>
        <v>368.9899200000001</v>
      </c>
      <c r="DQ89" s="14">
        <f t="shared" si="97"/>
        <v>85.460627856654483</v>
      </c>
      <c r="DR89" s="22">
        <f t="shared" si="70"/>
        <v>791.50137085033987</v>
      </c>
      <c r="DS89" s="62">
        <f t="shared" si="71"/>
        <v>1064.4831189157446</v>
      </c>
      <c r="DT89" s="62">
        <f ca="1">AVERAGE(OFFSET($DS$3,0,0,'Données projet'!$E$14+1,1))-AVERAGE(OFFSET($H$3,0,0,'Données projet'!$E$14+1,1))</f>
        <v>638.58602907610805</v>
      </c>
      <c r="DU89" s="62">
        <f t="shared" si="98"/>
        <v>341.9250949809848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5.6843418860808015E-14</v>
      </c>
      <c r="EK89" s="18">
        <f>EJ89*VLOOKUP('Données projet'!$B$15,Paramètres!$A$1:$I$89,3,0)*VLOOKUP('Données projet'!$B$15,Paramètres!$A$1:$I$89,5,0)</f>
        <v>3.3992364478763198E-14</v>
      </c>
      <c r="EL89" s="14">
        <f t="shared" si="99"/>
        <v>5.790027782444094E-13</v>
      </c>
      <c r="EM89" s="22">
        <f t="shared" si="73"/>
        <v>1.0676332069095257E-12</v>
      </c>
      <c r="EN89" s="62">
        <f t="shared" si="74"/>
        <v>272.98174806540578</v>
      </c>
      <c r="EO89" s="62">
        <f ca="1">AVERAGE(OFFSET($EN$3,0,0,'Données projet'!$E$15+1,1))-AVERAGE(OFFSET($H$3,0,0,'Données projet'!$E$15+1,1))</f>
        <v>223.57443551076992</v>
      </c>
      <c r="EP89" s="62">
        <f t="shared" si="100"/>
        <v>382.12751862619427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8.7791717965473133</v>
      </c>
      <c r="EW89" s="23">
        <f>EXP(-LN(2)/25)*EW88+(1-EXP(-LN(2)/25))/(LN(2)/25)*Calculateur!ER89*Calculateur!ET89*VLOOKUP('Données projet'!$B$15,Paramètres!$A$1:$I$89,3,0)*0.475*44/12</f>
        <v>2.938229991843786</v>
      </c>
      <c r="EX89" s="23">
        <f>EXP(-LN(2)/2)*EX88+(1-EXP(-LN(2)/2))/(LN(2)/2)*ER89*EU89*VLOOKUP('Données projet'!$B$15,Paramètres!$A$1:$I$89,3,0)*0.475*44/12</f>
        <v>3.776549355557962E-8</v>
      </c>
      <c r="EY89" s="24">
        <f t="shared" si="75"/>
        <v>11.717401826156593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1.5429166666666674</v>
      </c>
      <c r="FE89" s="13">
        <f>IF('Données projet'!$A$218&gt;35,FE88+FD89-FM88,IF(A89&lt;'Données projet'!$A$218,$FB$205^A89,IF(A89='Données projet'!$A$218,'Données projet'!$B$218,FE88+FD89-FM88)))</f>
        <v>100.23666666666662</v>
      </c>
      <c r="FF89" s="18">
        <f>FE89*VLOOKUP('Données projet'!$B$16,Paramètres!$A$1:$I$89,3,0)*VLOOKUP('Données projet'!$B$16,Paramètres!$A$1:$I$89,5,0)</f>
        <v>115.47263999999994</v>
      </c>
      <c r="FG89" s="14">
        <f t="shared" si="101"/>
        <v>30.616715119547948</v>
      </c>
      <c r="FH89" s="22">
        <f t="shared" si="76"/>
        <v>254.43896016654585</v>
      </c>
      <c r="FI89" s="62">
        <f t="shared" si="77"/>
        <v>527.42070823195058</v>
      </c>
      <c r="FJ89" s="62">
        <f ca="1">AVERAGE(OFFSET($FI$3,0,0,'Données projet'!$E$16+1,1))-AVERAGE(OFFSET($H$3,0,0,'Données projet'!$E$16+1,1))</f>
        <v>283.95543623515323</v>
      </c>
      <c r="FK89" s="62">
        <f t="shared" si="102"/>
        <v>196.96883829830929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5.6843418860808015E-14</v>
      </c>
      <c r="GA89" s="18">
        <f>FZ89*VLOOKUP('Données projet'!$B$17,Paramètres!$A$1:$I$89,3,0)*VLOOKUP('Données projet'!$B$17,Paramètres!$A$1:$I$89,5,0)</f>
        <v>3.3992364478763198E-14</v>
      </c>
      <c r="GB89" s="14">
        <f t="shared" si="103"/>
        <v>5.790027782444094E-13</v>
      </c>
      <c r="GC89" s="22">
        <f t="shared" si="79"/>
        <v>1.0676332069095257E-12</v>
      </c>
      <c r="GD89" s="62">
        <f t="shared" si="80"/>
        <v>272.98174806540578</v>
      </c>
      <c r="GE89" s="62">
        <f ca="1">AVERAGE(OFFSET($GD$3,0,0,'Données projet'!$E$17+1,1))-AVERAGE(OFFSET($H$3,0,0,'Données projet'!$E$17+1,1))</f>
        <v>223.57443551076992</v>
      </c>
      <c r="GF89" s="62">
        <f t="shared" si="104"/>
        <v>382.12751862619427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8.7791717965473133</v>
      </c>
      <c r="GM89" s="23">
        <f>EXP(-LN(2)/25)*GM88+(1-EXP(-LN(2)/25))/(LN(2)/25)*Calculateur!GH89*Calculateur!GJ89*VLOOKUP('Données projet'!$B$17,Paramètres!$A$1:$I$89,3,0)*0.475*44/12</f>
        <v>2.938229991843786</v>
      </c>
      <c r="GN89" s="23">
        <f>EXP(-LN(2)/2)*GN88+(1-EXP(-LN(2)/2))/(LN(2)/2)*GH89*GK89*VLOOKUP('Données projet'!$B$17,Paramètres!$A$1:$I$89,3,0)*0.475*44/12</f>
        <v>3.776549355557962E-8</v>
      </c>
      <c r="GO89" s="23">
        <f t="shared" si="81"/>
        <v>11.717401826156593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6.3957954686202676</v>
      </c>
      <c r="GU89" s="13">
        <f>IF('Données projet'!$A$270&gt;35,GU88+GT89-HC88,IF(A89&lt;'Données projet'!$A$270,$GR$205^A89,IF(A89='Données projet'!$A$270,'Données projet'!$B$270,GU88+GT89-HC88)))</f>
        <v>308.66519816390723</v>
      </c>
      <c r="GV89" s="18">
        <f>GU89*VLOOKUP('Données projet'!$B$18,Paramètres!$A$1:$I$89,3,0)*VLOOKUP('Données projet'!$B$18,Paramètres!$A$1:$I$89,5,0)</f>
        <v>337.06239639498671</v>
      </c>
      <c r="GW89" s="14">
        <f t="shared" si="105"/>
        <v>78.89271273957668</v>
      </c>
      <c r="GX89" s="22">
        <f t="shared" si="82"/>
        <v>724.45514840936448</v>
      </c>
      <c r="GY89" s="62">
        <f t="shared" si="83"/>
        <v>997.43689647476913</v>
      </c>
      <c r="GZ89" s="62">
        <f ca="1">AVERAGE(OFFSET($GY$3,0,0,'Données projet'!$E$18+1,1))-AVERAGE(OFFSET($H$3,0,0,'Données projet'!$E$18+1,1))</f>
        <v>754.33260592777049</v>
      </c>
      <c r="HA89" s="62">
        <f t="shared" si="106"/>
        <v>250.97643915279005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9">
        <f t="shared" si="56"/>
        <v>183.33333333333334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3.8</v>
      </c>
      <c r="N90" s="14">
        <f>IF('Données projet'!$A$36&gt;35,N89+M90-V89,IF(A90&lt;'Données projet'!$A$36,$K$205^A90,IF(A90='Données projet'!$A$36,'Données projet'!$B$36,N89+M90-V89)))</f>
        <v>346.60000000000008</v>
      </c>
      <c r="O90" s="14">
        <f>N90*VLOOKUP('Données projet'!$B$9,Paramètres!$A$1:$I$89,3,0)*VLOOKUP('Données projet'!$B$9,Paramètres!$A$1:$I$89,5,0)</f>
        <v>313.60368000000005</v>
      </c>
      <c r="P90" s="14">
        <f t="shared" si="87"/>
        <v>74.020915000501219</v>
      </c>
      <c r="Q90" s="22">
        <f t="shared" si="54"/>
        <v>675.11283629253967</v>
      </c>
      <c r="R90" s="62">
        <f t="shared" si="55"/>
        <v>948.4476388630145</v>
      </c>
      <c r="S90" s="62">
        <f ca="1">AVERAGE(OFFSET($R$3,0,0,'Données projet'!$E$9+1,1))-AVERAGE(OFFSET($H$3,0,0,'Données projet'!$E$9+1,1))</f>
        <v>550.39292625253665</v>
      </c>
      <c r="T90" s="62">
        <f t="shared" si="88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3.8</v>
      </c>
      <c r="AI90" s="14">
        <f>IF('Données projet'!$A$62&gt;35,AI89+AH90-AQ89,IF(A90&lt;'Données projet'!$A$62,$AF$205^A90,IF(A90='Données projet'!$A$62,'Données projet'!$B$62,AI89+AH90-AQ89)))</f>
        <v>346.60000000000008</v>
      </c>
      <c r="AJ90" s="14">
        <f>AI90*VLOOKUP('Données projet'!$B$10,Paramètres!$A$1:$I$89,3,0)*VLOOKUP('Données projet'!$B$10,Paramètres!$A$1:$I$89,5,0)</f>
        <v>351.45240000000007</v>
      </c>
      <c r="AK90" s="14">
        <f t="shared" si="89"/>
        <v>81.861503365255544</v>
      </c>
      <c r="AL90" s="22">
        <f t="shared" si="58"/>
        <v>754.68838169448679</v>
      </c>
      <c r="AM90" s="62">
        <f t="shared" si="59"/>
        <v>1028.0231842649616</v>
      </c>
      <c r="AN90" s="62">
        <f ca="1">AVERAGE(OFFSET($AM$3,0,0,'Données projet'!$E$10+1,1))-AVERAGE(OFFSET($H$3,0,0,'Données projet'!$E$10+1,1))</f>
        <v>606.55142836375308</v>
      </c>
      <c r="AO90" s="62">
        <f t="shared" si="90"/>
        <v>325.72635759450861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4.4871794871794801</v>
      </c>
      <c r="BD90" s="13">
        <f>IF('Données projet'!$A$88&gt;35,BD89+BC90-BL89,IF(A90&lt;'Données projet'!$A$88,$BA$205^A90,IF(A90='Données projet'!$A$88,'Données projet'!$B$88,BD89+BC90-BL89)))</f>
        <v>333.97435897435912</v>
      </c>
      <c r="BE90" s="14">
        <f>BD90*VLOOKUP('Données projet'!$B$11,Paramètres!$A$1:$I$89,3,0)*VLOOKUP('Données projet'!$B$11,Paramètres!$A$1:$I$89,5,0)</f>
        <v>349.07000000000016</v>
      </c>
      <c r="BF90" s="14">
        <f t="shared" si="91"/>
        <v>81.370984936065256</v>
      </c>
      <c r="BG90" s="22">
        <f t="shared" si="61"/>
        <v>749.68471543031399</v>
      </c>
      <c r="BH90" s="62">
        <f t="shared" si="62"/>
        <v>1023.0195180007888</v>
      </c>
      <c r="BI90" s="62">
        <f ca="1">AVERAGE(OFFSET($BH$3,0,0,'Données projet'!$E$11+1,1))-AVERAGE(OFFSET($H$3,0,0,'Données projet'!$E$11+1,1))</f>
        <v>635.13577238794812</v>
      </c>
      <c r="BJ90" s="62">
        <f t="shared" si="92"/>
        <v>374.35810525172019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-6.8212102632969618E-13</v>
      </c>
      <c r="BZ90" s="14">
        <f>BY90*VLOOKUP('Données projet'!$B$12,Paramètres!$A$1:$I$89,3,0)*VLOOKUP('Données projet'!$B$12,Paramètres!$A$1:$I$89,5,0)</f>
        <v>-3.0149749363772573E-13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580.02817743695846</v>
      </c>
      <c r="CE90" s="62">
        <f t="shared" si="94"/>
        <v>551.23515633208865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8.7211538461538485</v>
      </c>
      <c r="CT90" s="13">
        <f>IF('Données projet'!$A$140&gt;35,CT89+CS90-DB89,IF(A90&lt;'Données projet'!$A$140,$CQ$205^A90,IF(A90='Données projet'!$A$140,'Données projet'!$B$140,CT89+CS90-DB89)))</f>
        <v>311.06538461538452</v>
      </c>
      <c r="CU90" s="18">
        <f>CT90*VLOOKUP('Données projet'!$B$13,Paramètres!$A$1:$I$89,3,0)*VLOOKUP('Données projet'!$B$13,Paramètres!$A$1:$I$89,5,0)</f>
        <v>145.57859999999994</v>
      </c>
      <c r="CV90" s="14">
        <f t="shared" si="95"/>
        <v>37.572063695955563</v>
      </c>
      <c r="CW90" s="22">
        <f t="shared" si="67"/>
        <v>318.98740593712245</v>
      </c>
      <c r="CX90" s="62">
        <f t="shared" si="68"/>
        <v>592.32220850759722</v>
      </c>
      <c r="CY90" s="62">
        <f ca="1">AVERAGE(OFFSET($CX$3,0,0,'Données projet'!$E$13+1,1))-AVERAGE(OFFSET($H$3,0,0,'Données projet'!$E$13+1,1))</f>
        <v>321.05795935196863</v>
      </c>
      <c r="CZ90" s="62">
        <f t="shared" si="96"/>
        <v>209.59551322748908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3.8</v>
      </c>
      <c r="DO90" s="13">
        <f>IF('Données projet'!$A$166&gt;35,DO89+DN90-DW89,IF(A90&lt;'Données projet'!$A$166,$DL$205^A90,IF(A90='Données projet'!$A$166,'Données projet'!$B$166,DO89+DN90-DW89)))</f>
        <v>346.60000000000008</v>
      </c>
      <c r="DP90" s="18">
        <f>DO90*VLOOKUP('Données projet'!$B$14,Paramètres!$A$1:$I$89,3,0)*VLOOKUP('Données projet'!$B$14,Paramètres!$A$1:$I$89,5,0)</f>
        <v>373.08024000000006</v>
      </c>
      <c r="DQ90" s="14">
        <f t="shared" si="97"/>
        <v>86.29716540794891</v>
      </c>
      <c r="DR90" s="22">
        <f t="shared" si="70"/>
        <v>800.08231441884436</v>
      </c>
      <c r="DS90" s="62">
        <f t="shared" si="71"/>
        <v>1073.4171169893193</v>
      </c>
      <c r="DT90" s="62">
        <f ca="1">AVERAGE(OFFSET($DS$3,0,0,'Données projet'!$E$14+1,1))-AVERAGE(OFFSET($H$3,0,0,'Données projet'!$E$14+1,1))</f>
        <v>638.58602907610805</v>
      </c>
      <c r="DU90" s="62">
        <f t="shared" si="98"/>
        <v>341.9250949809848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5.6843418860808015E-14</v>
      </c>
      <c r="EK90" s="18">
        <f>EJ90*VLOOKUP('Données projet'!$B$15,Paramètres!$A$1:$I$89,3,0)*VLOOKUP('Données projet'!$B$15,Paramètres!$A$1:$I$89,5,0)</f>
        <v>3.3992364478763198E-14</v>
      </c>
      <c r="EL90" s="14">
        <f t="shared" si="99"/>
        <v>5.790027782444094E-13</v>
      </c>
      <c r="EM90" s="22">
        <f t="shared" si="73"/>
        <v>1.0676332069095257E-12</v>
      </c>
      <c r="EN90" s="62">
        <f t="shared" si="74"/>
        <v>273.33480257047592</v>
      </c>
      <c r="EO90" s="62">
        <f ca="1">AVERAGE(OFFSET($EN$3,0,0,'Données projet'!$E$15+1,1))-AVERAGE(OFFSET($H$3,0,0,'Données projet'!$E$15+1,1))</f>
        <v>223.57443551076992</v>
      </c>
      <c r="EP90" s="62">
        <f t="shared" si="100"/>
        <v>382.12751862619427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8.6070175923830767</v>
      </c>
      <c r="EW90" s="23">
        <f>EXP(-LN(2)/25)*EW89+(1-EXP(-LN(2)/25))/(LN(2)/25)*Calculateur!ER90*Calculateur!ET90*VLOOKUP('Données projet'!$B$15,Paramètres!$A$1:$I$89,3,0)*0.475*44/12</f>
        <v>2.8578839382020176</v>
      </c>
      <c r="EX90" s="23">
        <f>EXP(-LN(2)/2)*EX89+(1-EXP(-LN(2)/2))/(LN(2)/2)*ER90*EU90*VLOOKUP('Données projet'!$B$15,Paramètres!$A$1:$I$89,3,0)*0.475*44/12</f>
        <v>2.6704236588007209E-8</v>
      </c>
      <c r="EY90" s="24">
        <f t="shared" si="75"/>
        <v>11.464901557289332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1.5429166666666674</v>
      </c>
      <c r="FE90" s="13">
        <f>IF('Données projet'!$A$218&gt;35,FE89+FD90-FM89,IF(A90&lt;'Données projet'!$A$218,$FB$205^A90,IF(A90='Données projet'!$A$218,'Données projet'!$B$218,FE89+FD90-FM89)))</f>
        <v>101.77958333333329</v>
      </c>
      <c r="FF90" s="18">
        <f>FE90*VLOOKUP('Données projet'!$B$16,Paramètres!$A$1:$I$89,3,0)*VLOOKUP('Données projet'!$B$16,Paramètres!$A$1:$I$89,5,0)</f>
        <v>117.25007999999994</v>
      </c>
      <c r="FG90" s="14">
        <f t="shared" si="101"/>
        <v>31.032762821194346</v>
      </c>
      <c r="FH90" s="22">
        <f t="shared" si="76"/>
        <v>258.25928458024669</v>
      </c>
      <c r="FI90" s="62">
        <f t="shared" si="77"/>
        <v>531.59408715072152</v>
      </c>
      <c r="FJ90" s="62">
        <f ca="1">AVERAGE(OFFSET($FI$3,0,0,'Données projet'!$E$16+1,1))-AVERAGE(OFFSET($H$3,0,0,'Données projet'!$E$16+1,1))</f>
        <v>283.95543623515323</v>
      </c>
      <c r="FK90" s="62">
        <f t="shared" si="102"/>
        <v>196.96883829830929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5.6843418860808015E-14</v>
      </c>
      <c r="GA90" s="18">
        <f>FZ90*VLOOKUP('Données projet'!$B$17,Paramètres!$A$1:$I$89,3,0)*VLOOKUP('Données projet'!$B$17,Paramètres!$A$1:$I$89,5,0)</f>
        <v>3.3992364478763198E-14</v>
      </c>
      <c r="GB90" s="14">
        <f t="shared" si="103"/>
        <v>5.790027782444094E-13</v>
      </c>
      <c r="GC90" s="22">
        <f t="shared" si="79"/>
        <v>1.0676332069095257E-12</v>
      </c>
      <c r="GD90" s="62">
        <f t="shared" si="80"/>
        <v>273.33480257047592</v>
      </c>
      <c r="GE90" s="62">
        <f ca="1">AVERAGE(OFFSET($GD$3,0,0,'Données projet'!$E$17+1,1))-AVERAGE(OFFSET($H$3,0,0,'Données projet'!$E$17+1,1))</f>
        <v>223.57443551076992</v>
      </c>
      <c r="GF90" s="62">
        <f t="shared" si="104"/>
        <v>382.12751862619427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8.6070175923830767</v>
      </c>
      <c r="GM90" s="23">
        <f>EXP(-LN(2)/25)*GM89+(1-EXP(-LN(2)/25))/(LN(2)/25)*Calculateur!GH90*Calculateur!GJ90*VLOOKUP('Données projet'!$B$17,Paramètres!$A$1:$I$89,3,0)*0.475*44/12</f>
        <v>2.8578839382020176</v>
      </c>
      <c r="GN90" s="23">
        <f>EXP(-LN(2)/2)*GN89+(1-EXP(-LN(2)/2))/(LN(2)/2)*GH90*GK90*VLOOKUP('Données projet'!$B$17,Paramètres!$A$1:$I$89,3,0)*0.475*44/12</f>
        <v>2.6704236588007209E-8</v>
      </c>
      <c r="GO90" s="23">
        <f t="shared" si="81"/>
        <v>11.464901557289332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6.3957954686202676</v>
      </c>
      <c r="GU90" s="13">
        <f>IF('Données projet'!$A$270&gt;35,GU89+GT90-HC89,IF(A90&lt;'Données projet'!$A$270,$GR$205^A90,IF(A90='Données projet'!$A$270,'Données projet'!$B$270,GU89+GT90-HC89)))</f>
        <v>315.06099363252753</v>
      </c>
      <c r="GV90" s="18">
        <f>GU90*VLOOKUP('Données projet'!$B$18,Paramètres!$A$1:$I$89,3,0)*VLOOKUP('Données projet'!$B$18,Paramètres!$A$1:$I$89,5,0)</f>
        <v>344.04660504672006</v>
      </c>
      <c r="GW90" s="14">
        <f t="shared" si="105"/>
        <v>80.335424072810568</v>
      </c>
      <c r="GX90" s="22">
        <f t="shared" si="82"/>
        <v>739.13203404984915</v>
      </c>
      <c r="GY90" s="62">
        <f t="shared" si="83"/>
        <v>1012.466836620324</v>
      </c>
      <c r="GZ90" s="62">
        <f ca="1">AVERAGE(OFFSET($GY$3,0,0,'Données projet'!$E$18+1,1))-AVERAGE(OFFSET($H$3,0,0,'Données projet'!$E$18+1,1))</f>
        <v>754.33260592777049</v>
      </c>
      <c r="HA90" s="62">
        <f t="shared" si="106"/>
        <v>250.97643915279005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9">
        <f t="shared" si="56"/>
        <v>183.33333333333334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3.8</v>
      </c>
      <c r="N91" s="14">
        <f>IF('Données projet'!$A$36&gt;35,N90+M91-V90,IF(A91&lt;'Données projet'!$A$36,$K$205^A91,IF(A91='Données projet'!$A$36,'Données projet'!$B$36,N90+M91-V90)))</f>
        <v>350.40000000000009</v>
      </c>
      <c r="O91" s="14">
        <f>N91*VLOOKUP('Données projet'!$B$9,Paramètres!$A$1:$I$89,3,0)*VLOOKUP('Données projet'!$B$9,Paramètres!$A$1:$I$89,5,0)</f>
        <v>317.04192000000006</v>
      </c>
      <c r="P91" s="14">
        <f t="shared" si="87"/>
        <v>74.73753531397945</v>
      </c>
      <c r="Q91" s="22">
        <f t="shared" si="54"/>
        <v>682.34921800518089</v>
      </c>
      <c r="R91" s="62">
        <f t="shared" si="55"/>
        <v>956.03095037437458</v>
      </c>
      <c r="S91" s="62">
        <f ca="1">AVERAGE(OFFSET($R$3,0,0,'Données projet'!$E$9+1,1))-AVERAGE(OFFSET($H$3,0,0,'Données projet'!$E$9+1,1))</f>
        <v>550.39292625253665</v>
      </c>
      <c r="T91" s="62">
        <f t="shared" si="88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3.8</v>
      </c>
      <c r="AI91" s="14">
        <f>IF('Données projet'!$A$62&gt;35,AI90+AH91-AQ90,IF(A91&lt;'Données projet'!$A$62,$AF$205^A91,IF(A91='Données projet'!$A$62,'Données projet'!$B$62,AI90+AH91-AQ90)))</f>
        <v>350.40000000000009</v>
      </c>
      <c r="AJ91" s="14">
        <f>AI91*VLOOKUP('Données projet'!$B$10,Paramètres!$A$1:$I$89,3,0)*VLOOKUP('Données projet'!$B$10,Paramètres!$A$1:$I$89,5,0)</f>
        <v>355.30560000000014</v>
      </c>
      <c r="AK91" s="14">
        <f t="shared" si="89"/>
        <v>82.654030939428409</v>
      </c>
      <c r="AL91" s="22">
        <f t="shared" si="58"/>
        <v>762.77969055283802</v>
      </c>
      <c r="AM91" s="62">
        <f t="shared" si="59"/>
        <v>1036.4614229220317</v>
      </c>
      <c r="AN91" s="62">
        <f ca="1">AVERAGE(OFFSET($AM$3,0,0,'Données projet'!$E$10+1,1))-AVERAGE(OFFSET($H$3,0,0,'Données projet'!$E$10+1,1))</f>
        <v>606.55142836375308</v>
      </c>
      <c r="AO91" s="62">
        <f t="shared" si="90"/>
        <v>325.72635759450861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4.4871794871794801</v>
      </c>
      <c r="BD91" s="13">
        <f>IF('Données projet'!$A$88&gt;35,BD90+BC91-BL90,IF(A91&lt;'Données projet'!$A$88,$BA$205^A91,IF(A91='Données projet'!$A$88,'Données projet'!$B$88,BD90+BC91-BL90)))</f>
        <v>338.46153846153862</v>
      </c>
      <c r="BE91" s="14">
        <f>BD91*VLOOKUP('Données projet'!$B$11,Paramètres!$A$1:$I$89,3,0)*VLOOKUP('Données projet'!$B$11,Paramètres!$A$1:$I$89,5,0)</f>
        <v>353.76000000000022</v>
      </c>
      <c r="BF91" s="14">
        <f t="shared" si="91"/>
        <v>82.336252141072379</v>
      </c>
      <c r="BG91" s="22">
        <f t="shared" si="61"/>
        <v>759.53430581236807</v>
      </c>
      <c r="BH91" s="62">
        <f t="shared" si="62"/>
        <v>1033.2160381815618</v>
      </c>
      <c r="BI91" s="62">
        <f ca="1">AVERAGE(OFFSET($BH$3,0,0,'Données projet'!$E$11+1,1))-AVERAGE(OFFSET($H$3,0,0,'Données projet'!$E$11+1,1))</f>
        <v>635.13577238794812</v>
      </c>
      <c r="BJ91" s="62">
        <f t="shared" si="92"/>
        <v>374.35810525172019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-6.8212102632969618E-13</v>
      </c>
      <c r="BZ91" s="14">
        <f>BY91*VLOOKUP('Données projet'!$B$12,Paramètres!$A$1:$I$89,3,0)*VLOOKUP('Données projet'!$B$12,Paramètres!$A$1:$I$89,5,0)</f>
        <v>-3.0149749363772573E-13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580.02817743695846</v>
      </c>
      <c r="CE91" s="62">
        <f t="shared" si="94"/>
        <v>551.23515633208865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8.7211538461538485</v>
      </c>
      <c r="CT91" s="13">
        <f>IF('Données projet'!$A$140&gt;35,CT90+CS91-DB90,IF(A91&lt;'Données projet'!$A$140,$CQ$205^A91,IF(A91='Données projet'!$A$140,'Données projet'!$B$140,CT90+CS91-DB90)))</f>
        <v>319.78653846153838</v>
      </c>
      <c r="CU91" s="18">
        <f>CT91*VLOOKUP('Données projet'!$B$13,Paramètres!$A$1:$I$89,3,0)*VLOOKUP('Données projet'!$B$13,Paramètres!$A$1:$I$89,5,0)</f>
        <v>149.66009999999997</v>
      </c>
      <c r="CV91" s="14">
        <f t="shared" si="95"/>
        <v>38.501331930603499</v>
      </c>
      <c r="CW91" s="22">
        <f t="shared" si="67"/>
        <v>327.714493945801</v>
      </c>
      <c r="CX91" s="62">
        <f t="shared" si="68"/>
        <v>601.39622631499469</v>
      </c>
      <c r="CY91" s="62">
        <f ca="1">AVERAGE(OFFSET($CX$3,0,0,'Données projet'!$E$13+1,1))-AVERAGE(OFFSET($H$3,0,0,'Données projet'!$E$13+1,1))</f>
        <v>321.05795935196863</v>
      </c>
      <c r="CZ91" s="62">
        <f t="shared" si="96"/>
        <v>209.59551322748908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3.8</v>
      </c>
      <c r="DO91" s="13">
        <f>IF('Données projet'!$A$166&gt;35,DO90+DN91-DW90,IF(A91&lt;'Données projet'!$A$166,$DL$205^A91,IF(A91='Données projet'!$A$166,'Données projet'!$B$166,DO90+DN91-DW90)))</f>
        <v>350.40000000000009</v>
      </c>
      <c r="DP91" s="18">
        <f>DO91*VLOOKUP('Données projet'!$B$14,Paramètres!$A$1:$I$89,3,0)*VLOOKUP('Données projet'!$B$14,Paramètres!$A$1:$I$89,5,0)</f>
        <v>377.17056000000008</v>
      </c>
      <c r="DQ91" s="14">
        <f t="shared" si="97"/>
        <v>87.132636054677789</v>
      </c>
      <c r="DR91" s="22">
        <f t="shared" si="70"/>
        <v>808.66139979523052</v>
      </c>
      <c r="DS91" s="62">
        <f t="shared" si="71"/>
        <v>1082.3431321644243</v>
      </c>
      <c r="DT91" s="62">
        <f ca="1">AVERAGE(OFFSET($DS$3,0,0,'Données projet'!$E$14+1,1))-AVERAGE(OFFSET($H$3,0,0,'Données projet'!$E$14+1,1))</f>
        <v>638.58602907610805</v>
      </c>
      <c r="DU91" s="62">
        <f t="shared" si="98"/>
        <v>341.9250949809848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5.6843418860808015E-14</v>
      </c>
      <c r="EK91" s="18">
        <f>EJ91*VLOOKUP('Données projet'!$B$15,Paramètres!$A$1:$I$89,3,0)*VLOOKUP('Données projet'!$B$15,Paramètres!$A$1:$I$89,5,0)</f>
        <v>3.3992364478763198E-14</v>
      </c>
      <c r="EL91" s="14">
        <f t="shared" si="99"/>
        <v>5.790027782444094E-13</v>
      </c>
      <c r="EM91" s="22">
        <f t="shared" si="73"/>
        <v>1.0676332069095257E-12</v>
      </c>
      <c r="EN91" s="62">
        <f t="shared" si="74"/>
        <v>273.68173236919478</v>
      </c>
      <c r="EO91" s="62">
        <f ca="1">AVERAGE(OFFSET($EN$3,0,0,'Données projet'!$E$15+1,1))-AVERAGE(OFFSET($H$3,0,0,'Données projet'!$E$15+1,1))</f>
        <v>223.57443551076992</v>
      </c>
      <c r="EP91" s="62">
        <f t="shared" si="100"/>
        <v>382.12751862619427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8.4382392271588049</v>
      </c>
      <c r="EW91" s="23">
        <f>EXP(-LN(2)/25)*EW90+(1-EXP(-LN(2)/25))/(LN(2)/25)*Calculateur!ER91*Calculateur!ET91*VLOOKUP('Données projet'!$B$15,Paramètres!$A$1:$I$89,3,0)*0.475*44/12</f>
        <v>2.7797349516222987</v>
      </c>
      <c r="EX91" s="23">
        <f>EXP(-LN(2)/2)*EX90+(1-EXP(-LN(2)/2))/(LN(2)/2)*ER91*EU91*VLOOKUP('Données projet'!$B$15,Paramètres!$A$1:$I$89,3,0)*0.475*44/12</f>
        <v>1.888274677778981E-8</v>
      </c>
      <c r="EY91" s="24">
        <f t="shared" si="75"/>
        <v>11.21797419766385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1.5429166666666674</v>
      </c>
      <c r="FE91" s="13">
        <f>IF('Données projet'!$A$218&gt;35,FE90+FD91-FM90,IF(A91&lt;'Données projet'!$A$218,$FB$205^A91,IF(A91='Données projet'!$A$218,'Données projet'!$B$218,FE90+FD91-FM90)))</f>
        <v>103.32249999999996</v>
      </c>
      <c r="FF91" s="18">
        <f>FE91*VLOOKUP('Données projet'!$B$16,Paramètres!$A$1:$I$89,3,0)*VLOOKUP('Données projet'!$B$16,Paramètres!$A$1:$I$89,5,0)</f>
        <v>119.02751999999994</v>
      </c>
      <c r="FG91" s="14">
        <f t="shared" si="101"/>
        <v>31.448077002121423</v>
      </c>
      <c r="FH91" s="22">
        <f t="shared" si="76"/>
        <v>262.07833144536136</v>
      </c>
      <c r="FI91" s="62">
        <f t="shared" si="77"/>
        <v>535.760063814555</v>
      </c>
      <c r="FJ91" s="62">
        <f ca="1">AVERAGE(OFFSET($FI$3,0,0,'Données projet'!$E$16+1,1))-AVERAGE(OFFSET($H$3,0,0,'Données projet'!$E$16+1,1))</f>
        <v>283.95543623515323</v>
      </c>
      <c r="FK91" s="62">
        <f t="shared" si="102"/>
        <v>196.96883829830929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5.6843418860808015E-14</v>
      </c>
      <c r="GA91" s="18">
        <f>FZ91*VLOOKUP('Données projet'!$B$17,Paramètres!$A$1:$I$89,3,0)*VLOOKUP('Données projet'!$B$17,Paramètres!$A$1:$I$89,5,0)</f>
        <v>3.3992364478763198E-14</v>
      </c>
      <c r="GB91" s="14">
        <f t="shared" si="103"/>
        <v>5.790027782444094E-13</v>
      </c>
      <c r="GC91" s="22">
        <f t="shared" si="79"/>
        <v>1.0676332069095257E-12</v>
      </c>
      <c r="GD91" s="62">
        <f t="shared" si="80"/>
        <v>273.68173236919478</v>
      </c>
      <c r="GE91" s="62">
        <f ca="1">AVERAGE(OFFSET($GD$3,0,0,'Données projet'!$E$17+1,1))-AVERAGE(OFFSET($H$3,0,0,'Données projet'!$E$17+1,1))</f>
        <v>223.57443551076992</v>
      </c>
      <c r="GF91" s="62">
        <f t="shared" si="104"/>
        <v>382.12751862619427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8.4382392271588049</v>
      </c>
      <c r="GM91" s="23">
        <f>EXP(-LN(2)/25)*GM90+(1-EXP(-LN(2)/25))/(LN(2)/25)*Calculateur!GH91*Calculateur!GJ91*VLOOKUP('Données projet'!$B$17,Paramètres!$A$1:$I$89,3,0)*0.475*44/12</f>
        <v>2.7797349516222987</v>
      </c>
      <c r="GN91" s="23">
        <f>EXP(-LN(2)/2)*GN90+(1-EXP(-LN(2)/2))/(LN(2)/2)*GH91*GK91*VLOOKUP('Données projet'!$B$17,Paramètres!$A$1:$I$89,3,0)*0.475*44/12</f>
        <v>1.888274677778981E-8</v>
      </c>
      <c r="GO91" s="23">
        <f t="shared" si="81"/>
        <v>11.21797419766385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6.3957954686202676</v>
      </c>
      <c r="GU91" s="13">
        <f>IF('Données projet'!$A$270&gt;35,GU90+GT91-HC90,IF(A91&lt;'Données projet'!$A$270,$GR$205^A91,IF(A91='Données projet'!$A$270,'Données projet'!$B$270,GU90+GT91-HC90)))</f>
        <v>321.45678910114782</v>
      </c>
      <c r="GV91" s="18">
        <f>GU91*VLOOKUP('Données projet'!$B$18,Paramètres!$A$1:$I$89,3,0)*VLOOKUP('Données projet'!$B$18,Paramètres!$A$1:$I$89,5,0)</f>
        <v>351.03081369845341</v>
      </c>
      <c r="GW91" s="14">
        <f t="shared" si="105"/>
        <v>81.774730141324937</v>
      </c>
      <c r="GX91" s="22">
        <f t="shared" si="82"/>
        <v>753.80298885428056</v>
      </c>
      <c r="GY91" s="62">
        <f t="shared" si="83"/>
        <v>1027.4847212234743</v>
      </c>
      <c r="GZ91" s="62">
        <f ca="1">AVERAGE(OFFSET($GY$3,0,0,'Données projet'!$E$18+1,1))-AVERAGE(OFFSET($H$3,0,0,'Données projet'!$E$18+1,1))</f>
        <v>754.33260592777049</v>
      </c>
      <c r="HA91" s="62">
        <f t="shared" si="106"/>
        <v>250.97643915279005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9">
        <f t="shared" si="56"/>
        <v>183.33333333333334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3.8</v>
      </c>
      <c r="N92" s="14">
        <f>IF('Données projet'!$A$36&gt;35,N91+M92-V91,IF(A92&lt;'Données projet'!$A$36,$K$205^A92,IF(A92='Données projet'!$A$36,'Données projet'!$B$36,N91+M92-V91)))</f>
        <v>354.2000000000001</v>
      </c>
      <c r="O92" s="14">
        <f>N92*VLOOKUP('Données projet'!$B$9,Paramètres!$A$1:$I$89,3,0)*VLOOKUP('Données projet'!$B$9,Paramètres!$A$1:$I$89,5,0)</f>
        <v>320.48016000000007</v>
      </c>
      <c r="P92" s="14">
        <f t="shared" si="87"/>
        <v>75.453251568997672</v>
      </c>
      <c r="Q92" s="22">
        <f t="shared" si="54"/>
        <v>689.58402514933766</v>
      </c>
      <c r="R92" s="62">
        <f t="shared" si="55"/>
        <v>963.60666886086119</v>
      </c>
      <c r="S92" s="62">
        <f ca="1">AVERAGE(OFFSET($R$3,0,0,'Données projet'!$E$9+1,1))-AVERAGE(OFFSET($H$3,0,0,'Données projet'!$E$9+1,1))</f>
        <v>550.39292625253665</v>
      </c>
      <c r="T92" s="62">
        <f t="shared" si="88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3.8</v>
      </c>
      <c r="AI92" s="14">
        <f>IF('Données projet'!$A$62&gt;35,AI91+AH92-AQ91,IF(A92&lt;'Données projet'!$A$62,$AF$205^A92,IF(A92='Données projet'!$A$62,'Données projet'!$B$62,AI91+AH92-AQ91)))</f>
        <v>354.2000000000001</v>
      </c>
      <c r="AJ92" s="14">
        <f>AI92*VLOOKUP('Données projet'!$B$10,Paramètres!$A$1:$I$89,3,0)*VLOOKUP('Données projet'!$B$10,Paramètres!$A$1:$I$89,5,0)</f>
        <v>359.15880000000016</v>
      </c>
      <c r="AK92" s="14">
        <f t="shared" si="89"/>
        <v>83.445558693690174</v>
      </c>
      <c r="AL92" s="22">
        <f t="shared" si="58"/>
        <v>770.86925805817725</v>
      </c>
      <c r="AM92" s="62">
        <f t="shared" si="59"/>
        <v>1044.8919017697008</v>
      </c>
      <c r="AN92" s="62">
        <f ca="1">AVERAGE(OFFSET($AM$3,0,0,'Données projet'!$E$10+1,1))-AVERAGE(OFFSET($H$3,0,0,'Données projet'!$E$10+1,1))</f>
        <v>606.55142836375308</v>
      </c>
      <c r="AO92" s="62">
        <f t="shared" si="90"/>
        <v>325.72635759450861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4.4871794871794801</v>
      </c>
      <c r="BD92" s="13">
        <f>IF('Données projet'!$A$88&gt;35,BD91+BC92-BL91,IF(A92&lt;'Données projet'!$A$88,$BA$205^A92,IF(A92='Données projet'!$A$88,'Données projet'!$B$88,BD91+BC92-BL91)))</f>
        <v>342.94871794871813</v>
      </c>
      <c r="BE92" s="14">
        <f>BD92*VLOOKUP('Données projet'!$B$11,Paramètres!$A$1:$I$89,3,0)*VLOOKUP('Données projet'!$B$11,Paramètres!$A$1:$I$89,5,0)</f>
        <v>358.45000000000022</v>
      </c>
      <c r="BF92" s="14">
        <f t="shared" si="91"/>
        <v>83.300030865929031</v>
      </c>
      <c r="BG92" s="22">
        <f t="shared" si="61"/>
        <v>769.38130375816002</v>
      </c>
      <c r="BH92" s="62">
        <f t="shared" si="62"/>
        <v>1043.4039474696835</v>
      </c>
      <c r="BI92" s="62">
        <f ca="1">AVERAGE(OFFSET($BH$3,0,0,'Données projet'!$E$11+1,1))-AVERAGE(OFFSET($H$3,0,0,'Données projet'!$E$11+1,1))</f>
        <v>635.13577238794812</v>
      </c>
      <c r="BJ92" s="62">
        <f t="shared" si="92"/>
        <v>374.35810525172019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-6.8212102632969618E-13</v>
      </c>
      <c r="BZ92" s="14">
        <f>BY92*VLOOKUP('Données projet'!$B$12,Paramètres!$A$1:$I$89,3,0)*VLOOKUP('Données projet'!$B$12,Paramètres!$A$1:$I$89,5,0)</f>
        <v>-3.0149749363772573E-13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580.02817743695846</v>
      </c>
      <c r="CE92" s="62">
        <f t="shared" si="94"/>
        <v>551.23515633208865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8.7211538461538485</v>
      </c>
      <c r="CT92" s="13">
        <f>IF('Données projet'!$A$140&gt;35,CT91+CS92-DB91,IF(A92&lt;'Données projet'!$A$140,$CQ$205^A92,IF(A92='Données projet'!$A$140,'Données projet'!$B$140,CT91+CS92-DB91)))</f>
        <v>328.50769230769225</v>
      </c>
      <c r="CU92" s="18">
        <f>CT92*VLOOKUP('Données projet'!$B$13,Paramètres!$A$1:$I$89,3,0)*VLOOKUP('Données projet'!$B$13,Paramètres!$A$1:$I$89,5,0)</f>
        <v>153.74159999999998</v>
      </c>
      <c r="CV92" s="14">
        <f t="shared" si="95"/>
        <v>39.427654552879645</v>
      </c>
      <c r="CW92" s="22">
        <f t="shared" si="67"/>
        <v>336.43645167959869</v>
      </c>
      <c r="CX92" s="62">
        <f t="shared" si="68"/>
        <v>610.45909539112222</v>
      </c>
      <c r="CY92" s="62">
        <f ca="1">AVERAGE(OFFSET($CX$3,0,0,'Données projet'!$E$13+1,1))-AVERAGE(OFFSET($H$3,0,0,'Données projet'!$E$13+1,1))</f>
        <v>321.05795935196863</v>
      </c>
      <c r="CZ92" s="62">
        <f t="shared" si="96"/>
        <v>209.59551322748908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3.8</v>
      </c>
      <c r="DO92" s="13">
        <f>IF('Données projet'!$A$166&gt;35,DO91+DN92-DW91,IF(A92&lt;'Données projet'!$A$166,$DL$205^A92,IF(A92='Données projet'!$A$166,'Données projet'!$B$166,DO91+DN92-DW91)))</f>
        <v>354.2000000000001</v>
      </c>
      <c r="DP92" s="18">
        <f>DO92*VLOOKUP('Données projet'!$B$14,Paramètres!$A$1:$I$89,3,0)*VLOOKUP('Données projet'!$B$14,Paramètres!$A$1:$I$89,5,0)</f>
        <v>381.2608800000001</v>
      </c>
      <c r="DQ92" s="14">
        <f t="shared" si="97"/>
        <v>87.967052706296414</v>
      </c>
      <c r="DR92" s="22">
        <f t="shared" si="70"/>
        <v>817.23864946346646</v>
      </c>
      <c r="DS92" s="62">
        <f t="shared" si="71"/>
        <v>1091.26129317499</v>
      </c>
      <c r="DT92" s="62">
        <f ca="1">AVERAGE(OFFSET($DS$3,0,0,'Données projet'!$E$14+1,1))-AVERAGE(OFFSET($H$3,0,0,'Données projet'!$E$14+1,1))</f>
        <v>638.58602907610805</v>
      </c>
      <c r="DU92" s="62">
        <f t="shared" si="98"/>
        <v>341.9250949809848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5.6843418860808015E-14</v>
      </c>
      <c r="EK92" s="18">
        <f>EJ92*VLOOKUP('Données projet'!$B$15,Paramètres!$A$1:$I$89,3,0)*VLOOKUP('Données projet'!$B$15,Paramètres!$A$1:$I$89,5,0)</f>
        <v>3.3992364478763198E-14</v>
      </c>
      <c r="EL92" s="14">
        <f t="shared" si="99"/>
        <v>5.790027782444094E-13</v>
      </c>
      <c r="EM92" s="22">
        <f t="shared" si="73"/>
        <v>1.0676332069095257E-12</v>
      </c>
      <c r="EN92" s="62">
        <f t="shared" si="74"/>
        <v>274.02264371152467</v>
      </c>
      <c r="EO92" s="62">
        <f ca="1">AVERAGE(OFFSET($EN$3,0,0,'Données projet'!$E$15+1,1))-AVERAGE(OFFSET($H$3,0,0,'Données projet'!$E$15+1,1))</f>
        <v>223.57443551076992</v>
      </c>
      <c r="EP92" s="62">
        <f t="shared" si="100"/>
        <v>382.12751862619427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8.2727705027319427</v>
      </c>
      <c r="EW92" s="23">
        <f>EXP(-LN(2)/25)*EW91+(1-EXP(-LN(2)/25))/(LN(2)/25)*Calculateur!ER92*Calculateur!ET92*VLOOKUP('Données projet'!$B$15,Paramètres!$A$1:$I$89,3,0)*0.475*44/12</f>
        <v>2.7037229531902791</v>
      </c>
      <c r="EX92" s="23">
        <f>EXP(-LN(2)/2)*EX91+(1-EXP(-LN(2)/2))/(LN(2)/2)*ER92*EU92*VLOOKUP('Données projet'!$B$15,Paramètres!$A$1:$I$89,3,0)*0.475*44/12</f>
        <v>1.3352118294003605E-8</v>
      </c>
      <c r="EY92" s="24">
        <f t="shared" si="75"/>
        <v>10.97649346927434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1.5429166666666674</v>
      </c>
      <c r="FE92" s="13">
        <f>IF('Données projet'!$A$218&gt;35,FE91+FD92-FM91,IF(A92&lt;'Données projet'!$A$218,$FB$205^A92,IF(A92='Données projet'!$A$218,'Données projet'!$B$218,FE91+FD92-FM91)))</f>
        <v>104.86541666666663</v>
      </c>
      <c r="FF92" s="18">
        <f>FE92*VLOOKUP('Données projet'!$B$16,Paramètres!$A$1:$I$89,3,0)*VLOOKUP('Données projet'!$B$16,Paramètres!$A$1:$I$89,5,0)</f>
        <v>120.80495999999994</v>
      </c>
      <c r="FG92" s="14">
        <f t="shared" si="101"/>
        <v>31.862669881307355</v>
      </c>
      <c r="FH92" s="22">
        <f t="shared" si="76"/>
        <v>265.89612204327688</v>
      </c>
      <c r="FI92" s="62">
        <f t="shared" si="77"/>
        <v>539.91876575480046</v>
      </c>
      <c r="FJ92" s="62">
        <f ca="1">AVERAGE(OFFSET($FI$3,0,0,'Données projet'!$E$16+1,1))-AVERAGE(OFFSET($H$3,0,0,'Données projet'!$E$16+1,1))</f>
        <v>283.95543623515323</v>
      </c>
      <c r="FK92" s="62">
        <f t="shared" si="102"/>
        <v>196.96883829830929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5.6843418860808015E-14</v>
      </c>
      <c r="GA92" s="18">
        <f>FZ92*VLOOKUP('Données projet'!$B$17,Paramètres!$A$1:$I$89,3,0)*VLOOKUP('Données projet'!$B$17,Paramètres!$A$1:$I$89,5,0)</f>
        <v>3.3992364478763198E-14</v>
      </c>
      <c r="GB92" s="14">
        <f t="shared" si="103"/>
        <v>5.790027782444094E-13</v>
      </c>
      <c r="GC92" s="22">
        <f t="shared" si="79"/>
        <v>1.0676332069095257E-12</v>
      </c>
      <c r="GD92" s="62">
        <f t="shared" si="80"/>
        <v>274.02264371152467</v>
      </c>
      <c r="GE92" s="62">
        <f ca="1">AVERAGE(OFFSET($GD$3,0,0,'Données projet'!$E$17+1,1))-AVERAGE(OFFSET($H$3,0,0,'Données projet'!$E$17+1,1))</f>
        <v>223.57443551076992</v>
      </c>
      <c r="GF92" s="62">
        <f t="shared" si="104"/>
        <v>382.12751862619427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8.2727705027319427</v>
      </c>
      <c r="GM92" s="23">
        <f>EXP(-LN(2)/25)*GM91+(1-EXP(-LN(2)/25))/(LN(2)/25)*Calculateur!GH92*Calculateur!GJ92*VLOOKUP('Données projet'!$B$17,Paramètres!$A$1:$I$89,3,0)*0.475*44/12</f>
        <v>2.7037229531902791</v>
      </c>
      <c r="GN92" s="23">
        <f>EXP(-LN(2)/2)*GN91+(1-EXP(-LN(2)/2))/(LN(2)/2)*GH92*GK92*VLOOKUP('Données projet'!$B$17,Paramètres!$A$1:$I$89,3,0)*0.475*44/12</f>
        <v>1.3352118294003605E-8</v>
      </c>
      <c r="GO92" s="23">
        <f t="shared" si="81"/>
        <v>10.97649346927434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6.3957954686202676</v>
      </c>
      <c r="GU92" s="13">
        <f>IF('Données projet'!$A$270&gt;35,GU91+GT92-HC91,IF(A92&lt;'Données projet'!$A$270,$GR$205^A92,IF(A92='Données projet'!$A$270,'Données projet'!$B$270,GU91+GT92-HC91)))</f>
        <v>327.85258456976811</v>
      </c>
      <c r="GV92" s="18">
        <f>GU92*VLOOKUP('Données projet'!$B$18,Paramètres!$A$1:$I$89,3,0)*VLOOKUP('Données projet'!$B$18,Paramètres!$A$1:$I$89,5,0)</f>
        <v>358.01502235018677</v>
      </c>
      <c r="GW92" s="14">
        <f t="shared" si="105"/>
        <v>83.210706506120488</v>
      </c>
      <c r="GX92" s="22">
        <f t="shared" si="82"/>
        <v>768.46814442473499</v>
      </c>
      <c r="GY92" s="62">
        <f t="shared" si="83"/>
        <v>1042.4907881362585</v>
      </c>
      <c r="GZ92" s="62">
        <f ca="1">AVERAGE(OFFSET($GY$3,0,0,'Données projet'!$E$18+1,1))-AVERAGE(OFFSET($H$3,0,0,'Données projet'!$E$18+1,1))</f>
        <v>754.33260592777049</v>
      </c>
      <c r="HA92" s="62">
        <f t="shared" si="106"/>
        <v>250.97643915279005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9">
        <f t="shared" si="56"/>
        <v>183.33333333333334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358</v>
      </c>
      <c r="L93" s="13">
        <f>VLOOKUP(A93,'Données projet'!$A$35:$I$55,9,0)</f>
        <v>3.8</v>
      </c>
      <c r="M93" s="13">
        <f t="array" ref="M93">INDEX(L:L,MIN(IF(ISNUMBER(L93:L289),ROW(L93:L289),"")))</f>
        <v>3.8</v>
      </c>
      <c r="N93" s="14">
        <f>IF('Données projet'!$A$36&gt;35,N92+M93-V92,IF(A93&lt;'Données projet'!$A$36,$K$205^A93,IF(A93='Données projet'!$A$36,'Données projet'!$B$36,N92+M93-V92)))</f>
        <v>358.00000000000011</v>
      </c>
      <c r="O93" s="14">
        <f>N93*VLOOKUP('Données projet'!$B$9,Paramètres!$A$1:$I$89,3,0)*VLOOKUP('Données projet'!$B$9,Paramètres!$A$1:$I$89,5,0)</f>
        <v>323.91840000000008</v>
      </c>
      <c r="P93" s="14">
        <f t="shared" si="87"/>
        <v>76.168074587293091</v>
      </c>
      <c r="Q93" s="22">
        <f t="shared" si="54"/>
        <v>696.81727657286899</v>
      </c>
      <c r="R93" s="62">
        <f t="shared" si="55"/>
        <v>971.17491757709672</v>
      </c>
      <c r="S93" s="62">
        <f ca="1">AVERAGE(OFFSET($R$3,0,0,'Données projet'!$E$9+1,1))-AVERAGE(OFFSET($H$3,0,0,'Données projet'!$E$9+1,1))</f>
        <v>550.39292625253665</v>
      </c>
      <c r="T93" s="62">
        <f t="shared" si="88"/>
        <v>297.32483725004136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56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358</v>
      </c>
      <c r="AG93" s="13">
        <f>VLOOKUP(A93,'Données projet'!$A$61:$I$81,9,0)</f>
        <v>3.8</v>
      </c>
      <c r="AH93" s="13">
        <f t="array" ref="AH93">INDEX(AG:AG,MIN(IF(ISNUMBER(AG93:AG289),ROW(AG93:AG289),"")))</f>
        <v>3.8</v>
      </c>
      <c r="AI93" s="14">
        <f>IF('Données projet'!$A$62&gt;35,AI92+AH93-AQ92,IF(A93&lt;'Données projet'!$A$62,$AF$205^A93,IF(A93='Données projet'!$A$62,'Données projet'!$B$62,AI92+AH93-AQ92)))</f>
        <v>358.00000000000011</v>
      </c>
      <c r="AJ93" s="14">
        <f>AI93*VLOOKUP('Données projet'!$B$10,Paramètres!$A$1:$I$89,3,0)*VLOOKUP('Données projet'!$B$10,Paramètres!$A$1:$I$89,5,0)</f>
        <v>363.01200000000011</v>
      </c>
      <c r="AK93" s="14">
        <f t="shared" si="89"/>
        <v>84.23609859605908</v>
      </c>
      <c r="AL93" s="22">
        <f t="shared" si="58"/>
        <v>778.95710505480304</v>
      </c>
      <c r="AM93" s="62">
        <f t="shared" si="59"/>
        <v>1053.3147460590308</v>
      </c>
      <c r="AN93" s="62">
        <f ca="1">AVERAGE(OFFSET($AM$3,0,0,'Données projet'!$E$10+1,1))-AVERAGE(OFFSET($H$3,0,0,'Données projet'!$E$10+1,1))</f>
        <v>606.55142836375308</v>
      </c>
      <c r="AO93" s="62">
        <f t="shared" si="90"/>
        <v>325.72635759450861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56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347.4358974358974</v>
      </c>
      <c r="BB93" s="13">
        <f>VLOOKUP(A93,'Données projet'!$A$87:$I$107,9,0)</f>
        <v>4.4871794871794801</v>
      </c>
      <c r="BC93" s="13">
        <f t="array" ref="BC93">INDEX(BB:BB,MIN(IF(ISNUMBER(BB93:BB289),ROW(BB93:BB289),"")))</f>
        <v>4.4871794871794801</v>
      </c>
      <c r="BD93" s="13">
        <f>IF('Données projet'!$A$88&gt;35,BD92+BC93-BL92,IF(A93&lt;'Données projet'!$A$88,$BA$205^A93,IF(A93='Données projet'!$A$88,'Données projet'!$B$88,BD92+BC93-BL92)))</f>
        <v>347.43589743589763</v>
      </c>
      <c r="BE93" s="14">
        <f>BD93*VLOOKUP('Données projet'!$B$11,Paramètres!$A$1:$I$89,3,0)*VLOOKUP('Données projet'!$B$11,Paramètres!$A$1:$I$89,5,0)</f>
        <v>363.14000000000021</v>
      </c>
      <c r="BF93" s="14">
        <f t="shared" si="91"/>
        <v>84.262342837716744</v>
      </c>
      <c r="BG93" s="22">
        <f t="shared" si="61"/>
        <v>779.2257471090237</v>
      </c>
      <c r="BH93" s="62">
        <f t="shared" si="62"/>
        <v>1053.5833881132514</v>
      </c>
      <c r="BI93" s="62">
        <f ca="1">AVERAGE(OFFSET($BH$3,0,0,'Données projet'!$E$11+1,1))-AVERAGE(OFFSET($H$3,0,0,'Données projet'!$E$11+1,1))</f>
        <v>635.13577238794812</v>
      </c>
      <c r="BJ93" s="62">
        <f t="shared" si="92"/>
        <v>374.35810525172019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-6.8212102632969618E-13</v>
      </c>
      <c r="BZ93" s="14">
        <f>BY93*VLOOKUP('Données projet'!$B$12,Paramètres!$A$1:$I$89,3,0)*VLOOKUP('Données projet'!$B$12,Paramètres!$A$1:$I$89,5,0)</f>
        <v>-3.0149749363772573E-13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580.02817743695846</v>
      </c>
      <c r="CE93" s="62">
        <f t="shared" si="94"/>
        <v>551.23515633208865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8.7211538461538485</v>
      </c>
      <c r="CT93" s="13">
        <f>IF('Données projet'!$A$140&gt;35,CT92+CS93-DB92,IF(A93&lt;'Données projet'!$A$140,$CQ$205^A93,IF(A93='Données projet'!$A$140,'Données projet'!$B$140,CT92+CS93-DB92)))</f>
        <v>337.22884615384612</v>
      </c>
      <c r="CU93" s="18">
        <f>CT93*VLOOKUP('Données projet'!$B$13,Paramètres!$A$1:$I$89,3,0)*VLOOKUP('Données projet'!$B$13,Paramètres!$A$1:$I$89,5,0)</f>
        <v>157.82309999999998</v>
      </c>
      <c r="CV93" s="14">
        <f t="shared" si="95"/>
        <v>40.351118750694731</v>
      </c>
      <c r="CW93" s="22">
        <f t="shared" si="67"/>
        <v>345.1534309907932</v>
      </c>
      <c r="CX93" s="62">
        <f t="shared" si="68"/>
        <v>619.51107199502087</v>
      </c>
      <c r="CY93" s="62">
        <f ca="1">AVERAGE(OFFSET($CX$3,0,0,'Données projet'!$E$13+1,1))-AVERAGE(OFFSET($H$3,0,0,'Données projet'!$E$13+1,1))</f>
        <v>321.05795935196863</v>
      </c>
      <c r="CZ93" s="62">
        <f t="shared" si="96"/>
        <v>209.59551322748908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358</v>
      </c>
      <c r="DM93" s="13">
        <f>VLOOKUP(A93,'Données projet'!$A$165:$I$185,9,0)</f>
        <v>3.8</v>
      </c>
      <c r="DN93" s="13">
        <f t="array" ref="DN93">INDEX(DM:DM,MIN(IF(ISNUMBER(DM93:DM289),ROW(DM93:DM289),"")))</f>
        <v>3.8</v>
      </c>
      <c r="DO93" s="13">
        <f>IF('Données projet'!$A$166&gt;35,DO92+DN93-DW92,IF(A93&lt;'Données projet'!$A$166,$DL$205^A93,IF(A93='Données projet'!$A$166,'Données projet'!$B$166,DO92+DN93-DW92)))</f>
        <v>358.00000000000011</v>
      </c>
      <c r="DP93" s="18">
        <f>DO93*VLOOKUP('Données projet'!$B$14,Paramètres!$A$1:$I$89,3,0)*VLOOKUP('Données projet'!$B$14,Paramètres!$A$1:$I$89,5,0)</f>
        <v>385.35120000000012</v>
      </c>
      <c r="DQ93" s="14">
        <f t="shared" si="97"/>
        <v>88.800427979309902</v>
      </c>
      <c r="DR93" s="22">
        <f t="shared" si="70"/>
        <v>825.81408539729819</v>
      </c>
      <c r="DS93" s="62">
        <f t="shared" si="71"/>
        <v>1100.1717264015258</v>
      </c>
      <c r="DT93" s="62">
        <f ca="1">AVERAGE(OFFSET($DS$3,0,0,'Données projet'!$E$14+1,1))-AVERAGE(OFFSET($H$3,0,0,'Données projet'!$E$14+1,1))</f>
        <v>638.58602907610805</v>
      </c>
      <c r="DU93" s="62">
        <f t="shared" si="98"/>
        <v>341.9250949809848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56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5.6843418860808015E-14</v>
      </c>
      <c r="EK93" s="18">
        <f>EJ93*VLOOKUP('Données projet'!$B$15,Paramètres!$A$1:$I$89,3,0)*VLOOKUP('Données projet'!$B$15,Paramètres!$A$1:$I$89,5,0)</f>
        <v>3.3992364478763198E-14</v>
      </c>
      <c r="EL93" s="14">
        <f t="shared" si="99"/>
        <v>5.790027782444094E-13</v>
      </c>
      <c r="EM93" s="22">
        <f t="shared" si="73"/>
        <v>1.0676332069095257E-12</v>
      </c>
      <c r="EN93" s="62">
        <f t="shared" si="74"/>
        <v>274.35764100422875</v>
      </c>
      <c r="EO93" s="62">
        <f ca="1">AVERAGE(OFFSET($EN$3,0,0,'Données projet'!$E$15+1,1))-AVERAGE(OFFSET($H$3,0,0,'Données projet'!$E$15+1,1))</f>
        <v>223.57443551076992</v>
      </c>
      <c r="EP93" s="62">
        <f t="shared" si="100"/>
        <v>382.12751862619427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8.1105465190651351</v>
      </c>
      <c r="EW93" s="23">
        <f>EXP(-LN(2)/25)*EW92+(1-EXP(-LN(2)/25))/(LN(2)/25)*Calculateur!ER93*Calculateur!ET93*VLOOKUP('Données projet'!$B$15,Paramètres!$A$1:$I$89,3,0)*0.475*44/12</f>
        <v>2.6297895068526804</v>
      </c>
      <c r="EX93" s="23">
        <f>EXP(-LN(2)/2)*EX92+(1-EXP(-LN(2)/2))/(LN(2)/2)*ER93*EU93*VLOOKUP('Données projet'!$B$15,Paramètres!$A$1:$I$89,3,0)*0.475*44/12</f>
        <v>9.4413733888949049E-9</v>
      </c>
      <c r="EY93" s="24">
        <f t="shared" si="75"/>
        <v>10.74033603535919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106.40833333333333</v>
      </c>
      <c r="FC93" s="13">
        <f>VLOOKUP(A93,'Données projet'!$A$217:$I$237,9,0)</f>
        <v>1.5429166666666674</v>
      </c>
      <c r="FD93" s="13">
        <f t="array" ref="FD93">INDEX(FC:FC,MIN(IF(ISNUMBER(FC93:FC289),ROW(FC93:FC289),"")))</f>
        <v>1.5429166666666674</v>
      </c>
      <c r="FE93" s="13">
        <f>IF('Données projet'!$A$218&gt;35,FE92+FD93-FM92,IF(A93&lt;'Données projet'!$A$218,$FB$205^A93,IF(A93='Données projet'!$A$218,'Données projet'!$B$218,FE92+FD93-FM92)))</f>
        <v>106.4083333333333</v>
      </c>
      <c r="FF93" s="18">
        <f>FE93*VLOOKUP('Données projet'!$B$16,Paramètres!$A$1:$I$89,3,0)*VLOOKUP('Données projet'!$B$16,Paramètres!$A$1:$I$89,5,0)</f>
        <v>122.58239999999996</v>
      </c>
      <c r="FG93" s="14">
        <f t="shared" si="101"/>
        <v>32.276553297525268</v>
      </c>
      <c r="FH93" s="22">
        <f t="shared" si="76"/>
        <v>269.7126769931898</v>
      </c>
      <c r="FI93" s="62">
        <f t="shared" si="77"/>
        <v>544.07031799741753</v>
      </c>
      <c r="FJ93" s="62">
        <f ca="1">AVERAGE(OFFSET($FI$3,0,0,'Données projet'!$E$16+1,1))-AVERAGE(OFFSET($H$3,0,0,'Données projet'!$E$16+1,1))</f>
        <v>283.95543623515323</v>
      </c>
      <c r="FK93" s="62">
        <f t="shared" si="102"/>
        <v>196.96883829830929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9.1666666666666679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5.6843418860808015E-14</v>
      </c>
      <c r="GA93" s="18">
        <f>FZ93*VLOOKUP('Données projet'!$B$17,Paramètres!$A$1:$I$89,3,0)*VLOOKUP('Données projet'!$B$17,Paramètres!$A$1:$I$89,5,0)</f>
        <v>3.3992364478763198E-14</v>
      </c>
      <c r="GB93" s="14">
        <f t="shared" si="103"/>
        <v>5.790027782444094E-13</v>
      </c>
      <c r="GC93" s="22">
        <f t="shared" si="79"/>
        <v>1.0676332069095257E-12</v>
      </c>
      <c r="GD93" s="62">
        <f t="shared" si="80"/>
        <v>274.35764100422875</v>
      </c>
      <c r="GE93" s="62">
        <f ca="1">AVERAGE(OFFSET($GD$3,0,0,'Données projet'!$E$17+1,1))-AVERAGE(OFFSET($H$3,0,0,'Données projet'!$E$17+1,1))</f>
        <v>223.57443551076992</v>
      </c>
      <c r="GF93" s="62">
        <f t="shared" si="104"/>
        <v>382.12751862619427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8.1105465190651351</v>
      </c>
      <c r="GM93" s="23">
        <f>EXP(-LN(2)/25)*GM92+(1-EXP(-LN(2)/25))/(LN(2)/25)*Calculateur!GH93*Calculateur!GJ93*VLOOKUP('Données projet'!$B$17,Paramètres!$A$1:$I$89,3,0)*0.475*44/12</f>
        <v>2.6297895068526804</v>
      </c>
      <c r="GN93" s="23">
        <f>EXP(-LN(2)/2)*GN92+(1-EXP(-LN(2)/2))/(LN(2)/2)*GH93*GK93*VLOOKUP('Données projet'!$B$17,Paramètres!$A$1:$I$89,3,0)*0.475*44/12</f>
        <v>9.4413733888949049E-9</v>
      </c>
      <c r="GO93" s="23">
        <f t="shared" si="81"/>
        <v>10.74033603535919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6.3957954686202676</v>
      </c>
      <c r="GU93" s="13">
        <f>IF('Données projet'!$A$270&gt;35,GU92+GT93-HC92,IF(A93&lt;'Données projet'!$A$270,$GR$205^A93,IF(A93='Données projet'!$A$270,'Données projet'!$B$270,GU92+GT93-HC92)))</f>
        <v>334.2483800383884</v>
      </c>
      <c r="GV93" s="18">
        <f>GU93*VLOOKUP('Données projet'!$B$18,Paramètres!$A$1:$I$89,3,0)*VLOOKUP('Données projet'!$B$18,Paramètres!$A$1:$I$89,5,0)</f>
        <v>364.99923100192012</v>
      </c>
      <c r="GW93" s="14">
        <f t="shared" si="105"/>
        <v>84.643425611455143</v>
      </c>
      <c r="GX93" s="22">
        <f t="shared" si="82"/>
        <v>783.12762693496188</v>
      </c>
      <c r="GY93" s="62">
        <f t="shared" si="83"/>
        <v>1057.4852679391895</v>
      </c>
      <c r="GZ93" s="62">
        <f ca="1">AVERAGE(OFFSET($GY$3,0,0,'Données projet'!$E$18+1,1))-AVERAGE(OFFSET($H$3,0,0,'Données projet'!$E$18+1,1))</f>
        <v>754.33260592777049</v>
      </c>
      <c r="HA93" s="62">
        <f t="shared" si="106"/>
        <v>250.97643915279005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9">
        <f t="shared" si="56"/>
        <v>183.33333333333334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307.90000000000009</v>
      </c>
      <c r="O94" s="14">
        <f>N94*VLOOKUP('Données projet'!$B$9,Paramètres!$A$1:$I$89,3,0)*VLOOKUP('Données projet'!$B$9,Paramètres!$A$1:$I$89,5,0)</f>
        <v>278.58792000000011</v>
      </c>
      <c r="P94" s="14">
        <f t="shared" si="87"/>
        <v>66.668508032294213</v>
      </c>
      <c r="Q94" s="22">
        <f t="shared" si="54"/>
        <v>601.32161215624581</v>
      </c>
      <c r="R94" s="62">
        <f t="shared" si="55"/>
        <v>876.00843899909091</v>
      </c>
      <c r="S94" s="62">
        <f ca="1">AVERAGE(OFFSET($R$3,0,0,'Données projet'!$E$9+1,1))-AVERAGE(OFFSET($H$3,0,0,'Données projet'!$E$9+1,1))</f>
        <v>550.39292625253665</v>
      </c>
      <c r="T94" s="62">
        <f t="shared" si="88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5.9</v>
      </c>
      <c r="AI94" s="14">
        <f>IF('Données projet'!$A$62&gt;35,AI93+AH94-AQ93,IF(A94&lt;'Données projet'!$A$62,$AF$205^A94,IF(A94='Données projet'!$A$62,'Données projet'!$B$62,AI93+AH94-AQ93)))</f>
        <v>307.90000000000009</v>
      </c>
      <c r="AJ94" s="14">
        <f>AI94*VLOOKUP('Données projet'!$B$10,Paramètres!$A$1:$I$89,3,0)*VLOOKUP('Données projet'!$B$10,Paramètres!$A$1:$I$89,5,0)</f>
        <v>312.21060000000011</v>
      </c>
      <c r="AK94" s="14">
        <f t="shared" si="89"/>
        <v>73.730300342886324</v>
      </c>
      <c r="AL94" s="22">
        <f t="shared" si="58"/>
        <v>672.18040143052724</v>
      </c>
      <c r="AM94" s="62">
        <f t="shared" si="59"/>
        <v>946.86722827337235</v>
      </c>
      <c r="AN94" s="62">
        <f ca="1">AVERAGE(OFFSET($AM$3,0,0,'Données projet'!$E$10+1,1))-AVERAGE(OFFSET($H$3,0,0,'Données projet'!$E$10+1,1))</f>
        <v>606.55142836375308</v>
      </c>
      <c r="AO94" s="62">
        <f t="shared" si="90"/>
        <v>325.72635759450861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4.1025641025641049</v>
      </c>
      <c r="BD94" s="13">
        <f>IF('Données projet'!$A$88&gt;35,BD93+BC94-BL93,IF(A94&lt;'Données projet'!$A$88,$BA$205^A94,IF(A94='Données projet'!$A$88,'Données projet'!$B$88,BD93+BC94-BL93)))</f>
        <v>351.53846153846172</v>
      </c>
      <c r="BE94" s="14">
        <f>BD94*VLOOKUP('Données projet'!$B$11,Paramètres!$A$1:$I$89,3,0)*VLOOKUP('Données projet'!$B$11,Paramètres!$A$1:$I$89,5,0)</f>
        <v>367.42800000000022</v>
      </c>
      <c r="BF94" s="14">
        <f t="shared" si="91"/>
        <v>85.140905343730751</v>
      </c>
      <c r="BG94" s="22">
        <f t="shared" si="61"/>
        <v>788.22417680699812</v>
      </c>
      <c r="BH94" s="62">
        <f t="shared" si="62"/>
        <v>1062.9110036498432</v>
      </c>
      <c r="BI94" s="62">
        <f ca="1">AVERAGE(OFFSET($BH$3,0,0,'Données projet'!$E$11+1,1))-AVERAGE(OFFSET($H$3,0,0,'Données projet'!$E$11+1,1))</f>
        <v>635.13577238794812</v>
      </c>
      <c r="BJ94" s="62">
        <f t="shared" si="92"/>
        <v>374.35810525172019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-6.8212102632969618E-13</v>
      </c>
      <c r="BZ94" s="14">
        <f>BY94*VLOOKUP('Données projet'!$B$12,Paramètres!$A$1:$I$89,3,0)*VLOOKUP('Données projet'!$B$12,Paramètres!$A$1:$I$89,5,0)</f>
        <v>-3.0149749363772573E-13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580.02817743695846</v>
      </c>
      <c r="CE94" s="62">
        <f t="shared" si="94"/>
        <v>551.23515633208865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8.7211538461538485</v>
      </c>
      <c r="CT94" s="13">
        <f>IF('Données projet'!$A$140&gt;35,CT93+CS94-DB93,IF(A94&lt;'Données projet'!$A$140,$CQ$205^A94,IF(A94='Données projet'!$A$140,'Données projet'!$B$140,CT93+CS94-DB93)))</f>
        <v>345.95</v>
      </c>
      <c r="CU94" s="18">
        <f>CT94*VLOOKUP('Données projet'!$B$13,Paramètres!$A$1:$I$89,3,0)*VLOOKUP('Données projet'!$B$13,Paramètres!$A$1:$I$89,5,0)</f>
        <v>161.90459999999999</v>
      </c>
      <c r="CV94" s="14">
        <f t="shared" si="95"/>
        <v>41.271806945500579</v>
      </c>
      <c r="CW94" s="22">
        <f t="shared" si="67"/>
        <v>353.86557543008013</v>
      </c>
      <c r="CX94" s="62">
        <f t="shared" si="68"/>
        <v>628.55240227292518</v>
      </c>
      <c r="CY94" s="62">
        <f ca="1">AVERAGE(OFFSET($CX$3,0,0,'Données projet'!$E$13+1,1))-AVERAGE(OFFSET($H$3,0,0,'Données projet'!$E$13+1,1))</f>
        <v>321.05795935196863</v>
      </c>
      <c r="CZ94" s="62">
        <f t="shared" si="96"/>
        <v>209.59551322748908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5.9</v>
      </c>
      <c r="DO94" s="13">
        <f>IF('Données projet'!$A$166&gt;35,DO93+DN94-DW93,IF(A94&lt;'Données projet'!$A$166,$DL$205^A94,IF(A94='Données projet'!$A$166,'Données projet'!$B$166,DO93+DN94-DW93)))</f>
        <v>307.90000000000009</v>
      </c>
      <c r="DP94" s="18">
        <f>DO94*VLOOKUP('Données projet'!$B$14,Paramètres!$A$1:$I$89,3,0)*VLOOKUP('Données projet'!$B$14,Paramètres!$A$1:$I$89,5,0)</f>
        <v>331.42356000000007</v>
      </c>
      <c r="DQ94" s="14">
        <f t="shared" si="97"/>
        <v>77.725373499167262</v>
      </c>
      <c r="DR94" s="22">
        <f t="shared" si="70"/>
        <v>712.60105917771659</v>
      </c>
      <c r="DS94" s="62">
        <f t="shared" si="71"/>
        <v>987.2878860205617</v>
      </c>
      <c r="DT94" s="62">
        <f ca="1">AVERAGE(OFFSET($DS$3,0,0,'Données projet'!$E$14+1,1))-AVERAGE(OFFSET($H$3,0,0,'Données projet'!$E$14+1,1))</f>
        <v>638.58602907610805</v>
      </c>
      <c r="DU94" s="62">
        <f t="shared" si="98"/>
        <v>341.9250949809848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5.6843418860808015E-14</v>
      </c>
      <c r="EK94" s="18">
        <f>EJ94*VLOOKUP('Données projet'!$B$15,Paramètres!$A$1:$I$89,3,0)*VLOOKUP('Données projet'!$B$15,Paramètres!$A$1:$I$89,5,0)</f>
        <v>3.3992364478763198E-14</v>
      </c>
      <c r="EL94" s="14">
        <f t="shared" si="99"/>
        <v>5.790027782444094E-13</v>
      </c>
      <c r="EM94" s="22">
        <f t="shared" si="73"/>
        <v>1.0676332069095257E-12</v>
      </c>
      <c r="EN94" s="62">
        <f t="shared" si="74"/>
        <v>274.68682684284613</v>
      </c>
      <c r="EO94" s="62">
        <f ca="1">AVERAGE(OFFSET($EN$3,0,0,'Données projet'!$E$15+1,1))-AVERAGE(OFFSET($H$3,0,0,'Données projet'!$E$15+1,1))</f>
        <v>223.57443551076992</v>
      </c>
      <c r="EP94" s="62">
        <f t="shared" si="100"/>
        <v>382.12751862619427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7.9515036487711743</v>
      </c>
      <c r="EW94" s="23">
        <f>EXP(-LN(2)/25)*EW93+(1-EXP(-LN(2)/25))/(LN(2)/25)*Calculateur!ER94*Calculateur!ET94*VLOOKUP('Données projet'!$B$15,Paramètres!$A$1:$I$89,3,0)*0.475*44/12</f>
        <v>2.557877774493174</v>
      </c>
      <c r="EX94" s="23">
        <f>EXP(-LN(2)/2)*EX93+(1-EXP(-LN(2)/2))/(LN(2)/2)*ER94*EU94*VLOOKUP('Données projet'!$B$15,Paramètres!$A$1:$I$89,3,0)*0.475*44/12</f>
        <v>6.6760591470018023E-9</v>
      </c>
      <c r="EY94" s="24">
        <f t="shared" si="75"/>
        <v>10.509381429940406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1.4583333333333344</v>
      </c>
      <c r="FE94" s="13">
        <f>IF('Données projet'!$A$218&gt;35,FE93+FD94-FM93,IF(A94&lt;'Données projet'!$A$218,$FB$205^A94,IF(A94='Données projet'!$A$218,'Données projet'!$B$218,FE93+FD94-FM93)))</f>
        <v>98.69999999999996</v>
      </c>
      <c r="FF94" s="18">
        <f>FE94*VLOOKUP('Données projet'!$B$16,Paramètres!$A$1:$I$89,3,0)*VLOOKUP('Données projet'!$B$16,Paramètres!$A$1:$I$89,5,0)</f>
        <v>113.70239999999994</v>
      </c>
      <c r="FG94" s="14">
        <f t="shared" si="101"/>
        <v>30.20161113802142</v>
      </c>
      <c r="FH94" s="22">
        <f t="shared" si="76"/>
        <v>250.6328193987205</v>
      </c>
      <c r="FI94" s="62">
        <f t="shared" si="77"/>
        <v>525.31964624156558</v>
      </c>
      <c r="FJ94" s="62">
        <f ca="1">AVERAGE(OFFSET($FI$3,0,0,'Données projet'!$E$16+1,1))-AVERAGE(OFFSET($H$3,0,0,'Données projet'!$E$16+1,1))</f>
        <v>283.95543623515323</v>
      </c>
      <c r="FK94" s="62">
        <f t="shared" si="102"/>
        <v>196.96883829830929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5.6843418860808015E-14</v>
      </c>
      <c r="GA94" s="18">
        <f>FZ94*VLOOKUP('Données projet'!$B$17,Paramètres!$A$1:$I$89,3,0)*VLOOKUP('Données projet'!$B$17,Paramètres!$A$1:$I$89,5,0)</f>
        <v>3.3992364478763198E-14</v>
      </c>
      <c r="GB94" s="14">
        <f t="shared" si="103"/>
        <v>5.790027782444094E-13</v>
      </c>
      <c r="GC94" s="22">
        <f t="shared" si="79"/>
        <v>1.0676332069095257E-12</v>
      </c>
      <c r="GD94" s="62">
        <f t="shared" si="80"/>
        <v>274.68682684284613</v>
      </c>
      <c r="GE94" s="62">
        <f ca="1">AVERAGE(OFFSET($GD$3,0,0,'Données projet'!$E$17+1,1))-AVERAGE(OFFSET($H$3,0,0,'Données projet'!$E$17+1,1))</f>
        <v>223.57443551076992</v>
      </c>
      <c r="GF94" s="62">
        <f t="shared" si="104"/>
        <v>382.12751862619427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7.9515036487711743</v>
      </c>
      <c r="GM94" s="23">
        <f>EXP(-LN(2)/25)*GM93+(1-EXP(-LN(2)/25))/(LN(2)/25)*Calculateur!GH94*Calculateur!GJ94*VLOOKUP('Données projet'!$B$17,Paramètres!$A$1:$I$89,3,0)*0.475*44/12</f>
        <v>2.557877774493174</v>
      </c>
      <c r="GN94" s="23">
        <f>EXP(-LN(2)/2)*GN93+(1-EXP(-LN(2)/2))/(LN(2)/2)*GH94*GK94*VLOOKUP('Données projet'!$B$17,Paramètres!$A$1:$I$89,3,0)*0.475*44/12</f>
        <v>6.6760591470018023E-9</v>
      </c>
      <c r="GO94" s="23">
        <f t="shared" si="81"/>
        <v>10.509381429940406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6.3957954686202676</v>
      </c>
      <c r="GU94" s="13">
        <f>IF('Données projet'!$A$270&gt;35,GU93+GT94-HC93,IF(A94&lt;'Données projet'!$A$270,$GR$205^A94,IF(A94='Données projet'!$A$270,'Données projet'!$B$270,GU93+GT94-HC93)))</f>
        <v>340.6441755070087</v>
      </c>
      <c r="GV94" s="18">
        <f>GU94*VLOOKUP('Données projet'!$B$18,Paramètres!$A$1:$I$89,3,0)*VLOOKUP('Données projet'!$B$18,Paramètres!$A$1:$I$89,5,0)</f>
        <v>371.98343965365348</v>
      </c>
      <c r="GW94" s="14">
        <f t="shared" si="105"/>
        <v>86.072956970539167</v>
      </c>
      <c r="GX94" s="22">
        <f t="shared" si="82"/>
        <v>797.78155745380218</v>
      </c>
      <c r="GY94" s="62">
        <f t="shared" si="83"/>
        <v>1072.4683842966472</v>
      </c>
      <c r="GZ94" s="62">
        <f ca="1">AVERAGE(OFFSET($GY$3,0,0,'Données projet'!$E$18+1,1))-AVERAGE(OFFSET($H$3,0,0,'Données projet'!$E$18+1,1))</f>
        <v>754.33260592777049</v>
      </c>
      <c r="HA94" s="62">
        <f t="shared" si="106"/>
        <v>250.97643915279005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9">
        <f t="shared" si="56"/>
        <v>183.33333333333334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313.80000000000007</v>
      </c>
      <c r="O95" s="14">
        <f>N95*VLOOKUP('Données projet'!$B$9,Paramètres!$A$1:$I$89,3,0)*VLOOKUP('Données projet'!$B$9,Paramètres!$A$1:$I$89,5,0)</f>
        <v>283.92624000000006</v>
      </c>
      <c r="P95" s="14">
        <f t="shared" si="87"/>
        <v>67.796062628528361</v>
      </c>
      <c r="Q95" s="22">
        <f t="shared" si="54"/>
        <v>612.58301041135371</v>
      </c>
      <c r="R95" s="62">
        <f t="shared" si="55"/>
        <v>887.59331245446538</v>
      </c>
      <c r="S95" s="62">
        <f ca="1">AVERAGE(OFFSET($R$3,0,0,'Données projet'!$E$9+1,1))-AVERAGE(OFFSET($H$3,0,0,'Données projet'!$E$9+1,1))</f>
        <v>550.39292625253665</v>
      </c>
      <c r="T95" s="62">
        <f t="shared" si="88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5.9</v>
      </c>
      <c r="AI95" s="14">
        <f>IF('Données projet'!$A$62&gt;35,AI94+AH95-AQ94,IF(A95&lt;'Données projet'!$A$62,$AF$205^A95,IF(A95='Données projet'!$A$62,'Données projet'!$B$62,AI94+AH95-AQ94)))</f>
        <v>313.80000000000007</v>
      </c>
      <c r="AJ95" s="14">
        <f>AI95*VLOOKUP('Données projet'!$B$10,Paramètres!$A$1:$I$89,3,0)*VLOOKUP('Données projet'!$B$10,Paramètres!$A$1:$I$89,5,0)</f>
        <v>318.1932000000001</v>
      </c>
      <c r="AK95" s="14">
        <f t="shared" si="89"/>
        <v>74.977289985928564</v>
      </c>
      <c r="AL95" s="22">
        <f t="shared" si="58"/>
        <v>684.77193672549231</v>
      </c>
      <c r="AM95" s="62">
        <f t="shared" si="59"/>
        <v>959.78223876860397</v>
      </c>
      <c r="AN95" s="62">
        <f ca="1">AVERAGE(OFFSET($AM$3,0,0,'Données projet'!$E$10+1,1))-AVERAGE(OFFSET($H$3,0,0,'Données projet'!$E$10+1,1))</f>
        <v>606.55142836375308</v>
      </c>
      <c r="AO95" s="62">
        <f t="shared" si="90"/>
        <v>325.72635759450861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4.1025641025641049</v>
      </c>
      <c r="BD95" s="13">
        <f>IF('Données projet'!$A$88&gt;35,BD94+BC95-BL94,IF(A95&lt;'Données projet'!$A$88,$BA$205^A95,IF(A95='Données projet'!$A$88,'Données projet'!$B$88,BD94+BC95-BL94)))</f>
        <v>355.64102564102581</v>
      </c>
      <c r="BE95" s="14">
        <f>BD95*VLOOKUP('Données projet'!$B$11,Paramètres!$A$1:$I$89,3,0)*VLOOKUP('Données projet'!$B$11,Paramètres!$A$1:$I$89,5,0)</f>
        <v>371.71600000000018</v>
      </c>
      <c r="BF95" s="14">
        <f t="shared" si="91"/>
        <v>86.018275170521079</v>
      </c>
      <c r="BG95" s="22">
        <f t="shared" si="61"/>
        <v>797.22052925532444</v>
      </c>
      <c r="BH95" s="62">
        <f t="shared" si="62"/>
        <v>1072.2308312984362</v>
      </c>
      <c r="BI95" s="62">
        <f ca="1">AVERAGE(OFFSET($BH$3,0,0,'Données projet'!$E$11+1,1))-AVERAGE(OFFSET($H$3,0,0,'Données projet'!$E$11+1,1))</f>
        <v>635.13577238794812</v>
      </c>
      <c r="BJ95" s="62">
        <f t="shared" si="92"/>
        <v>374.35810525172019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-6.8212102632969618E-13</v>
      </c>
      <c r="BZ95" s="14">
        <f>BY95*VLOOKUP('Données projet'!$B$12,Paramètres!$A$1:$I$89,3,0)*VLOOKUP('Données projet'!$B$12,Paramètres!$A$1:$I$89,5,0)</f>
        <v>-3.0149749363772573E-13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580.02817743695846</v>
      </c>
      <c r="CE95" s="62">
        <f t="shared" si="94"/>
        <v>551.23515633208865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8.7211538461538485</v>
      </c>
      <c r="CT95" s="13">
        <f>IF('Données projet'!$A$140&gt;35,CT94+CS95-DB94,IF(A95&lt;'Données projet'!$A$140,$CQ$205^A95,IF(A95='Données projet'!$A$140,'Données projet'!$B$140,CT94+CS95-DB94)))</f>
        <v>354.67115384615386</v>
      </c>
      <c r="CU95" s="18">
        <f>CT95*VLOOKUP('Données projet'!$B$13,Paramètres!$A$1:$I$89,3,0)*VLOOKUP('Données projet'!$B$13,Paramètres!$A$1:$I$89,5,0)</f>
        <v>165.98609999999999</v>
      </c>
      <c r="CV95" s="14">
        <f t="shared" si="95"/>
        <v>42.18979716636489</v>
      </c>
      <c r="CW95" s="22">
        <f t="shared" si="67"/>
        <v>362.57302089808542</v>
      </c>
      <c r="CX95" s="62">
        <f t="shared" si="68"/>
        <v>637.58332294119714</v>
      </c>
      <c r="CY95" s="62">
        <f ca="1">AVERAGE(OFFSET($CX$3,0,0,'Données projet'!$E$13+1,1))-AVERAGE(OFFSET($H$3,0,0,'Données projet'!$E$13+1,1))</f>
        <v>321.05795935196863</v>
      </c>
      <c r="CZ95" s="62">
        <f t="shared" si="96"/>
        <v>209.59551322748908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5.9</v>
      </c>
      <c r="DO95" s="13">
        <f>IF('Données projet'!$A$166&gt;35,DO94+DN95-DW94,IF(A95&lt;'Données projet'!$A$166,$DL$205^A95,IF(A95='Données projet'!$A$166,'Données projet'!$B$166,DO94+DN95-DW94)))</f>
        <v>313.80000000000007</v>
      </c>
      <c r="DP95" s="18">
        <f>DO95*VLOOKUP('Données projet'!$B$14,Paramètres!$A$1:$I$89,3,0)*VLOOKUP('Données projet'!$B$14,Paramètres!$A$1:$I$89,5,0)</f>
        <v>337.77432000000005</v>
      </c>
      <c r="DQ95" s="14">
        <f t="shared" si="97"/>
        <v>79.039931222441098</v>
      </c>
      <c r="DR95" s="22">
        <f t="shared" si="70"/>
        <v>725.95148754575166</v>
      </c>
      <c r="DS95" s="62">
        <f t="shared" si="71"/>
        <v>1000.9617895888634</v>
      </c>
      <c r="DT95" s="62">
        <f ca="1">AVERAGE(OFFSET($DS$3,0,0,'Données projet'!$E$14+1,1))-AVERAGE(OFFSET($H$3,0,0,'Données projet'!$E$14+1,1))</f>
        <v>638.58602907610805</v>
      </c>
      <c r="DU95" s="62">
        <f t="shared" si="98"/>
        <v>341.9250949809848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5.6843418860808015E-14</v>
      </c>
      <c r="EK95" s="18">
        <f>EJ95*VLOOKUP('Données projet'!$B$15,Paramètres!$A$1:$I$89,3,0)*VLOOKUP('Données projet'!$B$15,Paramètres!$A$1:$I$89,5,0)</f>
        <v>3.3992364478763198E-14</v>
      </c>
      <c r="EL95" s="14">
        <f t="shared" si="99"/>
        <v>5.790027782444094E-13</v>
      </c>
      <c r="EM95" s="22">
        <f t="shared" si="73"/>
        <v>1.0676332069095257E-12</v>
      </c>
      <c r="EN95" s="62">
        <f t="shared" si="74"/>
        <v>275.0103020431128</v>
      </c>
      <c r="EO95" s="62">
        <f ca="1">AVERAGE(OFFSET($EN$3,0,0,'Données projet'!$E$15+1,1))-AVERAGE(OFFSET($H$3,0,0,'Données projet'!$E$15+1,1))</f>
        <v>223.57443551076992</v>
      </c>
      <c r="EP95" s="62">
        <f t="shared" si="100"/>
        <v>382.12751862619427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7.7955795121571061</v>
      </c>
      <c r="EW95" s="23">
        <f>EXP(-LN(2)/25)*EW94+(1-EXP(-LN(2)/25))/(LN(2)/25)*Calculateur!ER95*Calculateur!ET95*VLOOKUP('Données projet'!$B$15,Paramètres!$A$1:$I$89,3,0)*0.475*44/12</f>
        <v>2.4879324722367122</v>
      </c>
      <c r="EX95" s="23">
        <f>EXP(-LN(2)/2)*EX94+(1-EXP(-LN(2)/2))/(LN(2)/2)*ER95*EU95*VLOOKUP('Données projet'!$B$15,Paramètres!$A$1:$I$89,3,0)*0.475*44/12</f>
        <v>4.7206866944474525E-9</v>
      </c>
      <c r="EY95" s="24">
        <f t="shared" si="75"/>
        <v>10.283511989114505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1.4583333333333344</v>
      </c>
      <c r="FE95" s="13">
        <f>IF('Données projet'!$A$218&gt;35,FE94+FD95-FM94,IF(A95&lt;'Données projet'!$A$218,$FB$205^A95,IF(A95='Données projet'!$A$218,'Données projet'!$B$218,FE94+FD95-FM94)))</f>
        <v>100.15833333333329</v>
      </c>
      <c r="FF95" s="18">
        <f>FE95*VLOOKUP('Données projet'!$B$16,Paramètres!$A$1:$I$89,3,0)*VLOOKUP('Données projet'!$B$16,Paramètres!$A$1:$I$89,5,0)</f>
        <v>115.38239999999995</v>
      </c>
      <c r="FG95" s="14">
        <f t="shared" si="101"/>
        <v>30.59557273099043</v>
      </c>
      <c r="FH95" s="22">
        <f t="shared" si="76"/>
        <v>254.24496917314158</v>
      </c>
      <c r="FI95" s="62">
        <f t="shared" si="77"/>
        <v>529.25527121625328</v>
      </c>
      <c r="FJ95" s="62">
        <f ca="1">AVERAGE(OFFSET($FI$3,0,0,'Données projet'!$E$16+1,1))-AVERAGE(OFFSET($H$3,0,0,'Données projet'!$E$16+1,1))</f>
        <v>283.95543623515323</v>
      </c>
      <c r="FK95" s="62">
        <f t="shared" si="102"/>
        <v>196.96883829830929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5.6843418860808015E-14</v>
      </c>
      <c r="GA95" s="18">
        <f>FZ95*VLOOKUP('Données projet'!$B$17,Paramètres!$A$1:$I$89,3,0)*VLOOKUP('Données projet'!$B$17,Paramètres!$A$1:$I$89,5,0)</f>
        <v>3.3992364478763198E-14</v>
      </c>
      <c r="GB95" s="14">
        <f t="shared" si="103"/>
        <v>5.790027782444094E-13</v>
      </c>
      <c r="GC95" s="22">
        <f t="shared" si="79"/>
        <v>1.0676332069095257E-12</v>
      </c>
      <c r="GD95" s="62">
        <f t="shared" si="80"/>
        <v>275.0103020431128</v>
      </c>
      <c r="GE95" s="62">
        <f ca="1">AVERAGE(OFFSET($GD$3,0,0,'Données projet'!$E$17+1,1))-AVERAGE(OFFSET($H$3,0,0,'Données projet'!$E$17+1,1))</f>
        <v>223.57443551076992</v>
      </c>
      <c r="GF95" s="62">
        <f t="shared" si="104"/>
        <v>382.12751862619427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7.7955795121571061</v>
      </c>
      <c r="GM95" s="23">
        <f>EXP(-LN(2)/25)*GM94+(1-EXP(-LN(2)/25))/(LN(2)/25)*Calculateur!GH95*Calculateur!GJ95*VLOOKUP('Données projet'!$B$17,Paramètres!$A$1:$I$89,3,0)*0.475*44/12</f>
        <v>2.4879324722367122</v>
      </c>
      <c r="GN95" s="23">
        <f>EXP(-LN(2)/2)*GN94+(1-EXP(-LN(2)/2))/(LN(2)/2)*GH95*GK95*VLOOKUP('Données projet'!$B$17,Paramètres!$A$1:$I$89,3,0)*0.475*44/12</f>
        <v>4.7206866944474525E-9</v>
      </c>
      <c r="GO95" s="23">
        <f t="shared" si="81"/>
        <v>10.283511989114505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6.3957954686202676</v>
      </c>
      <c r="GU95" s="13">
        <f>IF('Données projet'!$A$270&gt;35,GU94+GT95-HC94,IF(A95&lt;'Données projet'!$A$270,$GR$205^A95,IF(A95='Données projet'!$A$270,'Données projet'!$B$270,GU94+GT95-HC94)))</f>
        <v>347.03997097562899</v>
      </c>
      <c r="GV95" s="18">
        <f>GU95*VLOOKUP('Données projet'!$B$18,Paramètres!$A$1:$I$89,3,0)*VLOOKUP('Données projet'!$B$18,Paramètres!$A$1:$I$89,5,0)</f>
        <v>378.96764830538683</v>
      </c>
      <c r="GW95" s="14">
        <f t="shared" si="105"/>
        <v>87.499367336890643</v>
      </c>
      <c r="GX95" s="22">
        <f t="shared" si="82"/>
        <v>812.43005224363333</v>
      </c>
      <c r="GY95" s="62">
        <f t="shared" si="83"/>
        <v>1087.4403542867451</v>
      </c>
      <c r="GZ95" s="62">
        <f ca="1">AVERAGE(OFFSET($GY$3,0,0,'Données projet'!$E$18+1,1))-AVERAGE(OFFSET($H$3,0,0,'Données projet'!$E$18+1,1))</f>
        <v>754.33260592777049</v>
      </c>
      <c r="HA95" s="62">
        <f t="shared" si="106"/>
        <v>250.97643915279005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9">
        <f t="shared" si="56"/>
        <v>183.33333333333334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319.70000000000005</v>
      </c>
      <c r="O96" s="14">
        <f>N96*VLOOKUP('Données projet'!$B$9,Paramètres!$A$1:$I$89,3,0)*VLOOKUP('Données projet'!$B$9,Paramètres!$A$1:$I$89,5,0)</f>
        <v>289.26456000000002</v>
      </c>
      <c r="P96" s="14">
        <f t="shared" si="87"/>
        <v>68.921152085057912</v>
      </c>
      <c r="Q96" s="22">
        <f t="shared" si="54"/>
        <v>623.84011521480932</v>
      </c>
      <c r="R96" s="62">
        <f t="shared" si="55"/>
        <v>899.16828088664533</v>
      </c>
      <c r="S96" s="62">
        <f ca="1">AVERAGE(OFFSET($R$3,0,0,'Données projet'!$E$9+1,1))-AVERAGE(OFFSET($H$3,0,0,'Données projet'!$E$9+1,1))</f>
        <v>550.39292625253665</v>
      </c>
      <c r="T96" s="62">
        <f t="shared" si="88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5.9</v>
      </c>
      <c r="AI96" s="14">
        <f>IF('Données projet'!$A$62&gt;35,AI95+AH96-AQ95,IF(A96&lt;'Données projet'!$A$62,$AF$205^A96,IF(A96='Données projet'!$A$62,'Données projet'!$B$62,AI95+AH96-AQ95)))</f>
        <v>319.70000000000005</v>
      </c>
      <c r="AJ96" s="14">
        <f>AI96*VLOOKUP('Données projet'!$B$10,Paramètres!$A$1:$I$89,3,0)*VLOOKUP('Données projet'!$B$10,Paramètres!$A$1:$I$89,5,0)</f>
        <v>324.17580000000004</v>
      </c>
      <c r="AK96" s="14">
        <f t="shared" si="89"/>
        <v>76.221553371909195</v>
      </c>
      <c r="AL96" s="22">
        <f t="shared" si="58"/>
        <v>697.3587237894086</v>
      </c>
      <c r="AM96" s="62">
        <f t="shared" si="59"/>
        <v>972.68688946124462</v>
      </c>
      <c r="AN96" s="62">
        <f ca="1">AVERAGE(OFFSET($AM$3,0,0,'Données projet'!$E$10+1,1))-AVERAGE(OFFSET($H$3,0,0,'Données projet'!$E$10+1,1))</f>
        <v>606.55142836375308</v>
      </c>
      <c r="AO96" s="62">
        <f t="shared" si="90"/>
        <v>325.72635759450861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4.1025641025641049</v>
      </c>
      <c r="BD96" s="13">
        <f>IF('Données projet'!$A$88&gt;35,BD95+BC96-BL95,IF(A96&lt;'Données projet'!$A$88,$BA$205^A96,IF(A96='Données projet'!$A$88,'Données projet'!$B$88,BD95+BC96-BL95)))</f>
        <v>359.74358974358989</v>
      </c>
      <c r="BE96" s="14">
        <f>BD96*VLOOKUP('Données projet'!$B$11,Paramètres!$A$1:$I$89,3,0)*VLOOKUP('Données projet'!$B$11,Paramètres!$A$1:$I$89,5,0)</f>
        <v>376.00400000000019</v>
      </c>
      <c r="BF96" s="14">
        <f t="shared" si="91"/>
        <v>86.894467668315613</v>
      </c>
      <c r="BG96" s="22">
        <f t="shared" si="61"/>
        <v>806.21483118898334</v>
      </c>
      <c r="BH96" s="62">
        <f t="shared" si="62"/>
        <v>1081.5429968608194</v>
      </c>
      <c r="BI96" s="62">
        <f ca="1">AVERAGE(OFFSET($BH$3,0,0,'Données projet'!$E$11+1,1))-AVERAGE(OFFSET($H$3,0,0,'Données projet'!$E$11+1,1))</f>
        <v>635.13577238794812</v>
      </c>
      <c r="BJ96" s="62">
        <f t="shared" si="92"/>
        <v>374.35810525172019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-6.8212102632969618E-13</v>
      </c>
      <c r="BZ96" s="14">
        <f>BY96*VLOOKUP('Données projet'!$B$12,Paramètres!$A$1:$I$89,3,0)*VLOOKUP('Données projet'!$B$12,Paramètres!$A$1:$I$89,5,0)</f>
        <v>-3.0149749363772573E-13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580.02817743695846</v>
      </c>
      <c r="CE96" s="62">
        <f t="shared" si="94"/>
        <v>551.23515633208865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8.7211538461538485</v>
      </c>
      <c r="CT96" s="13">
        <f>IF('Données projet'!$A$140&gt;35,CT95+CS96-DB95,IF(A96&lt;'Données projet'!$A$140,$CQ$205^A96,IF(A96='Données projet'!$A$140,'Données projet'!$B$140,CT95+CS96-DB95)))</f>
        <v>363.39230769230772</v>
      </c>
      <c r="CU96" s="18">
        <f>CT96*VLOOKUP('Données projet'!$B$13,Paramètres!$A$1:$I$89,3,0)*VLOOKUP('Données projet'!$B$13,Paramètres!$A$1:$I$89,5,0)</f>
        <v>170.0676</v>
      </c>
      <c r="CV96" s="14">
        <f t="shared" si="95"/>
        <v>43.105163386216795</v>
      </c>
      <c r="CW96" s="22">
        <f t="shared" si="67"/>
        <v>371.27589623099425</v>
      </c>
      <c r="CX96" s="62">
        <f t="shared" si="68"/>
        <v>646.60406190283015</v>
      </c>
      <c r="CY96" s="62">
        <f ca="1">AVERAGE(OFFSET($CX$3,0,0,'Données projet'!$E$13+1,1))-AVERAGE(OFFSET($H$3,0,0,'Données projet'!$E$13+1,1))</f>
        <v>321.05795935196863</v>
      </c>
      <c r="CZ96" s="62">
        <f t="shared" si="96"/>
        <v>209.59551322748908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5.9</v>
      </c>
      <c r="DO96" s="13">
        <f>IF('Données projet'!$A$166&gt;35,DO95+DN96-DW95,IF(A96&lt;'Données projet'!$A$166,$DL$205^A96,IF(A96='Données projet'!$A$166,'Données projet'!$B$166,DO95+DN96-DW95)))</f>
        <v>319.70000000000005</v>
      </c>
      <c r="DP96" s="18">
        <f>DO96*VLOOKUP('Données projet'!$B$14,Paramètres!$A$1:$I$89,3,0)*VLOOKUP('Données projet'!$B$14,Paramètres!$A$1:$I$89,5,0)</f>
        <v>344.12508000000003</v>
      </c>
      <c r="DQ96" s="14">
        <f t="shared" si="97"/>
        <v>80.351614966531784</v>
      </c>
      <c r="DR96" s="22">
        <f t="shared" si="70"/>
        <v>739.29691040004275</v>
      </c>
      <c r="DS96" s="62">
        <f t="shared" si="71"/>
        <v>1014.6250760718788</v>
      </c>
      <c r="DT96" s="62">
        <f ca="1">AVERAGE(OFFSET($DS$3,0,0,'Données projet'!$E$14+1,1))-AVERAGE(OFFSET($H$3,0,0,'Données projet'!$E$14+1,1))</f>
        <v>638.58602907610805</v>
      </c>
      <c r="DU96" s="62">
        <f t="shared" si="98"/>
        <v>341.9250949809848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5.6843418860808015E-14</v>
      </c>
      <c r="EK96" s="18">
        <f>EJ96*VLOOKUP('Données projet'!$B$15,Paramètres!$A$1:$I$89,3,0)*VLOOKUP('Données projet'!$B$15,Paramètres!$A$1:$I$89,5,0)</f>
        <v>3.3992364478763198E-14</v>
      </c>
      <c r="EL96" s="14">
        <f t="shared" si="99"/>
        <v>5.790027782444094E-13</v>
      </c>
      <c r="EM96" s="22">
        <f t="shared" si="73"/>
        <v>1.0676332069095257E-12</v>
      </c>
      <c r="EN96" s="62">
        <f t="shared" si="74"/>
        <v>275.32816567183704</v>
      </c>
      <c r="EO96" s="62">
        <f ca="1">AVERAGE(OFFSET($EN$3,0,0,'Données projet'!$E$15+1,1))-AVERAGE(OFFSET($H$3,0,0,'Données projet'!$E$15+1,1))</f>
        <v>223.57443551076992</v>
      </c>
      <c r="EP96" s="62">
        <f t="shared" si="100"/>
        <v>382.12751862619427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7.6427129527577069</v>
      </c>
      <c r="EW96" s="23">
        <f>EXP(-LN(2)/25)*EW95+(1-EXP(-LN(2)/25))/(LN(2)/25)*Calculateur!ER96*Calculateur!ET96*VLOOKUP('Données projet'!$B$15,Paramètres!$A$1:$I$89,3,0)*0.475*44/12</f>
        <v>2.4198998279487167</v>
      </c>
      <c r="EX96" s="23">
        <f>EXP(-LN(2)/2)*EX95+(1-EXP(-LN(2)/2))/(LN(2)/2)*ER96*EU96*VLOOKUP('Données projet'!$B$15,Paramètres!$A$1:$I$89,3,0)*0.475*44/12</f>
        <v>3.3380295735009012E-9</v>
      </c>
      <c r="EY96" s="24">
        <f t="shared" si="75"/>
        <v>10.062612784044454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1.4583333333333344</v>
      </c>
      <c r="FE96" s="13">
        <f>IF('Données projet'!$A$218&gt;35,FE95+FD96-FM95,IF(A96&lt;'Données projet'!$A$218,$FB$205^A96,IF(A96='Données projet'!$A$218,'Données projet'!$B$218,FE95+FD96-FM95)))</f>
        <v>101.61666666666662</v>
      </c>
      <c r="FF96" s="18">
        <f>FE96*VLOOKUP('Données projet'!$B$16,Paramètres!$A$1:$I$89,3,0)*VLOOKUP('Données projet'!$B$16,Paramètres!$A$1:$I$89,5,0)</f>
        <v>117.06239999999994</v>
      </c>
      <c r="FG96" s="14">
        <f t="shared" si="101"/>
        <v>30.988867171899123</v>
      </c>
      <c r="FH96" s="22">
        <f t="shared" si="76"/>
        <v>257.85595699105755</v>
      </c>
      <c r="FI96" s="62">
        <f t="shared" si="77"/>
        <v>533.18412266289351</v>
      </c>
      <c r="FJ96" s="62">
        <f ca="1">AVERAGE(OFFSET($FI$3,0,0,'Données projet'!$E$16+1,1))-AVERAGE(OFFSET($H$3,0,0,'Données projet'!$E$16+1,1))</f>
        <v>283.95543623515323</v>
      </c>
      <c r="FK96" s="62">
        <f t="shared" si="102"/>
        <v>196.96883829830929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5.6843418860808015E-14</v>
      </c>
      <c r="GA96" s="18">
        <f>FZ96*VLOOKUP('Données projet'!$B$17,Paramètres!$A$1:$I$89,3,0)*VLOOKUP('Données projet'!$B$17,Paramètres!$A$1:$I$89,5,0)</f>
        <v>3.3992364478763198E-14</v>
      </c>
      <c r="GB96" s="14">
        <f t="shared" si="103"/>
        <v>5.790027782444094E-13</v>
      </c>
      <c r="GC96" s="22">
        <f t="shared" si="79"/>
        <v>1.0676332069095257E-12</v>
      </c>
      <c r="GD96" s="62">
        <f t="shared" si="80"/>
        <v>275.32816567183704</v>
      </c>
      <c r="GE96" s="62">
        <f ca="1">AVERAGE(OFFSET($GD$3,0,0,'Données projet'!$E$17+1,1))-AVERAGE(OFFSET($H$3,0,0,'Données projet'!$E$17+1,1))</f>
        <v>223.57443551076992</v>
      </c>
      <c r="GF96" s="62">
        <f t="shared" si="104"/>
        <v>382.12751862619427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7.6427129527577069</v>
      </c>
      <c r="GM96" s="23">
        <f>EXP(-LN(2)/25)*GM95+(1-EXP(-LN(2)/25))/(LN(2)/25)*Calculateur!GH96*Calculateur!GJ96*VLOOKUP('Données projet'!$B$17,Paramètres!$A$1:$I$89,3,0)*0.475*44/12</f>
        <v>2.4198998279487167</v>
      </c>
      <c r="GN96" s="23">
        <f>EXP(-LN(2)/2)*GN95+(1-EXP(-LN(2)/2))/(LN(2)/2)*GH96*GK96*VLOOKUP('Données projet'!$B$17,Paramètres!$A$1:$I$89,3,0)*0.475*44/12</f>
        <v>3.3380295735009012E-9</v>
      </c>
      <c r="GO96" s="23">
        <f t="shared" si="81"/>
        <v>10.062612784044454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6.3957954686202676</v>
      </c>
      <c r="GU96" s="13">
        <f>IF('Données projet'!$A$270&gt;35,GU95+GT96-HC95,IF(A96&lt;'Données projet'!$A$270,$GR$205^A96,IF(A96='Données projet'!$A$270,'Données projet'!$B$270,GU95+GT96-HC95)))</f>
        <v>353.43576644424928</v>
      </c>
      <c r="GV96" s="18">
        <f>GU96*VLOOKUP('Données projet'!$B$18,Paramètres!$A$1:$I$89,3,0)*VLOOKUP('Données projet'!$B$18,Paramètres!$A$1:$I$89,5,0)</f>
        <v>385.95185695712019</v>
      </c>
      <c r="GW96" s="14">
        <f t="shared" si="105"/>
        <v>88.92272086270097</v>
      </c>
      <c r="GX96" s="22">
        <f t="shared" si="82"/>
        <v>827.07322303618855</v>
      </c>
      <c r="GY96" s="62">
        <f t="shared" si="83"/>
        <v>1102.4013887080246</v>
      </c>
      <c r="GZ96" s="62">
        <f ca="1">AVERAGE(OFFSET($GY$3,0,0,'Données projet'!$E$18+1,1))-AVERAGE(OFFSET($H$3,0,0,'Données projet'!$E$18+1,1))</f>
        <v>754.33260592777049</v>
      </c>
      <c r="HA96" s="62">
        <f t="shared" si="106"/>
        <v>250.97643915279005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9">
        <f t="shared" si="56"/>
        <v>183.33333333333334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325.60000000000002</v>
      </c>
      <c r="O97" s="14">
        <f>N97*VLOOKUP('Données projet'!$B$9,Paramètres!$A$1:$I$89,3,0)*VLOOKUP('Données projet'!$B$9,Paramètres!$A$1:$I$89,5,0)</f>
        <v>294.60288000000003</v>
      </c>
      <c r="P97" s="14">
        <f t="shared" si="87"/>
        <v>70.043827142305744</v>
      </c>
      <c r="Q97" s="22">
        <f t="shared" si="54"/>
        <v>635.09301493951591</v>
      </c>
      <c r="R97" s="62">
        <f t="shared" si="55"/>
        <v>910.73353001675446</v>
      </c>
      <c r="S97" s="62">
        <f ca="1">AVERAGE(OFFSET($R$3,0,0,'Données projet'!$E$9+1,1))-AVERAGE(OFFSET($H$3,0,0,'Données projet'!$E$9+1,1))</f>
        <v>550.39292625253665</v>
      </c>
      <c r="T97" s="62">
        <f t="shared" si="88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5.9</v>
      </c>
      <c r="AI97" s="14">
        <f>IF('Données projet'!$A$62&gt;35,AI96+AH97-AQ96,IF(A97&lt;'Données projet'!$A$62,$AF$205^A97,IF(A97='Données projet'!$A$62,'Données projet'!$B$62,AI96+AH97-AQ96)))</f>
        <v>325.60000000000002</v>
      </c>
      <c r="AJ97" s="14">
        <f>AI97*VLOOKUP('Données projet'!$B$10,Paramètres!$A$1:$I$89,3,0)*VLOOKUP('Données projet'!$B$10,Paramètres!$A$1:$I$89,5,0)</f>
        <v>330.15840000000003</v>
      </c>
      <c r="AK97" s="14">
        <f t="shared" si="89"/>
        <v>77.463146615877591</v>
      </c>
      <c r="AL97" s="22">
        <f t="shared" si="58"/>
        <v>709.94086035598684</v>
      </c>
      <c r="AM97" s="62">
        <f t="shared" si="59"/>
        <v>985.58137543322528</v>
      </c>
      <c r="AN97" s="62">
        <f ca="1">AVERAGE(OFFSET($AM$3,0,0,'Données projet'!$E$10+1,1))-AVERAGE(OFFSET($H$3,0,0,'Données projet'!$E$10+1,1))</f>
        <v>606.55142836375308</v>
      </c>
      <c r="AO97" s="62">
        <f t="shared" si="90"/>
        <v>325.72635759450861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4.1025641025641049</v>
      </c>
      <c r="BD97" s="13">
        <f>IF('Données projet'!$A$88&gt;35,BD96+BC97-BL96,IF(A97&lt;'Données projet'!$A$88,$BA$205^A97,IF(A97='Données projet'!$A$88,'Données projet'!$B$88,BD96+BC97-BL96)))</f>
        <v>363.84615384615398</v>
      </c>
      <c r="BE97" s="14">
        <f>BD97*VLOOKUP('Données projet'!$B$11,Paramètres!$A$1:$I$89,3,0)*VLOOKUP('Données projet'!$B$11,Paramètres!$A$1:$I$89,5,0)</f>
        <v>380.29200000000014</v>
      </c>
      <c r="BF97" s="14">
        <f t="shared" si="91"/>
        <v>87.769497817075475</v>
      </c>
      <c r="BG97" s="22">
        <f t="shared" si="61"/>
        <v>815.20710869807328</v>
      </c>
      <c r="BH97" s="62">
        <f t="shared" si="62"/>
        <v>1090.8476237753118</v>
      </c>
      <c r="BI97" s="62">
        <f ca="1">AVERAGE(OFFSET($BH$3,0,0,'Données projet'!$E$11+1,1))-AVERAGE(OFFSET($H$3,0,0,'Données projet'!$E$11+1,1))</f>
        <v>635.13577238794812</v>
      </c>
      <c r="BJ97" s="62">
        <f t="shared" si="92"/>
        <v>374.35810525172019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-6.8212102632969618E-13</v>
      </c>
      <c r="BZ97" s="14">
        <f>BY97*VLOOKUP('Données projet'!$B$12,Paramètres!$A$1:$I$89,3,0)*VLOOKUP('Données projet'!$B$12,Paramètres!$A$1:$I$89,5,0)</f>
        <v>-3.0149749363772573E-13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580.02817743695846</v>
      </c>
      <c r="CE97" s="62">
        <f t="shared" si="94"/>
        <v>551.23515633208865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8.7211538461538485</v>
      </c>
      <c r="CT97" s="13">
        <f>IF('Données projet'!$A$140&gt;35,CT96+CS97-DB96,IF(A97&lt;'Données projet'!$A$140,$CQ$205^A97,IF(A97='Données projet'!$A$140,'Données projet'!$B$140,CT96+CS97-DB96)))</f>
        <v>372.11346153846159</v>
      </c>
      <c r="CU97" s="18">
        <f>CT97*VLOOKUP('Données projet'!$B$13,Paramètres!$A$1:$I$89,3,0)*VLOOKUP('Données projet'!$B$13,Paramètres!$A$1:$I$89,5,0)</f>
        <v>174.14910000000003</v>
      </c>
      <c r="CV97" s="14">
        <f t="shared" si="95"/>
        <v>44.017975824904816</v>
      </c>
      <c r="CW97" s="22">
        <f t="shared" si="67"/>
        <v>379.97432372837596</v>
      </c>
      <c r="CX97" s="62">
        <f t="shared" si="68"/>
        <v>655.61483880561445</v>
      </c>
      <c r="CY97" s="62">
        <f ca="1">AVERAGE(OFFSET($CX$3,0,0,'Données projet'!$E$13+1,1))-AVERAGE(OFFSET($H$3,0,0,'Données projet'!$E$13+1,1))</f>
        <v>321.05795935196863</v>
      </c>
      <c r="CZ97" s="62">
        <f t="shared" si="96"/>
        <v>209.59551322748908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5.9</v>
      </c>
      <c r="DO97" s="13">
        <f>IF('Données projet'!$A$166&gt;35,DO96+DN97-DW96,IF(A97&lt;'Données projet'!$A$166,$DL$205^A97,IF(A97='Données projet'!$A$166,'Données projet'!$B$166,DO96+DN97-DW96)))</f>
        <v>325.60000000000002</v>
      </c>
      <c r="DP97" s="18">
        <f>DO97*VLOOKUP('Données projet'!$B$14,Paramètres!$A$1:$I$89,3,0)*VLOOKUP('Données projet'!$B$14,Paramètres!$A$1:$I$89,5,0)</f>
        <v>350.47584000000001</v>
      </c>
      <c r="DQ97" s="14">
        <f t="shared" si="97"/>
        <v>81.660483887079877</v>
      </c>
      <c r="DR97" s="22">
        <f t="shared" si="70"/>
        <v>752.63743076999742</v>
      </c>
      <c r="DS97" s="62">
        <f t="shared" si="71"/>
        <v>1028.277945847236</v>
      </c>
      <c r="DT97" s="62">
        <f ca="1">AVERAGE(OFFSET($DS$3,0,0,'Données projet'!$E$14+1,1))-AVERAGE(OFFSET($H$3,0,0,'Données projet'!$E$14+1,1))</f>
        <v>638.58602907610805</v>
      </c>
      <c r="DU97" s="62">
        <f t="shared" si="98"/>
        <v>341.9250949809848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5.6843418860808015E-14</v>
      </c>
      <c r="EK97" s="18">
        <f>EJ97*VLOOKUP('Données projet'!$B$15,Paramètres!$A$1:$I$89,3,0)*VLOOKUP('Données projet'!$B$15,Paramètres!$A$1:$I$89,5,0)</f>
        <v>3.3992364478763198E-14</v>
      </c>
      <c r="EL97" s="14">
        <f t="shared" si="99"/>
        <v>5.790027782444094E-13</v>
      </c>
      <c r="EM97" s="22">
        <f t="shared" si="73"/>
        <v>1.0676332069095257E-12</v>
      </c>
      <c r="EN97" s="62">
        <f t="shared" si="74"/>
        <v>275.64051507723957</v>
      </c>
      <c r="EO97" s="62">
        <f ca="1">AVERAGE(OFFSET($EN$3,0,0,'Données projet'!$E$15+1,1))-AVERAGE(OFFSET($H$3,0,0,'Données projet'!$E$15+1,1))</f>
        <v>223.57443551076992</v>
      </c>
      <c r="EP97" s="62">
        <f t="shared" si="100"/>
        <v>382.12751862619427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7.4928440133487353</v>
      </c>
      <c r="EW97" s="23">
        <f>EXP(-LN(2)/25)*EW96+(1-EXP(-LN(2)/25))/(LN(2)/25)*Calculateur!ER97*Calculateur!ET97*VLOOKUP('Données projet'!$B$15,Paramètres!$A$1:$I$89,3,0)*0.475*44/12</f>
        <v>2.3537275398964579</v>
      </c>
      <c r="EX97" s="23">
        <f>EXP(-LN(2)/2)*EX96+(1-EXP(-LN(2)/2))/(LN(2)/2)*ER97*EU97*VLOOKUP('Données projet'!$B$15,Paramètres!$A$1:$I$89,3,0)*0.475*44/12</f>
        <v>2.3603433472237262E-9</v>
      </c>
      <c r="EY97" s="24">
        <f t="shared" si="75"/>
        <v>9.8465715556055358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1.4583333333333344</v>
      </c>
      <c r="FE97" s="13">
        <f>IF('Données projet'!$A$218&gt;35,FE96+FD97-FM96,IF(A97&lt;'Données projet'!$A$218,$FB$205^A97,IF(A97='Données projet'!$A$218,'Données projet'!$B$218,FE96+FD97-FM96)))</f>
        <v>103.07499999999995</v>
      </c>
      <c r="FF97" s="18">
        <f>FE97*VLOOKUP('Données projet'!$B$16,Paramètres!$A$1:$I$89,3,0)*VLOOKUP('Données projet'!$B$16,Paramètres!$A$1:$I$89,5,0)</f>
        <v>118.74239999999992</v>
      </c>
      <c r="FG97" s="14">
        <f t="shared" si="101"/>
        <v>31.38150514154874</v>
      </c>
      <c r="FH97" s="22">
        <f t="shared" si="76"/>
        <v>261.46580145486388</v>
      </c>
      <c r="FI97" s="62">
        <f t="shared" si="77"/>
        <v>537.10631653210237</v>
      </c>
      <c r="FJ97" s="62">
        <f ca="1">AVERAGE(OFFSET($FI$3,0,0,'Données projet'!$E$16+1,1))-AVERAGE(OFFSET($H$3,0,0,'Données projet'!$E$16+1,1))</f>
        <v>283.95543623515323</v>
      </c>
      <c r="FK97" s="62">
        <f t="shared" si="102"/>
        <v>196.96883829830929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5.6843418860808015E-14</v>
      </c>
      <c r="GA97" s="18">
        <f>FZ97*VLOOKUP('Données projet'!$B$17,Paramètres!$A$1:$I$89,3,0)*VLOOKUP('Données projet'!$B$17,Paramètres!$A$1:$I$89,5,0)</f>
        <v>3.3992364478763198E-14</v>
      </c>
      <c r="GB97" s="14">
        <f t="shared" si="103"/>
        <v>5.790027782444094E-13</v>
      </c>
      <c r="GC97" s="22">
        <f t="shared" si="79"/>
        <v>1.0676332069095257E-12</v>
      </c>
      <c r="GD97" s="62">
        <f t="shared" si="80"/>
        <v>275.64051507723957</v>
      </c>
      <c r="GE97" s="62">
        <f ca="1">AVERAGE(OFFSET($GD$3,0,0,'Données projet'!$E$17+1,1))-AVERAGE(OFFSET($H$3,0,0,'Données projet'!$E$17+1,1))</f>
        <v>223.57443551076992</v>
      </c>
      <c r="GF97" s="62">
        <f t="shared" si="104"/>
        <v>382.12751862619427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7.4928440133487353</v>
      </c>
      <c r="GM97" s="23">
        <f>EXP(-LN(2)/25)*GM96+(1-EXP(-LN(2)/25))/(LN(2)/25)*Calculateur!GH97*Calculateur!GJ97*VLOOKUP('Données projet'!$B$17,Paramètres!$A$1:$I$89,3,0)*0.475*44/12</f>
        <v>2.3537275398964579</v>
      </c>
      <c r="GN97" s="23">
        <f>EXP(-LN(2)/2)*GN96+(1-EXP(-LN(2)/2))/(LN(2)/2)*GH97*GK97*VLOOKUP('Données projet'!$B$17,Paramètres!$A$1:$I$89,3,0)*0.475*44/12</f>
        <v>2.3603433472237262E-9</v>
      </c>
      <c r="GO97" s="23">
        <f t="shared" si="81"/>
        <v>9.8465715556055358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6.3957954686202676</v>
      </c>
      <c r="GU97" s="13">
        <f>IF('Données projet'!$A$270&gt;35,GU96+GT97-HC96,IF(A97&lt;'Données projet'!$A$270,$GR$205^A97,IF(A97='Données projet'!$A$270,'Données projet'!$B$270,GU96+GT97-HC96)))</f>
        <v>359.83156191286957</v>
      </c>
      <c r="GV97" s="18">
        <f>GU97*VLOOKUP('Données projet'!$B$18,Paramètres!$A$1:$I$89,3,0)*VLOOKUP('Données projet'!$B$18,Paramètres!$A$1:$I$89,5,0)</f>
        <v>392.9360656088536</v>
      </c>
      <c r="GW97" s="14">
        <f t="shared" si="105"/>
        <v>90.343079245413335</v>
      </c>
      <c r="GX97" s="22">
        <f t="shared" si="82"/>
        <v>841.71117728784827</v>
      </c>
      <c r="GY97" s="62">
        <f t="shared" si="83"/>
        <v>1117.3516923650868</v>
      </c>
      <c r="GZ97" s="62">
        <f ca="1">AVERAGE(OFFSET($GY$3,0,0,'Données projet'!$E$18+1,1))-AVERAGE(OFFSET($H$3,0,0,'Données projet'!$E$18+1,1))</f>
        <v>754.33260592777049</v>
      </c>
      <c r="HA97" s="62">
        <f t="shared" si="106"/>
        <v>250.97643915279005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9">
        <f t="shared" si="56"/>
        <v>183.33333333333334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</v>
      </c>
      <c r="O98" s="14">
        <f>N98*VLOOKUP('Données projet'!$B$9,Paramètres!$A$1:$I$89,3,0)*VLOOKUP('Données projet'!$B$9,Paramètres!$A$1:$I$89,5,0)</f>
        <v>299.94119999999998</v>
      </c>
      <c r="P98" s="14">
        <f t="shared" si="87"/>
        <v>71.164136596531506</v>
      </c>
      <c r="Q98" s="22">
        <f t="shared" si="54"/>
        <v>646.34179457229243</v>
      </c>
      <c r="R98" s="62">
        <f t="shared" si="55"/>
        <v>922.28924049105831</v>
      </c>
      <c r="S98" s="62">
        <f ca="1">AVERAGE(OFFSET($R$3,0,0,'Données projet'!$E$9+1,1))-AVERAGE(OFFSET($H$3,0,0,'Données projet'!$E$9+1,1))</f>
        <v>550.39292625253665</v>
      </c>
      <c r="T98" s="62">
        <f t="shared" si="88"/>
        <v>297.32483725004136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5.9</v>
      </c>
      <c r="AI98" s="14">
        <f>IF('Données projet'!$A$62&gt;35,AI97+AH98-AQ97,IF(A98&lt;'Données projet'!$A$62,$AF$205^A98,IF(A98='Données projet'!$A$62,'Données projet'!$B$62,AI97+AH98-AQ97)))</f>
        <v>331.5</v>
      </c>
      <c r="AJ98" s="14">
        <f>AI98*VLOOKUP('Données projet'!$B$10,Paramètres!$A$1:$I$89,3,0)*VLOOKUP('Données projet'!$B$10,Paramètres!$A$1:$I$89,5,0)</f>
        <v>336.14100000000002</v>
      </c>
      <c r="AK98" s="14">
        <f t="shared" si="89"/>
        <v>78.70212368278645</v>
      </c>
      <c r="AL98" s="22">
        <f t="shared" si="58"/>
        <v>722.51844041418644</v>
      </c>
      <c r="AM98" s="62">
        <f t="shared" si="59"/>
        <v>998.46588633295232</v>
      </c>
      <c r="AN98" s="62">
        <f ca="1">AVERAGE(OFFSET($AM$3,0,0,'Données projet'!$E$10+1,1))-AVERAGE(OFFSET($H$3,0,0,'Données projet'!$E$10+1,1))</f>
        <v>606.55142836375308</v>
      </c>
      <c r="AO98" s="62">
        <f t="shared" si="90"/>
        <v>325.72635759450861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4.1025641025641049</v>
      </c>
      <c r="BD98" s="13">
        <f>IF('Données projet'!$A$88&gt;35,BD97+BC98-BL97,IF(A98&lt;'Données projet'!$A$88,$BA$205^A98,IF(A98='Données projet'!$A$88,'Données projet'!$B$88,BD97+BC98-BL97)))</f>
        <v>367.94871794871807</v>
      </c>
      <c r="BE98" s="14">
        <f>BD98*VLOOKUP('Données projet'!$B$11,Paramètres!$A$1:$I$89,3,0)*VLOOKUP('Données projet'!$B$11,Paramètres!$A$1:$I$89,5,0)</f>
        <v>384.58000000000015</v>
      </c>
      <c r="BF98" s="14">
        <f t="shared" si="91"/>
        <v>88.643380239498498</v>
      </c>
      <c r="BG98" s="22">
        <f t="shared" si="61"/>
        <v>824.19738725046011</v>
      </c>
      <c r="BH98" s="62">
        <f t="shared" si="62"/>
        <v>1100.1448331692261</v>
      </c>
      <c r="BI98" s="62">
        <f ca="1">AVERAGE(OFFSET($BH$3,0,0,'Données projet'!$E$11+1,1))-AVERAGE(OFFSET($H$3,0,0,'Données projet'!$E$11+1,1))</f>
        <v>635.13577238794812</v>
      </c>
      <c r="BJ98" s="62">
        <f t="shared" si="92"/>
        <v>374.35810525172019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-6.8212102632969618E-13</v>
      </c>
      <c r="BZ98" s="14">
        <f>BY98*VLOOKUP('Données projet'!$B$12,Paramètres!$A$1:$I$89,3,0)*VLOOKUP('Données projet'!$B$12,Paramètres!$A$1:$I$89,5,0)</f>
        <v>-3.0149749363772573E-13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580.02817743695846</v>
      </c>
      <c r="CE98" s="62">
        <f t="shared" si="94"/>
        <v>551.23515633208865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8.7211538461538485</v>
      </c>
      <c r="CT98" s="13">
        <f>IF('Données projet'!$A$140&gt;35,CT97+CS98-DB97,IF(A98&lt;'Données projet'!$A$140,$CQ$205^A98,IF(A98='Données projet'!$A$140,'Données projet'!$B$140,CT97+CS98-DB97)))</f>
        <v>380.83461538461546</v>
      </c>
      <c r="CU98" s="18">
        <f>CT98*VLOOKUP('Données projet'!$B$13,Paramètres!$A$1:$I$89,3,0)*VLOOKUP('Données projet'!$B$13,Paramètres!$A$1:$I$89,5,0)</f>
        <v>178.23060000000004</v>
      </c>
      <c r="CV98" s="14">
        <f t="shared" si="95"/>
        <v>44.92830122304332</v>
      </c>
      <c r="CW98" s="22">
        <f t="shared" si="67"/>
        <v>388.66841963013377</v>
      </c>
      <c r="CX98" s="62">
        <f t="shared" si="68"/>
        <v>664.61586554889971</v>
      </c>
      <c r="CY98" s="62">
        <f ca="1">AVERAGE(OFFSET($CX$3,0,0,'Données projet'!$E$13+1,1))-AVERAGE(OFFSET($H$3,0,0,'Données projet'!$E$13+1,1))</f>
        <v>321.05795935196863</v>
      </c>
      <c r="CZ98" s="62">
        <f t="shared" si="96"/>
        <v>209.59551322748908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5.9</v>
      </c>
      <c r="DO98" s="13">
        <f>IF('Données projet'!$A$166&gt;35,DO97+DN98-DW97,IF(A98&lt;'Données projet'!$A$166,$DL$205^A98,IF(A98='Données projet'!$A$166,'Données projet'!$B$166,DO97+DN98-DW97)))</f>
        <v>331.5</v>
      </c>
      <c r="DP98" s="18">
        <f>DO98*VLOOKUP('Données projet'!$B$14,Paramètres!$A$1:$I$89,3,0)*VLOOKUP('Données projet'!$B$14,Paramètres!$A$1:$I$89,5,0)</f>
        <v>356.82659999999998</v>
      </c>
      <c r="DQ98" s="14">
        <f t="shared" si="97"/>
        <v>82.966594873127022</v>
      </c>
      <c r="DR98" s="22">
        <f t="shared" si="70"/>
        <v>765.97314773736286</v>
      </c>
      <c r="DS98" s="62">
        <f t="shared" si="71"/>
        <v>1041.9205936561289</v>
      </c>
      <c r="DT98" s="62">
        <f ca="1">AVERAGE(OFFSET($DS$3,0,0,'Données projet'!$E$14+1,1))-AVERAGE(OFFSET($H$3,0,0,'Données projet'!$E$14+1,1))</f>
        <v>638.58602907610805</v>
      </c>
      <c r="DU98" s="62">
        <f t="shared" si="98"/>
        <v>341.9250949809848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5.6843418860808015E-14</v>
      </c>
      <c r="EK98" s="18">
        <f>EJ98*VLOOKUP('Données projet'!$B$15,Paramètres!$A$1:$I$89,3,0)*VLOOKUP('Données projet'!$B$15,Paramètres!$A$1:$I$89,5,0)</f>
        <v>3.3992364478763198E-14</v>
      </c>
      <c r="EL98" s="14">
        <f t="shared" si="99"/>
        <v>5.790027782444094E-13</v>
      </c>
      <c r="EM98" s="22">
        <f t="shared" si="73"/>
        <v>1.0676332069095257E-12</v>
      </c>
      <c r="EN98" s="62">
        <f t="shared" si="74"/>
        <v>275.94744591876702</v>
      </c>
      <c r="EO98" s="62">
        <f ca="1">AVERAGE(OFFSET($EN$3,0,0,'Données projet'!$E$15+1,1))-AVERAGE(OFFSET($H$3,0,0,'Données projet'!$E$15+1,1))</f>
        <v>223.57443551076992</v>
      </c>
      <c r="EP98" s="62">
        <f t="shared" si="100"/>
        <v>382.12751862619427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7.3459139124305466</v>
      </c>
      <c r="EW98" s="23">
        <f>EXP(-LN(2)/25)*EW97+(1-EXP(-LN(2)/25))/(LN(2)/25)*Calculateur!ER98*Calculateur!ET98*VLOOKUP('Données projet'!$B$15,Paramètres!$A$1:$I$89,3,0)*0.475*44/12</f>
        <v>2.2893647365408376</v>
      </c>
      <c r="EX98" s="23">
        <f>EXP(-LN(2)/2)*EX97+(1-EXP(-LN(2)/2))/(LN(2)/2)*ER98*EU98*VLOOKUP('Données projet'!$B$15,Paramètres!$A$1:$I$89,3,0)*0.475*44/12</f>
        <v>1.6690147867504506E-9</v>
      </c>
      <c r="EY98" s="24">
        <f t="shared" si="75"/>
        <v>9.6352786506403998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1.4583333333333344</v>
      </c>
      <c r="FE98" s="13">
        <f>IF('Données projet'!$A$218&gt;35,FE97+FD98-FM97,IF(A98&lt;'Données projet'!$A$218,$FB$205^A98,IF(A98='Données projet'!$A$218,'Données projet'!$B$218,FE97+FD98-FM97)))</f>
        <v>104.53333333333327</v>
      </c>
      <c r="FF98" s="18">
        <f>FE98*VLOOKUP('Données projet'!$B$16,Paramètres!$A$1:$I$89,3,0)*VLOOKUP('Données projet'!$B$16,Paramètres!$A$1:$I$89,5,0)</f>
        <v>120.42239999999991</v>
      </c>
      <c r="FG98" s="14">
        <f t="shared" si="101"/>
        <v>31.773497001152442</v>
      </c>
      <c r="FH98" s="22">
        <f t="shared" si="76"/>
        <v>265.07452061034036</v>
      </c>
      <c r="FI98" s="62">
        <f t="shared" si="77"/>
        <v>541.02196652910629</v>
      </c>
      <c r="FJ98" s="62">
        <f ca="1">AVERAGE(OFFSET($FI$3,0,0,'Données projet'!$E$16+1,1))-AVERAGE(OFFSET($H$3,0,0,'Données projet'!$E$16+1,1))</f>
        <v>283.95543623515323</v>
      </c>
      <c r="FK98" s="62">
        <f t="shared" si="102"/>
        <v>196.96883829830929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5.6843418860808015E-14</v>
      </c>
      <c r="GA98" s="18">
        <f>FZ98*VLOOKUP('Données projet'!$B$17,Paramètres!$A$1:$I$89,3,0)*VLOOKUP('Données projet'!$B$17,Paramètres!$A$1:$I$89,5,0)</f>
        <v>3.3992364478763198E-14</v>
      </c>
      <c r="GB98" s="14">
        <f t="shared" si="103"/>
        <v>5.790027782444094E-13</v>
      </c>
      <c r="GC98" s="22">
        <f t="shared" si="79"/>
        <v>1.0676332069095257E-12</v>
      </c>
      <c r="GD98" s="62">
        <f t="shared" si="80"/>
        <v>275.94744591876702</v>
      </c>
      <c r="GE98" s="62">
        <f ca="1">AVERAGE(OFFSET($GD$3,0,0,'Données projet'!$E$17+1,1))-AVERAGE(OFFSET($H$3,0,0,'Données projet'!$E$17+1,1))</f>
        <v>223.57443551076992</v>
      </c>
      <c r="GF98" s="62">
        <f t="shared" si="104"/>
        <v>382.12751862619427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7.3459139124305466</v>
      </c>
      <c r="GM98" s="23">
        <f>EXP(-LN(2)/25)*GM97+(1-EXP(-LN(2)/25))/(LN(2)/25)*Calculateur!GH98*Calculateur!GJ98*VLOOKUP('Données projet'!$B$17,Paramètres!$A$1:$I$89,3,0)*0.475*44/12</f>
        <v>2.2893647365408376</v>
      </c>
      <c r="GN98" s="23">
        <f>EXP(-LN(2)/2)*GN97+(1-EXP(-LN(2)/2))/(LN(2)/2)*GH98*GK98*VLOOKUP('Données projet'!$B$17,Paramètres!$A$1:$I$89,3,0)*0.475*44/12</f>
        <v>1.6690147867504506E-9</v>
      </c>
      <c r="GO98" s="23">
        <f t="shared" si="81"/>
        <v>9.6352786506403998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6.3957954686202676</v>
      </c>
      <c r="GU98" s="13">
        <f>IF('Données projet'!$A$270&gt;35,GU97+GT98-HC97,IF(A98&lt;'Données projet'!$A$270,$GR$205^A98,IF(A98='Données projet'!$A$270,'Données projet'!$B$270,GU97+GT98-HC97)))</f>
        <v>366.22735738148987</v>
      </c>
      <c r="GV98" s="18">
        <f>GU98*VLOOKUP('Données projet'!$B$18,Paramètres!$A$1:$I$89,3,0)*VLOOKUP('Données projet'!$B$18,Paramètres!$A$1:$I$89,5,0)</f>
        <v>399.92027426058695</v>
      </c>
      <c r="GW98" s="14">
        <f t="shared" si="105"/>
        <v>91.760501863584565</v>
      </c>
      <c r="GX98" s="22">
        <f t="shared" si="82"/>
        <v>856.34401841626538</v>
      </c>
      <c r="GY98" s="62">
        <f t="shared" si="83"/>
        <v>1132.2914643350314</v>
      </c>
      <c r="GZ98" s="62">
        <f ca="1">AVERAGE(OFFSET($GY$3,0,0,'Données projet'!$E$18+1,1))-AVERAGE(OFFSET($H$3,0,0,'Données projet'!$E$18+1,1))</f>
        <v>754.33260592777049</v>
      </c>
      <c r="HA98" s="62">
        <f t="shared" si="106"/>
        <v>250.97643915279005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9">
        <f t="shared" si="56"/>
        <v>183.33333333333334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</v>
      </c>
      <c r="O99" s="14">
        <f>N99*VLOOKUP('Données projet'!$B$9,Paramètres!$A$1:$I$89,3,0)*VLOOKUP('Données projet'!$B$9,Paramètres!$A$1:$I$89,5,0)</f>
        <v>305.27951999999999</v>
      </c>
      <c r="P99" s="14">
        <f t="shared" si="87"/>
        <v>72.282127407576809</v>
      </c>
      <c r="Q99" s="22">
        <f t="shared" ref="Q99:Q130" si="107">(O99+P99)*0.475*44/12</f>
        <v>657.5865359015296</v>
      </c>
      <c r="R99" s="62">
        <f t="shared" si="55"/>
        <v>933.83558809791703</v>
      </c>
      <c r="S99" s="62">
        <f ca="1">AVERAGE(OFFSET($R$3,0,0,'Données projet'!$E$9+1,1))-AVERAGE(OFFSET($H$3,0,0,'Données projet'!$E$9+1,1))</f>
        <v>550.39292625253665</v>
      </c>
      <c r="T99" s="62">
        <f t="shared" si="88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5.9</v>
      </c>
      <c r="AI99" s="14">
        <f>IF('Données projet'!$A$62&gt;35,AI98+AH99-AQ98,IF(A99&lt;'Données projet'!$A$62,$AF$205^A99,IF(A99='Données projet'!$A$62,'Données projet'!$B$62,AI98+AH99-AQ98)))</f>
        <v>337.4</v>
      </c>
      <c r="AJ99" s="14">
        <f>AI99*VLOOKUP('Données projet'!$B$10,Paramètres!$A$1:$I$89,3,0)*VLOOKUP('Données projet'!$B$10,Paramètres!$A$1:$I$89,5,0)</f>
        <v>342.12360000000001</v>
      </c>
      <c r="AK99" s="14">
        <f t="shared" si="89"/>
        <v>79.938536506649669</v>
      </c>
      <c r="AL99" s="22">
        <f t="shared" si="58"/>
        <v>735.09155441574819</v>
      </c>
      <c r="AM99" s="62">
        <f t="shared" si="59"/>
        <v>1011.3406066121356</v>
      </c>
      <c r="AN99" s="62">
        <f ca="1">AVERAGE(OFFSET($AM$3,0,0,'Données projet'!$E$10+1,1))-AVERAGE(OFFSET($H$3,0,0,'Données projet'!$E$10+1,1))</f>
        <v>606.55142836375308</v>
      </c>
      <c r="AO99" s="62">
        <f t="shared" si="90"/>
        <v>325.72635759450861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4.1025641025641049</v>
      </c>
      <c r="BD99" s="13">
        <f>IF('Données projet'!$A$88&gt;35,BD98+BC99-BL98,IF(A99&lt;'Données projet'!$A$88,$BA$205^A99,IF(A99='Données projet'!$A$88,'Données projet'!$B$88,BD98+BC99-BL98)))</f>
        <v>372.05128205128216</v>
      </c>
      <c r="BE99" s="14">
        <f>BD99*VLOOKUP('Données projet'!$B$11,Paramètres!$A$1:$I$89,3,0)*VLOOKUP('Données projet'!$B$11,Paramètres!$A$1:$I$89,5,0)</f>
        <v>388.86800000000017</v>
      </c>
      <c r="BF99" s="14">
        <f t="shared" si="91"/>
        <v>89.51612921342587</v>
      </c>
      <c r="BG99" s="22">
        <f t="shared" si="61"/>
        <v>833.18569171338368</v>
      </c>
      <c r="BH99" s="62">
        <f t="shared" si="62"/>
        <v>1109.434743909771</v>
      </c>
      <c r="BI99" s="62">
        <f ca="1">AVERAGE(OFFSET($BH$3,0,0,'Données projet'!$E$11+1,1))-AVERAGE(OFFSET($H$3,0,0,'Données projet'!$E$11+1,1))</f>
        <v>635.13577238794812</v>
      </c>
      <c r="BJ99" s="62">
        <f t="shared" si="92"/>
        <v>374.35810525172019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-6.8212102632969618E-13</v>
      </c>
      <c r="BZ99" s="14">
        <f>BY99*VLOOKUP('Données projet'!$B$12,Paramètres!$A$1:$I$89,3,0)*VLOOKUP('Données projet'!$B$12,Paramètres!$A$1:$I$89,5,0)</f>
        <v>-3.0149749363772573E-13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580.02817743695846</v>
      </c>
      <c r="CE99" s="62">
        <f t="shared" si="94"/>
        <v>551.23515633208865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8.7211538461538485</v>
      </c>
      <c r="CT99" s="13">
        <f>IF('Données projet'!$A$140&gt;35,CT98+CS99-DB98,IF(A99&lt;'Données projet'!$A$140,$CQ$205^A99,IF(A99='Données projet'!$A$140,'Données projet'!$B$140,CT98+CS99-DB98)))</f>
        <v>389.55576923076933</v>
      </c>
      <c r="CU99" s="18">
        <f>CT99*VLOOKUP('Données projet'!$B$13,Paramètres!$A$1:$I$89,3,0)*VLOOKUP('Données projet'!$B$13,Paramètres!$A$1:$I$89,5,0)</f>
        <v>182.31210000000004</v>
      </c>
      <c r="CV99" s="14">
        <f t="shared" si="95"/>
        <v>45.836203090068075</v>
      </c>
      <c r="CW99" s="22">
        <f t="shared" si="67"/>
        <v>397.3582945485353</v>
      </c>
      <c r="CX99" s="62">
        <f t="shared" si="68"/>
        <v>673.60734674492278</v>
      </c>
      <c r="CY99" s="62">
        <f ca="1">AVERAGE(OFFSET($CX$3,0,0,'Données projet'!$E$13+1,1))-AVERAGE(OFFSET($H$3,0,0,'Données projet'!$E$13+1,1))</f>
        <v>321.05795935196863</v>
      </c>
      <c r="CZ99" s="62">
        <f t="shared" si="96"/>
        <v>209.59551322748908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5.9</v>
      </c>
      <c r="DO99" s="13">
        <f>IF('Données projet'!$A$166&gt;35,DO98+DN99-DW98,IF(A99&lt;'Données projet'!$A$166,$DL$205^A99,IF(A99='Données projet'!$A$166,'Données projet'!$B$166,DO98+DN99-DW98)))</f>
        <v>337.4</v>
      </c>
      <c r="DP99" s="18">
        <f>DO99*VLOOKUP('Données projet'!$B$14,Paramètres!$A$1:$I$89,3,0)*VLOOKUP('Données projet'!$B$14,Paramètres!$A$1:$I$89,5,0)</f>
        <v>363.17735999999996</v>
      </c>
      <c r="DQ99" s="14">
        <f t="shared" si="97"/>
        <v>84.270002672729191</v>
      </c>
      <c r="DR99" s="22">
        <f t="shared" si="70"/>
        <v>779.30415665500323</v>
      </c>
      <c r="DS99" s="62">
        <f t="shared" si="71"/>
        <v>1055.5532088513905</v>
      </c>
      <c r="DT99" s="62">
        <f ca="1">AVERAGE(OFFSET($DS$3,0,0,'Données projet'!$E$14+1,1))-AVERAGE(OFFSET($H$3,0,0,'Données projet'!$E$14+1,1))</f>
        <v>638.58602907610805</v>
      </c>
      <c r="DU99" s="62">
        <f t="shared" si="98"/>
        <v>341.9250949809848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5.6843418860808015E-14</v>
      </c>
      <c r="EK99" s="18">
        <f>EJ99*VLOOKUP('Données projet'!$B$15,Paramètres!$A$1:$I$89,3,0)*VLOOKUP('Données projet'!$B$15,Paramètres!$A$1:$I$89,5,0)</f>
        <v>3.3992364478763198E-14</v>
      </c>
      <c r="EL99" s="14">
        <f t="shared" si="99"/>
        <v>5.790027782444094E-13</v>
      </c>
      <c r="EM99" s="22">
        <f t="shared" si="73"/>
        <v>1.0676332069095257E-12</v>
      </c>
      <c r="EN99" s="62">
        <f t="shared" si="74"/>
        <v>276.2490521963885</v>
      </c>
      <c r="EO99" s="62">
        <f ca="1">AVERAGE(OFFSET($EN$3,0,0,'Données projet'!$E$15+1,1))-AVERAGE(OFFSET($H$3,0,0,'Données projet'!$E$15+1,1))</f>
        <v>223.57443551076992</v>
      </c>
      <c r="EP99" s="62">
        <f t="shared" si="100"/>
        <v>382.12751862619427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7.2018650211728508</v>
      </c>
      <c r="EW99" s="23">
        <f>EXP(-LN(2)/25)*EW98+(1-EXP(-LN(2)/25))/(LN(2)/25)*Calculateur!ER99*Calculateur!ET99*VLOOKUP('Données projet'!$B$15,Paramètres!$A$1:$I$89,3,0)*0.475*44/12</f>
        <v>2.2267619374276695</v>
      </c>
      <c r="EX99" s="23">
        <f>EXP(-LN(2)/2)*EX98+(1-EXP(-LN(2)/2))/(LN(2)/2)*ER99*EU99*VLOOKUP('Données projet'!$B$15,Paramètres!$A$1:$I$89,3,0)*0.475*44/12</f>
        <v>1.1801716736118631E-9</v>
      </c>
      <c r="EY99" s="24">
        <f t="shared" si="75"/>
        <v>9.4286269597806935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1.4583333333333344</v>
      </c>
      <c r="FE99" s="13">
        <f>IF('Données projet'!$A$218&gt;35,FE98+FD99-FM98,IF(A99&lt;'Données projet'!$A$218,$FB$205^A99,IF(A99='Données projet'!$A$218,'Données projet'!$B$218,FE98+FD99-FM98)))</f>
        <v>105.9916666666666</v>
      </c>
      <c r="FF99" s="18">
        <f>FE99*VLOOKUP('Données projet'!$B$16,Paramètres!$A$1:$I$89,3,0)*VLOOKUP('Données projet'!$B$16,Paramètres!$A$1:$I$89,5,0)</f>
        <v>122.10239999999992</v>
      </c>
      <c r="FG99" s="14">
        <f t="shared" si="101"/>
        <v>32.164852806220239</v>
      </c>
      <c r="FH99" s="22">
        <f t="shared" si="76"/>
        <v>268.68213197083338</v>
      </c>
      <c r="FI99" s="62">
        <f t="shared" si="77"/>
        <v>544.93118416722086</v>
      </c>
      <c r="FJ99" s="62">
        <f ca="1">AVERAGE(OFFSET($FI$3,0,0,'Données projet'!$E$16+1,1))-AVERAGE(OFFSET($H$3,0,0,'Données projet'!$E$16+1,1))</f>
        <v>283.95543623515323</v>
      </c>
      <c r="FK99" s="62">
        <f t="shared" si="102"/>
        <v>196.96883829830929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5.6843418860808015E-14</v>
      </c>
      <c r="GA99" s="18">
        <f>FZ99*VLOOKUP('Données projet'!$B$17,Paramètres!$A$1:$I$89,3,0)*VLOOKUP('Données projet'!$B$17,Paramètres!$A$1:$I$89,5,0)</f>
        <v>3.3992364478763198E-14</v>
      </c>
      <c r="GB99" s="14">
        <f t="shared" si="103"/>
        <v>5.790027782444094E-13</v>
      </c>
      <c r="GC99" s="22">
        <f t="shared" si="79"/>
        <v>1.0676332069095257E-12</v>
      </c>
      <c r="GD99" s="62">
        <f t="shared" si="80"/>
        <v>276.2490521963885</v>
      </c>
      <c r="GE99" s="62">
        <f ca="1">AVERAGE(OFFSET($GD$3,0,0,'Données projet'!$E$17+1,1))-AVERAGE(OFFSET($H$3,0,0,'Données projet'!$E$17+1,1))</f>
        <v>223.57443551076992</v>
      </c>
      <c r="GF99" s="62">
        <f t="shared" si="104"/>
        <v>382.12751862619427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7.2018650211728508</v>
      </c>
      <c r="GM99" s="23">
        <f>EXP(-LN(2)/25)*GM98+(1-EXP(-LN(2)/25))/(LN(2)/25)*Calculateur!GH99*Calculateur!GJ99*VLOOKUP('Données projet'!$B$17,Paramètres!$A$1:$I$89,3,0)*0.475*44/12</f>
        <v>2.2267619374276695</v>
      </c>
      <c r="GN99" s="23">
        <f>EXP(-LN(2)/2)*GN98+(1-EXP(-LN(2)/2))/(LN(2)/2)*GH99*GK99*VLOOKUP('Données projet'!$B$17,Paramètres!$A$1:$I$89,3,0)*0.475*44/12</f>
        <v>1.1801716736118631E-9</v>
      </c>
      <c r="GO99" s="23">
        <f t="shared" si="81"/>
        <v>9.4286269597806935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6.3957954686202676</v>
      </c>
      <c r="GU99" s="13">
        <f>IF('Données projet'!$A$270&gt;35,GU98+GT99-HC98,IF(A99&lt;'Données projet'!$A$270,$GR$205^A99,IF(A99='Données projet'!$A$270,'Données projet'!$B$270,GU98+GT99-HC98)))</f>
        <v>372.62315285011016</v>
      </c>
      <c r="GV99" s="18">
        <f>GU99*VLOOKUP('Données projet'!$B$18,Paramètres!$A$1:$I$89,3,0)*VLOOKUP('Données projet'!$B$18,Paramètres!$A$1:$I$89,5,0)</f>
        <v>406.90448291232025</v>
      </c>
      <c r="GW99" s="14">
        <f t="shared" si="105"/>
        <v>93.175045902986909</v>
      </c>
      <c r="GX99" s="22">
        <f t="shared" si="82"/>
        <v>870.97184601999334</v>
      </c>
      <c r="GY99" s="62">
        <f t="shared" si="83"/>
        <v>1147.2208982163806</v>
      </c>
      <c r="GZ99" s="62">
        <f ca="1">AVERAGE(OFFSET($GY$3,0,0,'Données projet'!$E$18+1,1))-AVERAGE(OFFSET($H$3,0,0,'Données projet'!$E$18+1,1))</f>
        <v>754.33260592777049</v>
      </c>
      <c r="HA99" s="62">
        <f t="shared" si="106"/>
        <v>250.97643915279005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9">
        <f t="shared" si="56"/>
        <v>183.33333333333334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343.29999999999995</v>
      </c>
      <c r="O100" s="14">
        <f>N100*VLOOKUP('Données projet'!$B$9,Paramètres!$A$1:$I$89,3,0)*VLOOKUP('Données projet'!$B$9,Paramètres!$A$1:$I$89,5,0)</f>
        <v>310.61783999999994</v>
      </c>
      <c r="P100" s="14">
        <f t="shared" si="87"/>
        <v>73.397844798859666</v>
      </c>
      <c r="Q100" s="22">
        <f t="shared" si="107"/>
        <v>668.82731769134716</v>
      </c>
      <c r="R100" s="62">
        <f t="shared" si="55"/>
        <v>945.37274397072997</v>
      </c>
      <c r="S100" s="62">
        <f ca="1">AVERAGE(OFFSET($R$3,0,0,'Données projet'!$E$9+1,1))-AVERAGE(OFFSET($H$3,0,0,'Données projet'!$E$9+1,1))</f>
        <v>550.39292625253665</v>
      </c>
      <c r="T100" s="62">
        <f t="shared" si="88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5.9</v>
      </c>
      <c r="AI100" s="14">
        <f>IF('Données projet'!$A$62&gt;35,AI99+AH100-AQ99,IF(A100&lt;'Données projet'!$A$62,$AF$205^A100,IF(A100='Données projet'!$A$62,'Données projet'!$B$62,AI99+AH100-AQ99)))</f>
        <v>343.29999999999995</v>
      </c>
      <c r="AJ100" s="14">
        <f>AI100*VLOOKUP('Données projet'!$B$10,Paramètres!$A$1:$I$89,3,0)*VLOOKUP('Données projet'!$B$10,Paramètres!$A$1:$I$89,5,0)</f>
        <v>348.1062</v>
      </c>
      <c r="AK100" s="14">
        <f t="shared" si="89"/>
        <v>81.172435101128713</v>
      </c>
      <c r="AL100" s="22">
        <f t="shared" si="58"/>
        <v>747.66028946779909</v>
      </c>
      <c r="AM100" s="62">
        <f t="shared" si="59"/>
        <v>1024.2057157471818</v>
      </c>
      <c r="AN100" s="62">
        <f ca="1">AVERAGE(OFFSET($AM$3,0,0,'Données projet'!$E$10+1,1))-AVERAGE(OFFSET($H$3,0,0,'Données projet'!$E$10+1,1))</f>
        <v>606.55142836375308</v>
      </c>
      <c r="AO100" s="62">
        <f t="shared" si="90"/>
        <v>325.72635759450861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4.1025641025641049</v>
      </c>
      <c r="BD100" s="13">
        <f>IF('Données projet'!$A$88&gt;35,BD99+BC100-BL99,IF(A100&lt;'Données projet'!$A$88,$BA$205^A100,IF(A100='Données projet'!$A$88,'Données projet'!$B$88,BD99+BC100-BL99)))</f>
        <v>376.15384615384625</v>
      </c>
      <c r="BE100" s="14">
        <f>BD100*VLOOKUP('Données projet'!$B$11,Paramètres!$A$1:$I$89,3,0)*VLOOKUP('Données projet'!$B$11,Paramètres!$A$1:$I$89,5,0)</f>
        <v>393.15600000000018</v>
      </c>
      <c r="BF100" s="14">
        <f t="shared" si="91"/>
        <v>90.387758683686783</v>
      </c>
      <c r="BG100" s="22">
        <f t="shared" si="61"/>
        <v>842.17204637408815</v>
      </c>
      <c r="BH100" s="62">
        <f t="shared" si="62"/>
        <v>1118.7174726534708</v>
      </c>
      <c r="BI100" s="62">
        <f ca="1">AVERAGE(OFFSET($BH$3,0,0,'Données projet'!$E$11+1,1))-AVERAGE(OFFSET($H$3,0,0,'Données projet'!$E$11+1,1))</f>
        <v>635.13577238794812</v>
      </c>
      <c r="BJ100" s="62">
        <f t="shared" si="92"/>
        <v>374.35810525172019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-6.8212102632969618E-13</v>
      </c>
      <c r="BZ100" s="14">
        <f>BY100*VLOOKUP('Données projet'!$B$12,Paramètres!$A$1:$I$89,3,0)*VLOOKUP('Données projet'!$B$12,Paramètres!$A$1:$I$89,5,0)</f>
        <v>-3.0149749363772573E-13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580.02817743695846</v>
      </c>
      <c r="CE100" s="62">
        <f t="shared" si="94"/>
        <v>551.23515633208865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>
        <f>VLOOKUP(A100,'Données projet'!$A$139:$I$159,2,0)</f>
        <v>398.27692307692308</v>
      </c>
      <c r="CR100" s="13">
        <f>VLOOKUP(A100,'Données projet'!$A$139:$I$159,9,0)</f>
        <v>8.7211538461538485</v>
      </c>
      <c r="CS100" s="13">
        <f t="array" ref="CS100">INDEX(CR:CR,MIN(IF(ISNUMBER(CR100:CR296),ROW(CR100:CR296),"")))</f>
        <v>8.7211538461538485</v>
      </c>
      <c r="CT100" s="13">
        <f>IF('Données projet'!$A$140&gt;35,CT99+CS100-DB99,IF(A100&lt;'Données projet'!$A$140,$CQ$205^A100,IF(A100='Données projet'!$A$140,'Données projet'!$B$140,CT99+CS100-DB99)))</f>
        <v>398.2769230769232</v>
      </c>
      <c r="CU100" s="18">
        <f>CT100*VLOOKUP('Données projet'!$B$13,Paramètres!$A$1:$I$89,3,0)*VLOOKUP('Données projet'!$B$13,Paramètres!$A$1:$I$89,5,0)</f>
        <v>186.39360000000008</v>
      </c>
      <c r="CV100" s="14">
        <f t="shared" si="95"/>
        <v>46.741741929451358</v>
      </c>
      <c r="CW100" s="22">
        <f t="shared" si="67"/>
        <v>406.04405386046125</v>
      </c>
      <c r="CX100" s="62">
        <f t="shared" si="68"/>
        <v>682.589480139844</v>
      </c>
      <c r="CY100" s="62">
        <f ca="1">AVERAGE(OFFSET($CX$3,0,0,'Données projet'!$E$13+1,1))-AVERAGE(OFFSET($H$3,0,0,'Données projet'!$E$13+1,1))</f>
        <v>321.05795935196863</v>
      </c>
      <c r="CZ100" s="62">
        <f t="shared" si="96"/>
        <v>209.59551322748908</v>
      </c>
      <c r="DA100" s="16">
        <f>IF(ISNA(VLOOKUP(A100,'Données projet'!$A$139:$I$159,3,0)),0,VLOOKUP(A100,'Données projet'!$A$139:$I$159,3,0))</f>
        <v>5</v>
      </c>
      <c r="DB100" s="16">
        <f>IF(ISNA(VLOOKUP(A100,'Données projet'!$A$139:$I$159,4,0)),0,VLOOKUP(A100,'Données projet'!$A$139:$I$159,4,0))</f>
        <v>79.669230769230765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5.9</v>
      </c>
      <c r="DO100" s="13">
        <f>IF('Données projet'!$A$166&gt;35,DO99+DN100-DW99,IF(A100&lt;'Données projet'!$A$166,$DL$205^A100,IF(A100='Données projet'!$A$166,'Données projet'!$B$166,DO99+DN100-DW99)))</f>
        <v>343.29999999999995</v>
      </c>
      <c r="DP100" s="18">
        <f>DO100*VLOOKUP('Données projet'!$B$14,Paramètres!$A$1:$I$89,3,0)*VLOOKUP('Données projet'!$B$14,Paramètres!$A$1:$I$89,5,0)</f>
        <v>369.52811999999994</v>
      </c>
      <c r="DQ100" s="14">
        <f t="shared" si="97"/>
        <v>85.570760009536031</v>
      </c>
      <c r="DR100" s="22">
        <f t="shared" si="70"/>
        <v>792.6305493499417</v>
      </c>
      <c r="DS100" s="62">
        <f t="shared" si="71"/>
        <v>1069.1759756293245</v>
      </c>
      <c r="DT100" s="62">
        <f ca="1">AVERAGE(OFFSET($DS$3,0,0,'Données projet'!$E$14+1,1))-AVERAGE(OFFSET($H$3,0,0,'Données projet'!$E$14+1,1))</f>
        <v>638.58602907610805</v>
      </c>
      <c r="DU100" s="62">
        <f t="shared" si="98"/>
        <v>341.9250949809848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5.6843418860808015E-14</v>
      </c>
      <c r="EK100" s="18">
        <f>EJ100*VLOOKUP('Données projet'!$B$15,Paramètres!$A$1:$I$89,3,0)*VLOOKUP('Données projet'!$B$15,Paramètres!$A$1:$I$89,5,0)</f>
        <v>3.3992364478763198E-14</v>
      </c>
      <c r="EL100" s="14">
        <f t="shared" si="99"/>
        <v>5.790027782444094E-13</v>
      </c>
      <c r="EM100" s="22">
        <f t="shared" si="73"/>
        <v>1.0676332069095257E-12</v>
      </c>
      <c r="EN100" s="62">
        <f t="shared" si="74"/>
        <v>276.54542627938389</v>
      </c>
      <c r="EO100" s="62">
        <f ca="1">AVERAGE(OFFSET($EN$3,0,0,'Données projet'!$E$15+1,1))-AVERAGE(OFFSET($H$3,0,0,'Données projet'!$E$15+1,1))</f>
        <v>223.57443551076992</v>
      </c>
      <c r="EP100" s="62">
        <f t="shared" si="100"/>
        <v>382.12751862619427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7.0606408408115708</v>
      </c>
      <c r="EW100" s="23">
        <f>EXP(-LN(2)/25)*EW99+(1-EXP(-LN(2)/25))/(LN(2)/25)*Calculateur!ER100*Calculateur!ET100*VLOOKUP('Données projet'!$B$15,Paramètres!$A$1:$I$89,3,0)*0.475*44/12</f>
        <v>2.1658710151483889</v>
      </c>
      <c r="EX100" s="23">
        <f>EXP(-LN(2)/2)*EX99+(1-EXP(-LN(2)/2))/(LN(2)/2)*ER100*EU100*VLOOKUP('Données projet'!$B$15,Paramètres!$A$1:$I$89,3,0)*0.475*44/12</f>
        <v>8.3450739337522529E-10</v>
      </c>
      <c r="EY100" s="24">
        <f t="shared" si="75"/>
        <v>9.2265118567944668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1.4583333333333344</v>
      </c>
      <c r="FE100" s="13">
        <f>IF('Données projet'!$A$218&gt;35,FE99+FD100-FM99,IF(A100&lt;'Données projet'!$A$218,$FB$205^A100,IF(A100='Données projet'!$A$218,'Données projet'!$B$218,FE99+FD100-FM99)))</f>
        <v>107.44999999999993</v>
      </c>
      <c r="FF100" s="18">
        <f>FE100*VLOOKUP('Données projet'!$B$16,Paramètres!$A$1:$I$89,3,0)*VLOOKUP('Données projet'!$B$16,Paramètres!$A$1:$I$89,5,0)</f>
        <v>123.78239999999991</v>
      </c>
      <c r="FG100" s="14">
        <f t="shared" si="101"/>
        <v>32.555582319658349</v>
      </c>
      <c r="FH100" s="22">
        <f t="shared" si="76"/>
        <v>272.2886525400715</v>
      </c>
      <c r="FI100" s="62">
        <f t="shared" si="77"/>
        <v>548.83407881945436</v>
      </c>
      <c r="FJ100" s="62">
        <f ca="1">AVERAGE(OFFSET($FI$3,0,0,'Données projet'!$E$16+1,1))-AVERAGE(OFFSET($H$3,0,0,'Données projet'!$E$16+1,1))</f>
        <v>283.95543623515323</v>
      </c>
      <c r="FK100" s="62">
        <f t="shared" si="102"/>
        <v>196.96883829830929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5.6843418860808015E-14</v>
      </c>
      <c r="GA100" s="18">
        <f>FZ100*VLOOKUP('Données projet'!$B$17,Paramètres!$A$1:$I$89,3,0)*VLOOKUP('Données projet'!$B$17,Paramètres!$A$1:$I$89,5,0)</f>
        <v>3.3992364478763198E-14</v>
      </c>
      <c r="GB100" s="14">
        <f t="shared" si="103"/>
        <v>5.790027782444094E-13</v>
      </c>
      <c r="GC100" s="22">
        <f t="shared" si="79"/>
        <v>1.0676332069095257E-12</v>
      </c>
      <c r="GD100" s="62">
        <f t="shared" si="80"/>
        <v>276.54542627938389</v>
      </c>
      <c r="GE100" s="62">
        <f ca="1">AVERAGE(OFFSET($GD$3,0,0,'Données projet'!$E$17+1,1))-AVERAGE(OFFSET($H$3,0,0,'Données projet'!$E$17+1,1))</f>
        <v>223.57443551076992</v>
      </c>
      <c r="GF100" s="62">
        <f t="shared" si="104"/>
        <v>382.12751862619427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7.0606408408115708</v>
      </c>
      <c r="GM100" s="23">
        <f>EXP(-LN(2)/25)*GM99+(1-EXP(-LN(2)/25))/(LN(2)/25)*Calculateur!GH100*Calculateur!GJ100*VLOOKUP('Données projet'!$B$17,Paramètres!$A$1:$I$89,3,0)*0.475*44/12</f>
        <v>2.1658710151483889</v>
      </c>
      <c r="GN100" s="23">
        <f>EXP(-LN(2)/2)*GN99+(1-EXP(-LN(2)/2))/(LN(2)/2)*GH100*GK100*VLOOKUP('Données projet'!$B$17,Paramètres!$A$1:$I$89,3,0)*0.475*44/12</f>
        <v>8.3450739337522529E-10</v>
      </c>
      <c r="GO100" s="23">
        <f t="shared" si="81"/>
        <v>9.2265118567944668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6.3957954686202676</v>
      </c>
      <c r="GU100" s="13">
        <f>IF('Données projet'!$A$270&gt;35,GU99+GT100-HC99,IF(A100&lt;'Données projet'!$A$270,$GR$205^A100,IF(A100='Données projet'!$A$270,'Données projet'!$B$270,GU99+GT100-HC99)))</f>
        <v>379.01894831873045</v>
      </c>
      <c r="GV100" s="18">
        <f>GU100*VLOOKUP('Données projet'!$B$18,Paramètres!$A$1:$I$89,3,0)*VLOOKUP('Données projet'!$B$18,Paramètres!$A$1:$I$89,5,0)</f>
        <v>413.88869156405366</v>
      </c>
      <c r="GW100" s="14">
        <f t="shared" si="105"/>
        <v>94.586766473808467</v>
      </c>
      <c r="GX100" s="22">
        <f t="shared" si="82"/>
        <v>885.59475608260982</v>
      </c>
      <c r="GY100" s="62">
        <f t="shared" si="83"/>
        <v>1162.1401823619926</v>
      </c>
      <c r="GZ100" s="62">
        <f ca="1">AVERAGE(OFFSET($GY$3,0,0,'Données projet'!$E$18+1,1))-AVERAGE(OFFSET($H$3,0,0,'Données projet'!$E$18+1,1))</f>
        <v>754.33260592777049</v>
      </c>
      <c r="HA100" s="62">
        <f t="shared" si="106"/>
        <v>250.97643915279005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9">
        <f t="shared" si="56"/>
        <v>183.33333333333334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349.19999999999993</v>
      </c>
      <c r="O101" s="14">
        <f>N101*VLOOKUP('Données projet'!$B$9,Paramètres!$A$1:$I$89,3,0)*VLOOKUP('Données projet'!$B$9,Paramètres!$A$1:$I$89,5,0)</f>
        <v>315.9561599999999</v>
      </c>
      <c r="P101" s="14">
        <f t="shared" si="87"/>
        <v>74.511332350300975</v>
      </c>
      <c r="Q101" s="22">
        <f t="shared" si="107"/>
        <v>680.06421584344059</v>
      </c>
      <c r="R101" s="62">
        <f t="shared" si="55"/>
        <v>956.90087477807197</v>
      </c>
      <c r="S101" s="62">
        <f ca="1">AVERAGE(OFFSET($R$3,0,0,'Données projet'!$E$9+1,1))-AVERAGE(OFFSET($H$3,0,0,'Données projet'!$E$9+1,1))</f>
        <v>550.39292625253665</v>
      </c>
      <c r="T101" s="62">
        <f t="shared" si="88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5.9</v>
      </c>
      <c r="AI101" s="14">
        <f>IF('Données projet'!$A$62&gt;35,AI100+AH101-AQ100,IF(A101&lt;'Données projet'!$A$62,$AF$205^A101,IF(A101='Données projet'!$A$62,'Données projet'!$B$62,AI100+AH101-AQ100)))</f>
        <v>349.19999999999993</v>
      </c>
      <c r="AJ101" s="14">
        <f>AI101*VLOOKUP('Données projet'!$B$10,Paramètres!$A$1:$I$89,3,0)*VLOOKUP('Données projet'!$B$10,Paramètres!$A$1:$I$89,5,0)</f>
        <v>354.08879999999994</v>
      </c>
      <c r="AK101" s="14">
        <f t="shared" si="89"/>
        <v>82.403867662302346</v>
      </c>
      <c r="AL101" s="22">
        <f t="shared" si="58"/>
        <v>760.22472951184307</v>
      </c>
      <c r="AM101" s="62">
        <f t="shared" si="59"/>
        <v>1037.0613884464744</v>
      </c>
      <c r="AN101" s="62">
        <f ca="1">AVERAGE(OFFSET($AM$3,0,0,'Données projet'!$E$10+1,1))-AVERAGE(OFFSET($H$3,0,0,'Données projet'!$E$10+1,1))</f>
        <v>606.55142836375308</v>
      </c>
      <c r="AO101" s="62">
        <f t="shared" si="90"/>
        <v>325.72635759450861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4.1025641025641049</v>
      </c>
      <c r="BD101" s="13">
        <f>IF('Données projet'!$A$88&gt;35,BD100+BC101-BL100,IF(A101&lt;'Données projet'!$A$88,$BA$205^A101,IF(A101='Données projet'!$A$88,'Données projet'!$B$88,BD100+BC101-BL100)))</f>
        <v>380.25641025641033</v>
      </c>
      <c r="BE101" s="14">
        <f>BD101*VLOOKUP('Données projet'!$B$11,Paramètres!$A$1:$I$89,3,0)*VLOOKUP('Données projet'!$B$11,Paramètres!$A$1:$I$89,5,0)</f>
        <v>397.44400000000013</v>
      </c>
      <c r="BF101" s="14">
        <f t="shared" si="91"/>
        <v>91.258282273410373</v>
      </c>
      <c r="BG101" s="22">
        <f t="shared" si="61"/>
        <v>851.15647495952328</v>
      </c>
      <c r="BH101" s="62">
        <f t="shared" si="62"/>
        <v>1127.9931338941547</v>
      </c>
      <c r="BI101" s="62">
        <f ca="1">AVERAGE(OFFSET($BH$3,0,0,'Données projet'!$E$11+1,1))-AVERAGE(OFFSET($H$3,0,0,'Données projet'!$E$11+1,1))</f>
        <v>635.13577238794812</v>
      </c>
      <c r="BJ101" s="62">
        <f t="shared" si="92"/>
        <v>374.35810525172019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-6.8212102632969618E-13</v>
      </c>
      <c r="BZ101" s="14">
        <f>BY101*VLOOKUP('Données projet'!$B$12,Paramètres!$A$1:$I$89,3,0)*VLOOKUP('Données projet'!$B$12,Paramètres!$A$1:$I$89,5,0)</f>
        <v>-3.0149749363772573E-13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580.02817743695846</v>
      </c>
      <c r="CE101" s="62">
        <f t="shared" si="94"/>
        <v>551.23515633208865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7.882692307692305</v>
      </c>
      <c r="CT101" s="13">
        <f>IF('Données projet'!$A$140&gt;35,CT100+CS101-DB100,IF(A101&lt;'Données projet'!$A$140,$CQ$205^A101,IF(A101='Données projet'!$A$140,'Données projet'!$B$140,CT100+CS101-DB100)))</f>
        <v>326.49038461538476</v>
      </c>
      <c r="CU101" s="18">
        <f>CT101*VLOOKUP('Données projet'!$B$13,Paramètres!$A$1:$I$89,3,0)*VLOOKUP('Données projet'!$B$13,Paramètres!$A$1:$I$89,5,0)</f>
        <v>152.79750000000007</v>
      </c>
      <c r="CV101" s="14">
        <f t="shared" si="95"/>
        <v>39.213642223408904</v>
      </c>
      <c r="CW101" s="22">
        <f t="shared" si="67"/>
        <v>334.41940603910399</v>
      </c>
      <c r="CX101" s="62">
        <f t="shared" si="68"/>
        <v>611.25606497373542</v>
      </c>
      <c r="CY101" s="62">
        <f ca="1">AVERAGE(OFFSET($CX$3,0,0,'Données projet'!$E$13+1,1))-AVERAGE(OFFSET($H$3,0,0,'Données projet'!$E$13+1,1))</f>
        <v>321.05795935196863</v>
      </c>
      <c r="CZ101" s="62">
        <f t="shared" si="96"/>
        <v>209.59551322748908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5.9</v>
      </c>
      <c r="DO101" s="13">
        <f>IF('Données projet'!$A$166&gt;35,DO100+DN101-DW100,IF(A101&lt;'Données projet'!$A$166,$DL$205^A101,IF(A101='Données projet'!$A$166,'Données projet'!$B$166,DO100+DN101-DW100)))</f>
        <v>349.19999999999993</v>
      </c>
      <c r="DP101" s="18">
        <f>DO101*VLOOKUP('Données projet'!$B$14,Paramètres!$A$1:$I$89,3,0)*VLOOKUP('Données projet'!$B$14,Paramètres!$A$1:$I$89,5,0)</f>
        <v>375.87887999999987</v>
      </c>
      <c r="DQ101" s="14">
        <f t="shared" si="97"/>
        <v>86.868917691128829</v>
      </c>
      <c r="DR101" s="22">
        <f t="shared" si="70"/>
        <v>805.9524143120492</v>
      </c>
      <c r="DS101" s="62">
        <f t="shared" si="71"/>
        <v>1082.7890732466806</v>
      </c>
      <c r="DT101" s="62">
        <f ca="1">AVERAGE(OFFSET($DS$3,0,0,'Données projet'!$E$14+1,1))-AVERAGE(OFFSET($H$3,0,0,'Données projet'!$E$14+1,1))</f>
        <v>638.58602907610805</v>
      </c>
      <c r="DU101" s="62">
        <f t="shared" si="98"/>
        <v>341.9250949809848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5.6843418860808015E-14</v>
      </c>
      <c r="EK101" s="18">
        <f>EJ101*VLOOKUP('Données projet'!$B$15,Paramètres!$A$1:$I$89,3,0)*VLOOKUP('Données projet'!$B$15,Paramètres!$A$1:$I$89,5,0)</f>
        <v>3.3992364478763198E-14</v>
      </c>
      <c r="EL101" s="14">
        <f t="shared" si="99"/>
        <v>5.790027782444094E-13</v>
      </c>
      <c r="EM101" s="22">
        <f t="shared" si="73"/>
        <v>1.0676332069095257E-12</v>
      </c>
      <c r="EN101" s="62">
        <f t="shared" si="74"/>
        <v>276.83665893463245</v>
      </c>
      <c r="EO101" s="62">
        <f ca="1">AVERAGE(OFFSET($EN$3,0,0,'Données projet'!$E$15+1,1))-AVERAGE(OFFSET($H$3,0,0,'Données projet'!$E$15+1,1))</f>
        <v>223.57443551076992</v>
      </c>
      <c r="EP101" s="62">
        <f t="shared" si="100"/>
        <v>382.12751862619427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6.9221859804889307</v>
      </c>
      <c r="EW101" s="23">
        <f>EXP(-LN(2)/25)*EW100+(1-EXP(-LN(2)/25))/(LN(2)/25)*Calculateur!ER101*Calculateur!ET101*VLOOKUP('Données projet'!$B$15,Paramètres!$A$1:$I$89,3,0)*0.475*44/12</f>
        <v>2.1066451583409496</v>
      </c>
      <c r="EX101" s="23">
        <f>EXP(-LN(2)/2)*EX100+(1-EXP(-LN(2)/2))/(LN(2)/2)*ER101*EU101*VLOOKUP('Données projet'!$B$15,Paramètres!$A$1:$I$89,3,0)*0.475*44/12</f>
        <v>5.9008583680593156E-10</v>
      </c>
      <c r="EY101" s="24">
        <f t="shared" si="75"/>
        <v>9.0288311394199656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1.4583333333333344</v>
      </c>
      <c r="FE101" s="13">
        <f>IF('Données projet'!$A$218&gt;35,FE100+FD101-FM100,IF(A101&lt;'Données projet'!$A$218,$FB$205^A101,IF(A101='Données projet'!$A$218,'Données projet'!$B$218,FE100+FD101-FM100)))</f>
        <v>108.90833333333326</v>
      </c>
      <c r="FF101" s="18">
        <f>FE101*VLOOKUP('Données projet'!$B$16,Paramètres!$A$1:$I$89,3,0)*VLOOKUP('Données projet'!$B$16,Paramètres!$A$1:$I$89,5,0)</f>
        <v>125.4623999999999</v>
      </c>
      <c r="FG101" s="14">
        <f t="shared" si="101"/>
        <v>32.945695024136818</v>
      </c>
      <c r="FH101" s="22">
        <f t="shared" si="76"/>
        <v>275.89409883370479</v>
      </c>
      <c r="FI101" s="62">
        <f t="shared" si="77"/>
        <v>552.73075776833616</v>
      </c>
      <c r="FJ101" s="62">
        <f ca="1">AVERAGE(OFFSET($FI$3,0,0,'Données projet'!$E$16+1,1))-AVERAGE(OFFSET($H$3,0,0,'Données projet'!$E$16+1,1))</f>
        <v>283.95543623515323</v>
      </c>
      <c r="FK101" s="62">
        <f t="shared" si="102"/>
        <v>196.96883829830929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5.6843418860808015E-14</v>
      </c>
      <c r="GA101" s="18">
        <f>FZ101*VLOOKUP('Données projet'!$B$17,Paramètres!$A$1:$I$89,3,0)*VLOOKUP('Données projet'!$B$17,Paramètres!$A$1:$I$89,5,0)</f>
        <v>3.3992364478763198E-14</v>
      </c>
      <c r="GB101" s="14">
        <f t="shared" si="103"/>
        <v>5.790027782444094E-13</v>
      </c>
      <c r="GC101" s="22">
        <f t="shared" si="79"/>
        <v>1.0676332069095257E-12</v>
      </c>
      <c r="GD101" s="62">
        <f t="shared" si="80"/>
        <v>276.83665893463245</v>
      </c>
      <c r="GE101" s="62">
        <f ca="1">AVERAGE(OFFSET($GD$3,0,0,'Données projet'!$E$17+1,1))-AVERAGE(OFFSET($H$3,0,0,'Données projet'!$E$17+1,1))</f>
        <v>223.57443551076992</v>
      </c>
      <c r="GF101" s="62">
        <f t="shared" si="104"/>
        <v>382.12751862619427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6.9221859804889307</v>
      </c>
      <c r="GM101" s="23">
        <f>EXP(-LN(2)/25)*GM100+(1-EXP(-LN(2)/25))/(LN(2)/25)*Calculateur!GH101*Calculateur!GJ101*VLOOKUP('Données projet'!$B$17,Paramètres!$A$1:$I$89,3,0)*0.475*44/12</f>
        <v>2.1066451583409496</v>
      </c>
      <c r="GN101" s="23">
        <f>EXP(-LN(2)/2)*GN100+(1-EXP(-LN(2)/2))/(LN(2)/2)*GH101*GK101*VLOOKUP('Données projet'!$B$17,Paramètres!$A$1:$I$89,3,0)*0.475*44/12</f>
        <v>5.9008583680593156E-10</v>
      </c>
      <c r="GO101" s="23">
        <f t="shared" si="81"/>
        <v>9.0288311394199656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6.3957954686202676</v>
      </c>
      <c r="GU101" s="13">
        <f>IF('Données projet'!$A$270&gt;35,GU100+GT101-HC100,IF(A101&lt;'Données projet'!$A$270,$GR$205^A101,IF(A101='Données projet'!$A$270,'Données projet'!$B$270,GU100+GT101-HC100)))</f>
        <v>385.41474378735074</v>
      </c>
      <c r="GV101" s="18">
        <f>GU101*VLOOKUP('Données projet'!$B$18,Paramètres!$A$1:$I$89,3,0)*VLOOKUP('Données projet'!$B$18,Paramètres!$A$1:$I$89,5,0)</f>
        <v>420.87290021578701</v>
      </c>
      <c r="GW101" s="14">
        <f t="shared" si="105"/>
        <v>95.995716719716015</v>
      </c>
      <c r="GX101" s="22">
        <f t="shared" si="82"/>
        <v>900.21284116266781</v>
      </c>
      <c r="GY101" s="62">
        <f t="shared" si="83"/>
        <v>1177.0495000972992</v>
      </c>
      <c r="GZ101" s="62">
        <f ca="1">AVERAGE(OFFSET($GY$3,0,0,'Données projet'!$E$18+1,1))-AVERAGE(OFFSET($H$3,0,0,'Données projet'!$E$18+1,1))</f>
        <v>754.33260592777049</v>
      </c>
      <c r="HA101" s="62">
        <f t="shared" si="106"/>
        <v>250.97643915279005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9">
        <f t="shared" si="56"/>
        <v>183.33333333333334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355.09999999999991</v>
      </c>
      <c r="O102" s="14">
        <f>N102*VLOOKUP('Données projet'!$B$9,Paramètres!$A$1:$I$89,3,0)*VLOOKUP('Données projet'!$B$9,Paramètres!$A$1:$I$89,5,0)</f>
        <v>321.29447999999991</v>
      </c>
      <c r="P102" s="14">
        <f t="shared" si="87"/>
        <v>75.622632084792471</v>
      </c>
      <c r="Q102" s="22">
        <f t="shared" si="107"/>
        <v>691.29730354767992</v>
      </c>
      <c r="R102" s="62">
        <f t="shared" si="55"/>
        <v>968.42014290208999</v>
      </c>
      <c r="S102" s="62">
        <f ca="1">AVERAGE(OFFSET($R$3,0,0,'Données projet'!$E$9+1,1))-AVERAGE(OFFSET($H$3,0,0,'Données projet'!$E$9+1,1))</f>
        <v>550.39292625253665</v>
      </c>
      <c r="T102" s="62">
        <f t="shared" si="88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5.9</v>
      </c>
      <c r="AI102" s="14">
        <f>IF('Données projet'!$A$62&gt;35,AI101+AH102-AQ101,IF(A102&lt;'Données projet'!$A$62,$AF$205^A102,IF(A102='Données projet'!$A$62,'Données projet'!$B$62,AI101+AH102-AQ101)))</f>
        <v>355.09999999999991</v>
      </c>
      <c r="AJ102" s="14">
        <f>AI102*VLOOKUP('Données projet'!$B$10,Paramètres!$A$1:$I$89,3,0)*VLOOKUP('Données projet'!$B$10,Paramètres!$A$1:$I$89,5,0)</f>
        <v>360.07139999999993</v>
      </c>
      <c r="AK102" s="14">
        <f t="shared" si="89"/>
        <v>83.632880664293282</v>
      </c>
      <c r="AL102" s="22">
        <f t="shared" si="58"/>
        <v>772.78495549031061</v>
      </c>
      <c r="AM102" s="62">
        <f t="shared" si="59"/>
        <v>1049.9077948447207</v>
      </c>
      <c r="AN102" s="62">
        <f ca="1">AVERAGE(OFFSET($AM$3,0,0,'Données projet'!$E$10+1,1))-AVERAGE(OFFSET($H$3,0,0,'Données projet'!$E$10+1,1))</f>
        <v>606.55142836375308</v>
      </c>
      <c r="AO102" s="62">
        <f t="shared" si="90"/>
        <v>325.72635759450861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4.1025641025641049</v>
      </c>
      <c r="BD102" s="13">
        <f>IF('Données projet'!$A$88&gt;35,BD101+BC102-BL101,IF(A102&lt;'Données projet'!$A$88,$BA$205^A102,IF(A102='Données projet'!$A$88,'Données projet'!$B$88,BD101+BC102-BL101)))</f>
        <v>384.35897435897442</v>
      </c>
      <c r="BE102" s="14">
        <f>BD102*VLOOKUP('Données projet'!$B$11,Paramètres!$A$1:$I$89,3,0)*VLOOKUP('Données projet'!$B$11,Paramètres!$A$1:$I$89,5,0)</f>
        <v>401.73200000000008</v>
      </c>
      <c r="BF102" s="14">
        <f t="shared" si="91"/>
        <v>92.127713294836511</v>
      </c>
      <c r="BG102" s="22">
        <f t="shared" si="61"/>
        <v>860.13900065517373</v>
      </c>
      <c r="BH102" s="62">
        <f t="shared" si="62"/>
        <v>1137.2618400095839</v>
      </c>
      <c r="BI102" s="62">
        <f ca="1">AVERAGE(OFFSET($BH$3,0,0,'Données projet'!$E$11+1,1))-AVERAGE(OFFSET($H$3,0,0,'Données projet'!$E$11+1,1))</f>
        <v>635.13577238794812</v>
      </c>
      <c r="BJ102" s="62">
        <f t="shared" si="92"/>
        <v>374.35810525172019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-6.8212102632969618E-13</v>
      </c>
      <c r="BZ102" s="14">
        <f>BY102*VLOOKUP('Données projet'!$B$12,Paramètres!$A$1:$I$89,3,0)*VLOOKUP('Données projet'!$B$12,Paramètres!$A$1:$I$89,5,0)</f>
        <v>-3.0149749363772573E-13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580.02817743695846</v>
      </c>
      <c r="CE102" s="62">
        <f t="shared" si="94"/>
        <v>551.23515633208865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7.882692307692305</v>
      </c>
      <c r="CT102" s="13">
        <f>IF('Données projet'!$A$140&gt;35,CT101+CS102-DB101,IF(A102&lt;'Données projet'!$A$140,$CQ$205^A102,IF(A102='Données projet'!$A$140,'Données projet'!$B$140,CT101+CS102-DB101)))</f>
        <v>334.37307692307706</v>
      </c>
      <c r="CU102" s="18">
        <f>CT102*VLOOKUP('Données projet'!$B$13,Paramètres!$A$1:$I$89,3,0)*VLOOKUP('Données projet'!$B$13,Paramètres!$A$1:$I$89,5,0)</f>
        <v>156.48660000000007</v>
      </c>
      <c r="CV102" s="14">
        <f t="shared" si="95"/>
        <v>40.04903709660919</v>
      </c>
      <c r="CW102" s="22">
        <f t="shared" si="67"/>
        <v>342.29956794326108</v>
      </c>
      <c r="CX102" s="62">
        <f t="shared" si="68"/>
        <v>619.42240729767127</v>
      </c>
      <c r="CY102" s="62">
        <f ca="1">AVERAGE(OFFSET($CX$3,0,0,'Données projet'!$E$13+1,1))-AVERAGE(OFFSET($H$3,0,0,'Données projet'!$E$13+1,1))</f>
        <v>321.05795935196863</v>
      </c>
      <c r="CZ102" s="62">
        <f t="shared" si="96"/>
        <v>209.59551322748908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5.9</v>
      </c>
      <c r="DO102" s="13">
        <f>IF('Données projet'!$A$166&gt;35,DO101+DN102-DW101,IF(A102&lt;'Données projet'!$A$166,$DL$205^A102,IF(A102='Données projet'!$A$166,'Données projet'!$B$166,DO101+DN102-DW101)))</f>
        <v>355.09999999999991</v>
      </c>
      <c r="DP102" s="18">
        <f>DO102*VLOOKUP('Données projet'!$B$14,Paramètres!$A$1:$I$89,3,0)*VLOOKUP('Données projet'!$B$14,Paramètres!$A$1:$I$89,5,0)</f>
        <v>382.2296399999999</v>
      </c>
      <c r="DQ102" s="14">
        <f t="shared" si="97"/>
        <v>88.164524709828427</v>
      </c>
      <c r="DR102" s="22">
        <f t="shared" si="70"/>
        <v>819.26983686961751</v>
      </c>
      <c r="DS102" s="62">
        <f t="shared" si="71"/>
        <v>1096.3926762240276</v>
      </c>
      <c r="DT102" s="62">
        <f ca="1">AVERAGE(OFFSET($DS$3,0,0,'Données projet'!$E$14+1,1))-AVERAGE(OFFSET($H$3,0,0,'Données projet'!$E$14+1,1))</f>
        <v>638.58602907610805</v>
      </c>
      <c r="DU102" s="62">
        <f t="shared" si="98"/>
        <v>341.9250949809848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5.6843418860808015E-14</v>
      </c>
      <c r="EK102" s="18">
        <f>EJ102*VLOOKUP('Données projet'!$B$15,Paramètres!$A$1:$I$89,3,0)*VLOOKUP('Données projet'!$B$15,Paramètres!$A$1:$I$89,5,0)</f>
        <v>3.3992364478763198E-14</v>
      </c>
      <c r="EL102" s="14">
        <f t="shared" si="99"/>
        <v>5.790027782444094E-13</v>
      </c>
      <c r="EM102" s="22">
        <f t="shared" si="73"/>
        <v>1.0676332069095257E-12</v>
      </c>
      <c r="EN102" s="62">
        <f t="shared" si="74"/>
        <v>277.12283935441121</v>
      </c>
      <c r="EO102" s="62">
        <f ca="1">AVERAGE(OFFSET($EN$3,0,0,'Données projet'!$E$15+1,1))-AVERAGE(OFFSET($H$3,0,0,'Données projet'!$E$15+1,1))</f>
        <v>223.57443551076992</v>
      </c>
      <c r="EP102" s="62">
        <f t="shared" si="100"/>
        <v>382.12751862619427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6.7864461355280916</v>
      </c>
      <c r="EW102" s="23">
        <f>EXP(-LN(2)/25)*EW101+(1-EXP(-LN(2)/25))/(LN(2)/25)*Calculateur!ER102*Calculateur!ET102*VLOOKUP('Données projet'!$B$15,Paramètres!$A$1:$I$89,3,0)*0.475*44/12</f>
        <v>2.0490388357024623</v>
      </c>
      <c r="EX102" s="23">
        <f>EXP(-LN(2)/2)*EX101+(1-EXP(-LN(2)/2))/(LN(2)/2)*ER102*EU102*VLOOKUP('Données projet'!$B$15,Paramètres!$A$1:$I$89,3,0)*0.475*44/12</f>
        <v>4.1725369668761265E-10</v>
      </c>
      <c r="EY102" s="24">
        <f t="shared" si="75"/>
        <v>8.8354849716478068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1.4583333333333344</v>
      </c>
      <c r="FE102" s="13">
        <f>IF('Données projet'!$A$218&gt;35,FE101+FD102-FM101,IF(A102&lt;'Données projet'!$A$218,$FB$205^A102,IF(A102='Données projet'!$A$218,'Données projet'!$B$218,FE101+FD102-FM101)))</f>
        <v>110.36666666666659</v>
      </c>
      <c r="FF102" s="18">
        <f>FE102*VLOOKUP('Données projet'!$B$16,Paramètres!$A$1:$I$89,3,0)*VLOOKUP('Données projet'!$B$16,Paramètres!$A$1:$I$89,5,0)</f>
        <v>127.14239999999991</v>
      </c>
      <c r="FG102" s="14">
        <f t="shared" si="101"/>
        <v>33.335200133776368</v>
      </c>
      <c r="FH102" s="22">
        <f t="shared" si="76"/>
        <v>279.49848689966035</v>
      </c>
      <c r="FI102" s="62">
        <f t="shared" si="77"/>
        <v>556.62132625407048</v>
      </c>
      <c r="FJ102" s="62">
        <f ca="1">AVERAGE(OFFSET($FI$3,0,0,'Données projet'!$E$16+1,1))-AVERAGE(OFFSET($H$3,0,0,'Données projet'!$E$16+1,1))</f>
        <v>283.95543623515323</v>
      </c>
      <c r="FK102" s="62">
        <f t="shared" si="102"/>
        <v>196.96883829830929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5.6843418860808015E-14</v>
      </c>
      <c r="GA102" s="18">
        <f>FZ102*VLOOKUP('Données projet'!$B$17,Paramètres!$A$1:$I$89,3,0)*VLOOKUP('Données projet'!$B$17,Paramètres!$A$1:$I$89,5,0)</f>
        <v>3.3992364478763198E-14</v>
      </c>
      <c r="GB102" s="14">
        <f t="shared" si="103"/>
        <v>5.790027782444094E-13</v>
      </c>
      <c r="GC102" s="22">
        <f t="shared" si="79"/>
        <v>1.0676332069095257E-12</v>
      </c>
      <c r="GD102" s="62">
        <f t="shared" si="80"/>
        <v>277.12283935441121</v>
      </c>
      <c r="GE102" s="62">
        <f ca="1">AVERAGE(OFFSET($GD$3,0,0,'Données projet'!$E$17+1,1))-AVERAGE(OFFSET($H$3,0,0,'Données projet'!$E$17+1,1))</f>
        <v>223.57443551076992</v>
      </c>
      <c r="GF102" s="62">
        <f t="shared" si="104"/>
        <v>382.12751862619427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6.7864461355280916</v>
      </c>
      <c r="GM102" s="23">
        <f>EXP(-LN(2)/25)*GM101+(1-EXP(-LN(2)/25))/(LN(2)/25)*Calculateur!GH102*Calculateur!GJ102*VLOOKUP('Données projet'!$B$17,Paramètres!$A$1:$I$89,3,0)*0.475*44/12</f>
        <v>2.0490388357024623</v>
      </c>
      <c r="GN102" s="23">
        <f>EXP(-LN(2)/2)*GN101+(1-EXP(-LN(2)/2))/(LN(2)/2)*GH102*GK102*VLOOKUP('Données projet'!$B$17,Paramètres!$A$1:$I$89,3,0)*0.475*44/12</f>
        <v>4.1725369668761265E-10</v>
      </c>
      <c r="GO102" s="23">
        <f t="shared" si="81"/>
        <v>8.8354849716478068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6.3957954686202676</v>
      </c>
      <c r="GU102" s="13">
        <f>IF('Données projet'!$A$270&gt;35,GU101+GT102-HC101,IF(A102&lt;'Données projet'!$A$270,$GR$205^A102,IF(A102='Données projet'!$A$270,'Données projet'!$B$270,GU101+GT102-HC101)))</f>
        <v>391.81053925597104</v>
      </c>
      <c r="GV102" s="18">
        <f>GU102*VLOOKUP('Données projet'!$B$18,Paramètres!$A$1:$I$89,3,0)*VLOOKUP('Données projet'!$B$18,Paramètres!$A$1:$I$89,5,0)</f>
        <v>427.85710886752031</v>
      </c>
      <c r="GW102" s="14">
        <f t="shared" si="105"/>
        <v>97.401947919476271</v>
      </c>
      <c r="GX102" s="22">
        <f t="shared" si="82"/>
        <v>914.82619057068553</v>
      </c>
      <c r="GY102" s="62">
        <f t="shared" si="83"/>
        <v>1191.9490299250956</v>
      </c>
      <c r="GZ102" s="62">
        <f ca="1">AVERAGE(OFFSET($GY$3,0,0,'Données projet'!$E$18+1,1))-AVERAGE(OFFSET($H$3,0,0,'Données projet'!$E$18+1,1))</f>
        <v>754.33260592777049</v>
      </c>
      <c r="HA102" s="62">
        <f t="shared" si="106"/>
        <v>250.97643915279005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9">
        <f t="shared" si="56"/>
        <v>183.33333333333334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360.99999999999989</v>
      </c>
      <c r="O103" s="14">
        <f>N103*VLOOKUP('Données projet'!$B$9,Paramètres!$A$1:$I$89,3,0)*VLOOKUP('Données projet'!$B$9,Paramètres!$A$1:$I$89,5,0)</f>
        <v>326.63279999999986</v>
      </c>
      <c r="P103" s="14">
        <f t="shared" si="87"/>
        <v>76.731784548754774</v>
      </c>
      <c r="Q103" s="22">
        <f t="shared" si="107"/>
        <v>702.52665142241437</v>
      </c>
      <c r="R103" s="62">
        <f t="shared" si="55"/>
        <v>979.93070660612352</v>
      </c>
      <c r="S103" s="62">
        <f ca="1">AVERAGE(OFFSET($R$3,0,0,'Données projet'!$E$9+1,1))-AVERAGE(OFFSET($H$3,0,0,'Données projet'!$E$9+1,1))</f>
        <v>550.39292625253665</v>
      </c>
      <c r="T103" s="62">
        <f t="shared" si="88"/>
        <v>297.32483725004136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361</v>
      </c>
      <c r="AG103" s="13">
        <f>VLOOKUP(A103,'Données projet'!$A$61:$I$81,9,0)</f>
        <v>5.9</v>
      </c>
      <c r="AH103" s="13">
        <f t="array" ref="AH103">INDEX(AG:AG,MIN(IF(ISNUMBER(AG103:AG299),ROW(AG103:AG299),"")))</f>
        <v>5.9</v>
      </c>
      <c r="AI103" s="14">
        <f>IF('Données projet'!$A$62&gt;35,AI102+AH103-AQ102,IF(A103&lt;'Données projet'!$A$62,$AF$205^A103,IF(A103='Données projet'!$A$62,'Données projet'!$B$62,AI102+AH103-AQ102)))</f>
        <v>360.99999999999989</v>
      </c>
      <c r="AJ103" s="14">
        <f>AI103*VLOOKUP('Données projet'!$B$10,Paramètres!$A$1:$I$89,3,0)*VLOOKUP('Données projet'!$B$10,Paramètres!$A$1:$I$89,5,0)</f>
        <v>366.05399999999986</v>
      </c>
      <c r="AK103" s="14">
        <f t="shared" si="89"/>
        <v>84.85951894835965</v>
      </c>
      <c r="AL103" s="22">
        <f t="shared" si="58"/>
        <v>785.34104550172617</v>
      </c>
      <c r="AM103" s="62">
        <f t="shared" si="59"/>
        <v>1062.7451006854353</v>
      </c>
      <c r="AN103" s="62">
        <f ca="1">AVERAGE(OFFSET($AM$3,0,0,'Données projet'!$E$10+1,1))-AVERAGE(OFFSET($H$3,0,0,'Données projet'!$E$10+1,1))</f>
        <v>606.55142836375308</v>
      </c>
      <c r="AO103" s="62">
        <f t="shared" si="90"/>
        <v>325.72635759450861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55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388.46153846153845</v>
      </c>
      <c r="BB103" s="13">
        <f>VLOOKUP(A103,'Données projet'!$A$87:$I$107,9,0)</f>
        <v>4.1025641025641049</v>
      </c>
      <c r="BC103" s="13">
        <f t="array" ref="BC103">INDEX(BB:BB,MIN(IF(ISNUMBER(BB103:BB299),ROW(BB103:BB299),"")))</f>
        <v>4.1025641025641049</v>
      </c>
      <c r="BD103" s="13">
        <f>IF('Données projet'!$A$88&gt;35,BD102+BC103-BL102,IF(A103&lt;'Données projet'!$A$88,$BA$205^A103,IF(A103='Données projet'!$A$88,'Données projet'!$B$88,BD102+BC103-BL102)))</f>
        <v>388.46153846153851</v>
      </c>
      <c r="BE103" s="14">
        <f>BD103*VLOOKUP('Données projet'!$B$11,Paramètres!$A$1:$I$89,3,0)*VLOOKUP('Données projet'!$B$11,Paramètres!$A$1:$I$89,5,0)</f>
        <v>406.0200000000001</v>
      </c>
      <c r="BF103" s="14">
        <f t="shared" si="91"/>
        <v>92.996064759651446</v>
      </c>
      <c r="BG103" s="22">
        <f t="shared" si="61"/>
        <v>869.11964612305974</v>
      </c>
      <c r="BH103" s="62">
        <f t="shared" si="62"/>
        <v>1146.523701306769</v>
      </c>
      <c r="BI103" s="62">
        <f ca="1">AVERAGE(OFFSET($BH$3,0,0,'Données projet'!$E$11+1,1))-AVERAGE(OFFSET($H$3,0,0,'Données projet'!$E$11+1,1))</f>
        <v>635.13577238794812</v>
      </c>
      <c r="BJ103" s="62">
        <f t="shared" si="92"/>
        <v>374.35810525172019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37.179487179487175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-6.8212102632969618E-13</v>
      </c>
      <c r="BZ103" s="14">
        <f>BY103*VLOOKUP('Données projet'!$B$12,Paramètres!$A$1:$I$89,3,0)*VLOOKUP('Données projet'!$B$12,Paramètres!$A$1:$I$89,5,0)</f>
        <v>-3.0149749363772573E-13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580.02817743695846</v>
      </c>
      <c r="CE103" s="62">
        <f t="shared" si="94"/>
        <v>551.23515633208865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7.882692307692305</v>
      </c>
      <c r="CT103" s="13">
        <f>IF('Données projet'!$A$140&gt;35,CT102+CS103-DB102,IF(A103&lt;'Données projet'!$A$140,$CQ$205^A103,IF(A103='Données projet'!$A$140,'Données projet'!$B$140,CT102+CS103-DB102)))</f>
        <v>342.25576923076937</v>
      </c>
      <c r="CU103" s="18">
        <f>CT103*VLOOKUP('Données projet'!$B$13,Paramètres!$A$1:$I$89,3,0)*VLOOKUP('Données projet'!$B$13,Paramètres!$A$1:$I$89,5,0)</f>
        <v>160.17570000000006</v>
      </c>
      <c r="CV103" s="14">
        <f t="shared" si="95"/>
        <v>40.882142500403504</v>
      </c>
      <c r="CW103" s="22">
        <f t="shared" si="67"/>
        <v>350.17574235486956</v>
      </c>
      <c r="CX103" s="62">
        <f t="shared" si="68"/>
        <v>627.57979753857876</v>
      </c>
      <c r="CY103" s="62">
        <f ca="1">AVERAGE(OFFSET($CX$3,0,0,'Données projet'!$E$13+1,1))-AVERAGE(OFFSET($H$3,0,0,'Données projet'!$E$13+1,1))</f>
        <v>321.05795935196863</v>
      </c>
      <c r="CZ103" s="62">
        <f t="shared" si="96"/>
        <v>209.59551322748908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361</v>
      </c>
      <c r="DM103" s="13">
        <f>VLOOKUP(A103,'Données projet'!$A$165:$I$185,9,0)</f>
        <v>5.9</v>
      </c>
      <c r="DN103" s="13">
        <f t="array" ref="DN103">INDEX(DM:DM,MIN(IF(ISNUMBER(DM103:DM299),ROW(DM103:DM299),"")))</f>
        <v>5.9</v>
      </c>
      <c r="DO103" s="13">
        <f>IF('Données projet'!$A$166&gt;35,DO102+DN103-DW102,IF(A103&lt;'Données projet'!$A$166,$DL$205^A103,IF(A103='Données projet'!$A$166,'Données projet'!$B$166,DO102+DN103-DW102)))</f>
        <v>360.99999999999989</v>
      </c>
      <c r="DP103" s="18">
        <f>DO103*VLOOKUP('Données projet'!$B$14,Paramètres!$A$1:$I$89,3,0)*VLOOKUP('Données projet'!$B$14,Paramètres!$A$1:$I$89,5,0)</f>
        <v>388.58039999999983</v>
      </c>
      <c r="DQ103" s="14">
        <f t="shared" si="97"/>
        <v>89.457628336614817</v>
      </c>
      <c r="DR103" s="22">
        <f t="shared" si="70"/>
        <v>832.58289935293715</v>
      </c>
      <c r="DS103" s="62">
        <f t="shared" si="71"/>
        <v>1109.9869545366464</v>
      </c>
      <c r="DT103" s="62">
        <f ca="1">AVERAGE(OFFSET($DS$3,0,0,'Données projet'!$E$14+1,1))-AVERAGE(OFFSET($H$3,0,0,'Données projet'!$E$14+1,1))</f>
        <v>638.58602907610805</v>
      </c>
      <c r="DU103" s="62">
        <f t="shared" si="98"/>
        <v>341.9250949809848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55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5.6843418860808015E-14</v>
      </c>
      <c r="EK103" s="18">
        <f>EJ103*VLOOKUP('Données projet'!$B$15,Paramètres!$A$1:$I$89,3,0)*VLOOKUP('Données projet'!$B$15,Paramètres!$A$1:$I$89,5,0)</f>
        <v>3.3992364478763198E-14</v>
      </c>
      <c r="EL103" s="14">
        <f t="shared" si="99"/>
        <v>5.790027782444094E-13</v>
      </c>
      <c r="EM103" s="22">
        <f t="shared" si="73"/>
        <v>1.0676332069095257E-12</v>
      </c>
      <c r="EN103" s="62">
        <f t="shared" si="74"/>
        <v>277.40405518371028</v>
      </c>
      <c r="EO103" s="62">
        <f ca="1">AVERAGE(OFFSET($EN$3,0,0,'Données projet'!$E$15+1,1))-AVERAGE(OFFSET($H$3,0,0,'Données projet'!$E$15+1,1))</f>
        <v>223.57443551076992</v>
      </c>
      <c r="EP103" s="62">
        <f t="shared" si="100"/>
        <v>382.12751862619427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6.6533680661338046</v>
      </c>
      <c r="EW103" s="23">
        <f>EXP(-LN(2)/25)*EW102+(1-EXP(-LN(2)/25))/(LN(2)/25)*Calculateur!ER103*Calculateur!ET103*VLOOKUP('Données projet'!$B$15,Paramètres!$A$1:$I$89,3,0)*0.475*44/12</f>
        <v>1.9930077609859091</v>
      </c>
      <c r="EX103" s="23">
        <f>EXP(-LN(2)/2)*EX102+(1-EXP(-LN(2)/2))/(LN(2)/2)*ER103*EU103*VLOOKUP('Données projet'!$B$15,Paramètres!$A$1:$I$89,3,0)*0.475*44/12</f>
        <v>2.9504291840296578E-10</v>
      </c>
      <c r="EY103" s="24">
        <f t="shared" si="75"/>
        <v>8.6463758274147562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111.825</v>
      </c>
      <c r="FC103" s="13">
        <f>VLOOKUP(A103,'Données projet'!$A$217:$I$237,9,0)</f>
        <v>1.4583333333333344</v>
      </c>
      <c r="FD103" s="13">
        <f t="array" ref="FD103">INDEX(FC:FC,MIN(IF(ISNUMBER(FC103:FC299),ROW(FC103:FC299),"")))</f>
        <v>1.4583333333333344</v>
      </c>
      <c r="FE103" s="13">
        <f>IF('Données projet'!$A$218&gt;35,FE102+FD103-FM102,IF(A103&lt;'Données projet'!$A$218,$FB$205^A103,IF(A103='Données projet'!$A$218,'Données projet'!$B$218,FE102+FD103-FM102)))</f>
        <v>111.82499999999992</v>
      </c>
      <c r="FF103" s="18">
        <f>FE103*VLOOKUP('Données projet'!$B$16,Paramètres!$A$1:$I$89,3,0)*VLOOKUP('Données projet'!$B$16,Paramètres!$A$1:$I$89,5,0)</f>
        <v>128.8223999999999</v>
      </c>
      <c r="FG103" s="14">
        <f t="shared" si="101"/>
        <v>33.72410660519936</v>
      </c>
      <c r="FH103" s="22">
        <f t="shared" si="76"/>
        <v>283.10183233738871</v>
      </c>
      <c r="FI103" s="62">
        <f t="shared" si="77"/>
        <v>560.50588752109797</v>
      </c>
      <c r="FJ103" s="62">
        <f ca="1">AVERAGE(OFFSET($FI$3,0,0,'Données projet'!$E$16+1,1))-AVERAGE(OFFSET($H$3,0,0,'Données projet'!$E$16+1,1))</f>
        <v>283.95543623515323</v>
      </c>
      <c r="FK103" s="62">
        <f t="shared" si="102"/>
        <v>196.96883829830929</v>
      </c>
      <c r="FL103" s="16">
        <f>IF(ISNA(VLOOKUP(A103,'Données projet'!$A$217:$I$237,3,0)),0,VLOOKUP(A103,'Données projet'!$A$217:$I$237,3,0))</f>
        <v>8</v>
      </c>
      <c r="FM103" s="16">
        <f>IF(ISNA(VLOOKUP(A103,'Données projet'!$A$217:$I$237,4,0)),0,VLOOKUP(A103,'Données projet'!$A$217:$I$237,4,0))</f>
        <v>9.125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5.6843418860808015E-14</v>
      </c>
      <c r="GA103" s="18">
        <f>FZ103*VLOOKUP('Données projet'!$B$17,Paramètres!$A$1:$I$89,3,0)*VLOOKUP('Données projet'!$B$17,Paramètres!$A$1:$I$89,5,0)</f>
        <v>3.3992364478763198E-14</v>
      </c>
      <c r="GB103" s="14">
        <f t="shared" si="103"/>
        <v>5.790027782444094E-13</v>
      </c>
      <c r="GC103" s="22">
        <f t="shared" si="79"/>
        <v>1.0676332069095257E-12</v>
      </c>
      <c r="GD103" s="62">
        <f t="shared" si="80"/>
        <v>277.40405518371028</v>
      </c>
      <c r="GE103" s="62">
        <f ca="1">AVERAGE(OFFSET($GD$3,0,0,'Données projet'!$E$17+1,1))-AVERAGE(OFFSET($H$3,0,0,'Données projet'!$E$17+1,1))</f>
        <v>223.57443551076992</v>
      </c>
      <c r="GF103" s="62">
        <f t="shared" si="104"/>
        <v>382.12751862619427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6.6533680661338046</v>
      </c>
      <c r="GM103" s="23">
        <f>EXP(-LN(2)/25)*GM102+(1-EXP(-LN(2)/25))/(LN(2)/25)*Calculateur!GH103*Calculateur!GJ103*VLOOKUP('Données projet'!$B$17,Paramètres!$A$1:$I$89,3,0)*0.475*44/12</f>
        <v>1.9930077609859091</v>
      </c>
      <c r="GN103" s="23">
        <f>EXP(-LN(2)/2)*GN102+(1-EXP(-LN(2)/2))/(LN(2)/2)*GH103*GK103*VLOOKUP('Données projet'!$B$17,Paramètres!$A$1:$I$89,3,0)*0.475*44/12</f>
        <v>2.9504291840296578E-10</v>
      </c>
      <c r="GO103" s="23">
        <f t="shared" si="81"/>
        <v>8.6463758274147562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398.2063347245907</v>
      </c>
      <c r="GS103" s="13">
        <f>VLOOKUP(A103,'Données projet'!$A$269:$I$289,9,0)</f>
        <v>6.3957954686202676</v>
      </c>
      <c r="GT103" s="13">
        <f t="array" ref="GT103">INDEX(GS:GS,MIN(IF(ISNUMBER(GS103:GS299),ROW(GS103:GS299),"")))</f>
        <v>6.3957954686202676</v>
      </c>
      <c r="GU103" s="13">
        <f>IF('Données projet'!$A$270&gt;35,GU102+GT103-HC102,IF(A103&lt;'Données projet'!$A$270,$GR$205^A103,IF(A103='Données projet'!$A$270,'Données projet'!$B$270,GU102+GT103-HC102)))</f>
        <v>398.20633472459133</v>
      </c>
      <c r="GV103" s="18">
        <f>GU103*VLOOKUP('Données projet'!$B$18,Paramètres!$A$1:$I$89,3,0)*VLOOKUP('Données projet'!$B$18,Paramètres!$A$1:$I$89,5,0)</f>
        <v>434.84131751925372</v>
      </c>
      <c r="GW103" s="14">
        <f t="shared" si="105"/>
        <v>98.805509581751153</v>
      </c>
      <c r="GX103" s="22">
        <f t="shared" si="82"/>
        <v>929.43489053425003</v>
      </c>
      <c r="GY103" s="62">
        <f t="shared" si="83"/>
        <v>1206.8389457179592</v>
      </c>
      <c r="GZ103" s="62">
        <f ca="1">AVERAGE(OFFSET($GY$3,0,0,'Données projet'!$E$18+1,1))-AVERAGE(OFFSET($H$3,0,0,'Données projet'!$E$18+1,1))</f>
        <v>754.33260592777049</v>
      </c>
      <c r="HA103" s="62">
        <f t="shared" si="106"/>
        <v>250.97643915279005</v>
      </c>
      <c r="HB103" s="16">
        <f>IF(ISNA(VLOOKUP(A103,'Données projet'!$A$269:$I$289,3,0)),0,VLOOKUP(A103,'Données projet'!$A$269:$I$289,3,0))</f>
        <v>5</v>
      </c>
      <c r="HC103" s="16">
        <f>IF(ISNA(VLOOKUP(A103,'Données projet'!$A$269:$I$289,4,0)),0,VLOOKUP(A103,'Données projet'!$A$269:$I$289,4,0))</f>
        <v>44.245148302732318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9">
        <f t="shared" si="56"/>
        <v>183.33333333333334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311.39999999999986</v>
      </c>
      <c r="O104" s="14">
        <f>N104*VLOOKUP('Données projet'!$B$9,Paramètres!$A$1:$I$89,3,0)*VLOOKUP('Données projet'!$B$9,Paramètres!$A$1:$I$89,5,0)</f>
        <v>281.75471999999985</v>
      </c>
      <c r="P104" s="14">
        <f t="shared" si="87"/>
        <v>67.337696723120317</v>
      </c>
      <c r="Q104" s="22">
        <f t="shared" si="107"/>
        <v>608.0026257927675</v>
      </c>
      <c r="R104" s="62">
        <f t="shared" si="55"/>
        <v>885.68301833984196</v>
      </c>
      <c r="S104" s="62">
        <f ca="1">AVERAGE(OFFSET($R$3,0,0,'Données projet'!$E$9+1,1))-AVERAGE(OFFSET($H$3,0,0,'Données projet'!$E$9+1,1))</f>
        <v>550.39292625253665</v>
      </c>
      <c r="T104" s="62">
        <f t="shared" si="88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311.39999999999986</v>
      </c>
      <c r="AJ104" s="14">
        <f>AI104*VLOOKUP('Données projet'!$B$10,Paramètres!$A$1:$I$89,3,0)*VLOOKUP('Données projet'!$B$10,Paramètres!$A$1:$I$89,5,0)</f>
        <v>315.75959999999986</v>
      </c>
      <c r="AK104" s="14">
        <f t="shared" si="89"/>
        <v>74.470372149154613</v>
      </c>
      <c r="AL104" s="22">
        <f t="shared" si="58"/>
        <v>679.65053482644407</v>
      </c>
      <c r="AM104" s="62">
        <f t="shared" si="59"/>
        <v>957.33092737351853</v>
      </c>
      <c r="AN104" s="62">
        <f ca="1">AVERAGE(OFFSET($AM$3,0,0,'Données projet'!$E$10+1,1))-AVERAGE(OFFSET($H$3,0,0,'Données projet'!$E$10+1,1))</f>
        <v>606.55142836375308</v>
      </c>
      <c r="AO104" s="62">
        <f t="shared" si="90"/>
        <v>325.72635759450861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3.7179487179487181</v>
      </c>
      <c r="BD104" s="13">
        <f>IF('Données projet'!$A$88&gt;35,BD103+BC104-BL103,IF(A104&lt;'Données projet'!$A$88,$BA$205^A104,IF(A104='Données projet'!$A$88,'Données projet'!$B$88,BD103+BC104-BL103)))</f>
        <v>355.00000000000006</v>
      </c>
      <c r="BE104" s="14">
        <f>BD104*VLOOKUP('Données projet'!$B$11,Paramètres!$A$1:$I$89,3,0)*VLOOKUP('Données projet'!$B$11,Paramètres!$A$1:$I$89,5,0)</f>
        <v>371.04600000000011</v>
      </c>
      <c r="BF104" s="14">
        <f t="shared" si="91"/>
        <v>85.881264127803732</v>
      </c>
      <c r="BG104" s="22">
        <f t="shared" si="61"/>
        <v>795.81498502259171</v>
      </c>
      <c r="BH104" s="62">
        <f t="shared" si="62"/>
        <v>1073.4953775696661</v>
      </c>
      <c r="BI104" s="62">
        <f ca="1">AVERAGE(OFFSET($BH$3,0,0,'Données projet'!$E$11+1,1))-AVERAGE(OFFSET($H$3,0,0,'Données projet'!$E$11+1,1))</f>
        <v>635.13577238794812</v>
      </c>
      <c r="BJ104" s="62">
        <f t="shared" si="92"/>
        <v>374.35810525172019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-6.8212102632969618E-13</v>
      </c>
      <c r="BZ104" s="14">
        <f>BY104*VLOOKUP('Données projet'!$B$12,Paramètres!$A$1:$I$89,3,0)*VLOOKUP('Données projet'!$B$12,Paramètres!$A$1:$I$89,5,0)</f>
        <v>-3.0149749363772573E-13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580.02817743695846</v>
      </c>
      <c r="CE104" s="62">
        <f t="shared" si="94"/>
        <v>551.23515633208865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7.882692307692305</v>
      </c>
      <c r="CT104" s="13">
        <f>IF('Données projet'!$A$140&gt;35,CT103+CS104-DB103,IF(A104&lt;'Données projet'!$A$140,$CQ$205^A104,IF(A104='Données projet'!$A$140,'Données projet'!$B$140,CT103+CS104-DB103)))</f>
        <v>350.13846153846168</v>
      </c>
      <c r="CU104" s="18">
        <f>CT104*VLOOKUP('Données projet'!$B$13,Paramètres!$A$1:$I$89,3,0)*VLOOKUP('Données projet'!$B$13,Paramètres!$A$1:$I$89,5,0)</f>
        <v>163.86480000000006</v>
      </c>
      <c r="CV104" s="14">
        <f t="shared" si="95"/>
        <v>41.713017234350168</v>
      </c>
      <c r="CW104" s="22">
        <f t="shared" si="67"/>
        <v>358.04803168315993</v>
      </c>
      <c r="CX104" s="62">
        <f t="shared" si="68"/>
        <v>635.7284242302344</v>
      </c>
      <c r="CY104" s="62">
        <f ca="1">AVERAGE(OFFSET($CX$3,0,0,'Données projet'!$E$13+1,1))-AVERAGE(OFFSET($H$3,0,0,'Données projet'!$E$13+1,1))</f>
        <v>321.05795935196863</v>
      </c>
      <c r="CZ104" s="62">
        <f t="shared" si="96"/>
        <v>209.59551322748908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5.4</v>
      </c>
      <c r="DO104" s="13">
        <f>IF('Données projet'!$A$166&gt;35,DO103+DN104-DW103,IF(A104&lt;'Données projet'!$A$166,$DL$205^A104,IF(A104='Données projet'!$A$166,'Données projet'!$B$166,DO103+DN104-DW103)))</f>
        <v>311.39999999999986</v>
      </c>
      <c r="DP104" s="18">
        <f>DO104*VLOOKUP('Données projet'!$B$14,Paramètres!$A$1:$I$89,3,0)*VLOOKUP('Données projet'!$B$14,Paramètres!$A$1:$I$89,5,0)</f>
        <v>335.19095999999985</v>
      </c>
      <c r="DQ104" s="14">
        <f t="shared" si="97"/>
        <v>78.505546064461171</v>
      </c>
      <c r="DR104" s="22">
        <f t="shared" si="70"/>
        <v>720.52141472893618</v>
      </c>
      <c r="DS104" s="62">
        <f t="shared" si="71"/>
        <v>998.20180727601064</v>
      </c>
      <c r="DT104" s="62">
        <f ca="1">AVERAGE(OFFSET($DS$3,0,0,'Données projet'!$E$14+1,1))-AVERAGE(OFFSET($H$3,0,0,'Données projet'!$E$14+1,1))</f>
        <v>638.58602907610805</v>
      </c>
      <c r="DU104" s="62">
        <f t="shared" si="98"/>
        <v>341.9250949809848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5.6843418860808015E-14</v>
      </c>
      <c r="EK104" s="18">
        <f>EJ104*VLOOKUP('Données projet'!$B$15,Paramètres!$A$1:$I$89,3,0)*VLOOKUP('Données projet'!$B$15,Paramètres!$A$1:$I$89,5,0)</f>
        <v>3.3992364478763198E-14</v>
      </c>
      <c r="EL104" s="14">
        <f t="shared" si="99"/>
        <v>5.790027782444094E-13</v>
      </c>
      <c r="EM104" s="22">
        <f t="shared" si="73"/>
        <v>1.0676332069095257E-12</v>
      </c>
      <c r="EN104" s="62">
        <f t="shared" si="74"/>
        <v>277.68039254707548</v>
      </c>
      <c r="EO104" s="62">
        <f ca="1">AVERAGE(OFFSET($EN$3,0,0,'Données projet'!$E$15+1,1))-AVERAGE(OFFSET($H$3,0,0,'Données projet'!$E$15+1,1))</f>
        <v>223.57443551076992</v>
      </c>
      <c r="EP104" s="62">
        <f t="shared" si="100"/>
        <v>382.12751862619427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6.5228995765107314</v>
      </c>
      <c r="EW104" s="23">
        <f>EXP(-LN(2)/25)*EW103+(1-EXP(-LN(2)/25))/(LN(2)/25)*Calculateur!ER104*Calculateur!ET104*VLOOKUP('Données projet'!$B$15,Paramètres!$A$1:$I$89,3,0)*0.475*44/12</f>
        <v>1.9385088589540265</v>
      </c>
      <c r="EX104" s="23">
        <f>EXP(-LN(2)/2)*EX103+(1-EXP(-LN(2)/2))/(LN(2)/2)*ER104*EU104*VLOOKUP('Données projet'!$B$15,Paramètres!$A$1:$I$89,3,0)*0.475*44/12</f>
        <v>2.0862684834380632E-10</v>
      </c>
      <c r="EY104" s="24">
        <f t="shared" si="75"/>
        <v>8.4614084356733841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1.3833333333333342</v>
      </c>
      <c r="FE104" s="13">
        <f>IF('Données projet'!$A$218&gt;35,FE103+FD104-FM103,IF(A104&lt;'Données projet'!$A$218,$FB$205^A104,IF(A104='Données projet'!$A$218,'Données projet'!$B$218,FE103+FD104-FM103)))</f>
        <v>104.08333333333326</v>
      </c>
      <c r="FF104" s="18">
        <f>FE104*VLOOKUP('Données projet'!$B$16,Paramètres!$A$1:$I$89,3,0)*VLOOKUP('Données projet'!$B$16,Paramètres!$A$1:$I$89,5,0)</f>
        <v>119.90399999999991</v>
      </c>
      <c r="FG104" s="14">
        <f t="shared" si="101"/>
        <v>31.65260782781338</v>
      </c>
      <c r="FH104" s="22">
        <f t="shared" si="76"/>
        <v>263.96109196677475</v>
      </c>
      <c r="FI104" s="62">
        <f t="shared" si="77"/>
        <v>541.64148451384915</v>
      </c>
      <c r="FJ104" s="62">
        <f ca="1">AVERAGE(OFFSET($FI$3,0,0,'Données projet'!$E$16+1,1))-AVERAGE(OFFSET($H$3,0,0,'Données projet'!$E$16+1,1))</f>
        <v>283.95543623515323</v>
      </c>
      <c r="FK104" s="62">
        <f t="shared" si="102"/>
        <v>196.96883829830929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5.6843418860808015E-14</v>
      </c>
      <c r="GA104" s="18">
        <f>FZ104*VLOOKUP('Données projet'!$B$17,Paramètres!$A$1:$I$89,3,0)*VLOOKUP('Données projet'!$B$17,Paramètres!$A$1:$I$89,5,0)</f>
        <v>3.3992364478763198E-14</v>
      </c>
      <c r="GB104" s="14">
        <f t="shared" si="103"/>
        <v>5.790027782444094E-13</v>
      </c>
      <c r="GC104" s="22">
        <f t="shared" si="79"/>
        <v>1.0676332069095257E-12</v>
      </c>
      <c r="GD104" s="62">
        <f t="shared" si="80"/>
        <v>277.68039254707548</v>
      </c>
      <c r="GE104" s="62">
        <f ca="1">AVERAGE(OFFSET($GD$3,0,0,'Données projet'!$E$17+1,1))-AVERAGE(OFFSET($H$3,0,0,'Données projet'!$E$17+1,1))</f>
        <v>223.57443551076992</v>
      </c>
      <c r="GF104" s="62">
        <f t="shared" si="104"/>
        <v>382.12751862619427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6.5228995765107314</v>
      </c>
      <c r="GM104" s="23">
        <f>EXP(-LN(2)/25)*GM103+(1-EXP(-LN(2)/25))/(LN(2)/25)*Calculateur!GH104*Calculateur!GJ104*VLOOKUP('Données projet'!$B$17,Paramètres!$A$1:$I$89,3,0)*0.475*44/12</f>
        <v>1.9385088589540265</v>
      </c>
      <c r="GN104" s="23">
        <f>EXP(-LN(2)/2)*GN103+(1-EXP(-LN(2)/2))/(LN(2)/2)*GH104*GK104*VLOOKUP('Données projet'!$B$17,Paramètres!$A$1:$I$89,3,0)*0.475*44/12</f>
        <v>2.0862684834380632E-10</v>
      </c>
      <c r="GO104" s="23">
        <f t="shared" si="81"/>
        <v>8.4614084356733841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6.4273627122339976</v>
      </c>
      <c r="GU104" s="13">
        <f>IF('Données projet'!$A$270&gt;35,GU103+GT104-HC103,IF(A104&lt;'Données projet'!$A$270,$GR$205^A104,IF(A104='Données projet'!$A$270,'Données projet'!$B$270,GU103+GT104-HC103)))</f>
        <v>360.38854913409301</v>
      </c>
      <c r="GV104" s="18">
        <f>GU104*VLOOKUP('Données projet'!$B$18,Paramètres!$A$1:$I$89,3,0)*VLOOKUP('Données projet'!$B$18,Paramètres!$A$1:$I$89,5,0)</f>
        <v>393.54429565442956</v>
      </c>
      <c r="GW104" s="14">
        <f t="shared" si="105"/>
        <v>90.466633433008894</v>
      </c>
      <c r="GX104" s="22">
        <f t="shared" si="82"/>
        <v>842.98570149395528</v>
      </c>
      <c r="GY104" s="62">
        <f t="shared" si="83"/>
        <v>1120.6660940410297</v>
      </c>
      <c r="GZ104" s="62">
        <f ca="1">AVERAGE(OFFSET($GY$3,0,0,'Données projet'!$E$18+1,1))-AVERAGE(OFFSET($H$3,0,0,'Données projet'!$E$18+1,1))</f>
        <v>754.33260592777049</v>
      </c>
      <c r="HA104" s="62">
        <f t="shared" si="106"/>
        <v>250.97643915279005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9">
        <f t="shared" si="56"/>
        <v>183.33333333333334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316.79999999999984</v>
      </c>
      <c r="O105" s="14">
        <f>N105*VLOOKUP('Données projet'!$B$9,Paramètres!$A$1:$I$89,3,0)*VLOOKUP('Données projet'!$B$9,Paramètres!$A$1:$I$89,5,0)</f>
        <v>286.64063999999985</v>
      </c>
      <c r="P105" s="14">
        <f t="shared" si="87"/>
        <v>68.368446832003599</v>
      </c>
      <c r="Q105" s="22">
        <f t="shared" si="107"/>
        <v>618.3074928990726</v>
      </c>
      <c r="R105" s="62">
        <f t="shared" si="55"/>
        <v>896.25942897405548</v>
      </c>
      <c r="S105" s="62">
        <f ca="1">AVERAGE(OFFSET($R$3,0,0,'Données projet'!$E$9+1,1))-AVERAGE(OFFSET($H$3,0,0,'Données projet'!$E$9+1,1))</f>
        <v>550.39292625253665</v>
      </c>
      <c r="T105" s="62">
        <f t="shared" si="88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316.79999999999984</v>
      </c>
      <c r="AJ105" s="14">
        <f>AI105*VLOOKUP('Données projet'!$B$10,Paramètres!$A$1:$I$89,3,0)*VLOOKUP('Données projet'!$B$10,Paramètres!$A$1:$I$89,5,0)</f>
        <v>321.23519999999985</v>
      </c>
      <c r="AK105" s="14">
        <f t="shared" si="89"/>
        <v>75.610303390297929</v>
      </c>
      <c r="AL105" s="22">
        <f t="shared" si="58"/>
        <v>691.17258507143526</v>
      </c>
      <c r="AM105" s="62">
        <f t="shared" si="59"/>
        <v>969.12452114641815</v>
      </c>
      <c r="AN105" s="62">
        <f ca="1">AVERAGE(OFFSET($AM$3,0,0,'Données projet'!$E$10+1,1))-AVERAGE(OFFSET($H$3,0,0,'Données projet'!$E$10+1,1))</f>
        <v>606.55142836375308</v>
      </c>
      <c r="AO105" s="62">
        <f t="shared" si="90"/>
        <v>325.72635759450861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3.7179487179487181</v>
      </c>
      <c r="BD105" s="13">
        <f>IF('Données projet'!$A$88&gt;35,BD104+BC105-BL104,IF(A105&lt;'Données projet'!$A$88,$BA$205^A105,IF(A105='Données projet'!$A$88,'Données projet'!$B$88,BD104+BC105-BL104)))</f>
        <v>358.71794871794879</v>
      </c>
      <c r="BE105" s="14">
        <f>BD105*VLOOKUP('Données projet'!$B$11,Paramètres!$A$1:$I$89,3,0)*VLOOKUP('Données projet'!$B$11,Paramètres!$A$1:$I$89,5,0)</f>
        <v>374.93200000000013</v>
      </c>
      <c r="BF105" s="14">
        <f t="shared" si="91"/>
        <v>86.675529093040339</v>
      </c>
      <c r="BG105" s="22">
        <f t="shared" si="61"/>
        <v>803.96644650371218</v>
      </c>
      <c r="BH105" s="62">
        <f t="shared" si="62"/>
        <v>1081.9183825786952</v>
      </c>
      <c r="BI105" s="62">
        <f ca="1">AVERAGE(OFFSET($BH$3,0,0,'Données projet'!$E$11+1,1))-AVERAGE(OFFSET($H$3,0,0,'Données projet'!$E$11+1,1))</f>
        <v>635.13577238794812</v>
      </c>
      <c r="BJ105" s="62">
        <f t="shared" si="92"/>
        <v>374.35810525172019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-6.8212102632969618E-13</v>
      </c>
      <c r="BZ105" s="14">
        <f>BY105*VLOOKUP('Données projet'!$B$12,Paramètres!$A$1:$I$89,3,0)*VLOOKUP('Données projet'!$B$12,Paramètres!$A$1:$I$89,5,0)</f>
        <v>-3.0149749363772573E-13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580.02817743695846</v>
      </c>
      <c r="CE105" s="62">
        <f t="shared" si="94"/>
        <v>551.23515633208865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7.882692307692305</v>
      </c>
      <c r="CT105" s="13">
        <f>IF('Données projet'!$A$140&gt;35,CT104+CS105-DB104,IF(A105&lt;'Données projet'!$A$140,$CQ$205^A105,IF(A105='Données projet'!$A$140,'Données projet'!$B$140,CT104+CS105-DB104)))</f>
        <v>358.02115384615399</v>
      </c>
      <c r="CU105" s="18">
        <f>CT105*VLOOKUP('Données projet'!$B$13,Paramètres!$A$1:$I$89,3,0)*VLOOKUP('Données projet'!$B$13,Paramètres!$A$1:$I$89,5,0)</f>
        <v>167.55390000000006</v>
      </c>
      <c r="CV105" s="14">
        <f t="shared" si="95"/>
        <v>42.541717299361267</v>
      </c>
      <c r="CW105" s="22">
        <f t="shared" si="67"/>
        <v>365.91653346305429</v>
      </c>
      <c r="CX105" s="62">
        <f t="shared" si="68"/>
        <v>643.86846953803729</v>
      </c>
      <c r="CY105" s="62">
        <f ca="1">AVERAGE(OFFSET($CX$3,0,0,'Données projet'!$E$13+1,1))-AVERAGE(OFFSET($H$3,0,0,'Données projet'!$E$13+1,1))</f>
        <v>321.05795935196863</v>
      </c>
      <c r="CZ105" s="62">
        <f t="shared" si="96"/>
        <v>209.59551322748908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5.4</v>
      </c>
      <c r="DO105" s="13">
        <f>IF('Données projet'!$A$166&gt;35,DO104+DN105-DW104,IF(A105&lt;'Données projet'!$A$166,$DL$205^A105,IF(A105='Données projet'!$A$166,'Données projet'!$B$166,DO104+DN105-DW104)))</f>
        <v>316.79999999999984</v>
      </c>
      <c r="DP105" s="18">
        <f>DO105*VLOOKUP('Données projet'!$B$14,Paramètres!$A$1:$I$89,3,0)*VLOOKUP('Données projet'!$B$14,Paramètres!$A$1:$I$89,5,0)</f>
        <v>341.00351999999981</v>
      </c>
      <c r="DQ105" s="14">
        <f t="shared" si="97"/>
        <v>79.70724443092908</v>
      </c>
      <c r="DR105" s="22">
        <f t="shared" si="70"/>
        <v>732.73791471720108</v>
      </c>
      <c r="DS105" s="62">
        <f t="shared" si="71"/>
        <v>1010.689850792184</v>
      </c>
      <c r="DT105" s="62">
        <f ca="1">AVERAGE(OFFSET($DS$3,0,0,'Données projet'!$E$14+1,1))-AVERAGE(OFFSET($H$3,0,0,'Données projet'!$E$14+1,1))</f>
        <v>638.58602907610805</v>
      </c>
      <c r="DU105" s="62">
        <f t="shared" si="98"/>
        <v>341.9250949809848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5.6843418860808015E-14</v>
      </c>
      <c r="EK105" s="18">
        <f>EJ105*VLOOKUP('Données projet'!$B$15,Paramètres!$A$1:$I$89,3,0)*VLOOKUP('Données projet'!$B$15,Paramètres!$A$1:$I$89,5,0)</f>
        <v>3.3992364478763198E-14</v>
      </c>
      <c r="EL105" s="14">
        <f t="shared" si="99"/>
        <v>5.790027782444094E-13</v>
      </c>
      <c r="EM105" s="22">
        <f t="shared" si="73"/>
        <v>1.0676332069095257E-12</v>
      </c>
      <c r="EN105" s="62">
        <f t="shared" si="74"/>
        <v>277.95193607498402</v>
      </c>
      <c r="EO105" s="62">
        <f ca="1">AVERAGE(OFFSET($EN$3,0,0,'Données projet'!$E$15+1,1))-AVERAGE(OFFSET($H$3,0,0,'Données projet'!$E$15+1,1))</f>
        <v>223.57443551076992</v>
      </c>
      <c r="EP105" s="62">
        <f t="shared" si="100"/>
        <v>382.12751862619427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6.394989494391246</v>
      </c>
      <c r="EW105" s="23">
        <f>EXP(-LN(2)/25)*EW104+(1-EXP(-LN(2)/25))/(LN(2)/25)*Calculateur!ER105*Calculateur!ET105*VLOOKUP('Données projet'!$B$15,Paramètres!$A$1:$I$89,3,0)*0.475*44/12</f>
        <v>1.8855002322641783</v>
      </c>
      <c r="EX105" s="23">
        <f>EXP(-LN(2)/2)*EX104+(1-EXP(-LN(2)/2))/(LN(2)/2)*ER105*EU105*VLOOKUP('Données projet'!$B$15,Paramètres!$A$1:$I$89,3,0)*0.475*44/12</f>
        <v>1.4752145920148289E-10</v>
      </c>
      <c r="EY105" s="24">
        <f t="shared" si="75"/>
        <v>8.280489726802946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1.3833333333333342</v>
      </c>
      <c r="FE105" s="13">
        <f>IF('Données projet'!$A$218&gt;35,FE104+FD105-FM104,IF(A105&lt;'Données projet'!$A$218,$FB$205^A105,IF(A105='Données projet'!$A$218,'Données projet'!$B$218,FE104+FD105-FM104)))</f>
        <v>105.4666666666666</v>
      </c>
      <c r="FF105" s="18">
        <f>FE105*VLOOKUP('Données projet'!$B$16,Paramètres!$A$1:$I$89,3,0)*VLOOKUP('Données projet'!$B$16,Paramètres!$A$1:$I$89,5,0)</f>
        <v>121.49759999999992</v>
      </c>
      <c r="FG105" s="14">
        <f t="shared" si="101"/>
        <v>32.024037368927388</v>
      </c>
      <c r="FH105" s="22">
        <f t="shared" si="76"/>
        <v>267.38351841754837</v>
      </c>
      <c r="FI105" s="62">
        <f t="shared" si="77"/>
        <v>545.33545449253131</v>
      </c>
      <c r="FJ105" s="62">
        <f ca="1">AVERAGE(OFFSET($FI$3,0,0,'Données projet'!$E$16+1,1))-AVERAGE(OFFSET($H$3,0,0,'Données projet'!$E$16+1,1))</f>
        <v>283.95543623515323</v>
      </c>
      <c r="FK105" s="62">
        <f t="shared" si="102"/>
        <v>196.96883829830929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5.6843418860808015E-14</v>
      </c>
      <c r="GA105" s="18">
        <f>FZ105*VLOOKUP('Données projet'!$B$17,Paramètres!$A$1:$I$89,3,0)*VLOOKUP('Données projet'!$B$17,Paramètres!$A$1:$I$89,5,0)</f>
        <v>3.3992364478763198E-14</v>
      </c>
      <c r="GB105" s="14">
        <f t="shared" si="103"/>
        <v>5.790027782444094E-13</v>
      </c>
      <c r="GC105" s="22">
        <f t="shared" si="79"/>
        <v>1.0676332069095257E-12</v>
      </c>
      <c r="GD105" s="62">
        <f t="shared" si="80"/>
        <v>277.95193607498402</v>
      </c>
      <c r="GE105" s="62">
        <f ca="1">AVERAGE(OFFSET($GD$3,0,0,'Données projet'!$E$17+1,1))-AVERAGE(OFFSET($H$3,0,0,'Données projet'!$E$17+1,1))</f>
        <v>223.57443551076992</v>
      </c>
      <c r="GF105" s="62">
        <f t="shared" si="104"/>
        <v>382.12751862619427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6.394989494391246</v>
      </c>
      <c r="GM105" s="23">
        <f>EXP(-LN(2)/25)*GM104+(1-EXP(-LN(2)/25))/(LN(2)/25)*Calculateur!GH105*Calculateur!GJ105*VLOOKUP('Données projet'!$B$17,Paramètres!$A$1:$I$89,3,0)*0.475*44/12</f>
        <v>1.8855002322641783</v>
      </c>
      <c r="GN105" s="23">
        <f>EXP(-LN(2)/2)*GN104+(1-EXP(-LN(2)/2))/(LN(2)/2)*GH105*GK105*VLOOKUP('Données projet'!$B$17,Paramètres!$A$1:$I$89,3,0)*0.475*44/12</f>
        <v>1.4752145920148289E-10</v>
      </c>
      <c r="GO105" s="23">
        <f t="shared" si="81"/>
        <v>8.280489726802946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6.4273627122339976</v>
      </c>
      <c r="GU105" s="13">
        <f>IF('Données projet'!$A$270&gt;35,GU104+GT105-HC104,IF(A105&lt;'Données projet'!$A$270,$GR$205^A105,IF(A105='Données projet'!$A$270,'Données projet'!$B$270,GU104+GT105-HC104)))</f>
        <v>366.81591184632703</v>
      </c>
      <c r="GV105" s="18">
        <f>GU105*VLOOKUP('Données projet'!$B$18,Paramètres!$A$1:$I$89,3,0)*VLOOKUP('Données projet'!$B$18,Paramètres!$A$1:$I$89,5,0)</f>
        <v>400.56297573618912</v>
      </c>
      <c r="GW105" s="14">
        <f t="shared" si="105"/>
        <v>91.890790567817533</v>
      </c>
      <c r="GX105" s="22">
        <f t="shared" si="82"/>
        <v>857.69030964614478</v>
      </c>
      <c r="GY105" s="62">
        <f t="shared" si="83"/>
        <v>1135.6422457211277</v>
      </c>
      <c r="GZ105" s="62">
        <f ca="1">AVERAGE(OFFSET($GY$3,0,0,'Données projet'!$E$18+1,1))-AVERAGE(OFFSET($H$3,0,0,'Données projet'!$E$18+1,1))</f>
        <v>754.33260592777049</v>
      </c>
      <c r="HA105" s="62">
        <f t="shared" si="106"/>
        <v>250.97643915279005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9">
        <f t="shared" si="56"/>
        <v>183.33333333333334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322.19999999999982</v>
      </c>
      <c r="O106" s="14">
        <f>N106*VLOOKUP('Données projet'!$B$9,Paramètres!$A$1:$I$89,3,0)*VLOOKUP('Données projet'!$B$9,Paramètres!$A$1:$I$89,5,0)</f>
        <v>291.52655999999985</v>
      </c>
      <c r="P106" s="14">
        <f t="shared" si="87"/>
        <v>69.397153761857183</v>
      </c>
      <c r="Q106" s="22">
        <f t="shared" si="107"/>
        <v>628.60880146856755</v>
      </c>
      <c r="R106" s="62">
        <f t="shared" si="55"/>
        <v>906.82757039833018</v>
      </c>
      <c r="S106" s="62">
        <f ca="1">AVERAGE(OFFSET($R$3,0,0,'Données projet'!$E$9+1,1))-AVERAGE(OFFSET($H$3,0,0,'Données projet'!$E$9+1,1))</f>
        <v>550.39292625253665</v>
      </c>
      <c r="T106" s="62">
        <f t="shared" si="88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322.19999999999982</v>
      </c>
      <c r="AJ106" s="14">
        <f>AI106*VLOOKUP('Données projet'!$B$10,Paramètres!$A$1:$I$89,3,0)*VLOOKUP('Données projet'!$B$10,Paramètres!$A$1:$I$89,5,0)</f>
        <v>326.71079999999984</v>
      </c>
      <c r="AK106" s="14">
        <f t="shared" si="89"/>
        <v>76.747975030799822</v>
      </c>
      <c r="AL106" s="22">
        <f t="shared" si="58"/>
        <v>702.69069984530927</v>
      </c>
      <c r="AM106" s="62">
        <f t="shared" si="59"/>
        <v>980.9094687750719</v>
      </c>
      <c r="AN106" s="62">
        <f ca="1">AVERAGE(OFFSET($AM$3,0,0,'Données projet'!$E$10+1,1))-AVERAGE(OFFSET($H$3,0,0,'Données projet'!$E$10+1,1))</f>
        <v>606.55142836375308</v>
      </c>
      <c r="AO106" s="62">
        <f t="shared" si="90"/>
        <v>325.72635759450861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3.7179487179487181</v>
      </c>
      <c r="BD106" s="13">
        <f>IF('Données projet'!$A$88&gt;35,BD105+BC106-BL105,IF(A106&lt;'Données projet'!$A$88,$BA$205^A106,IF(A106='Données projet'!$A$88,'Données projet'!$B$88,BD105+BC106-BL105)))</f>
        <v>362.43589743589752</v>
      </c>
      <c r="BE106" s="14">
        <f>BD106*VLOOKUP('Données projet'!$B$11,Paramètres!$A$1:$I$89,3,0)*VLOOKUP('Données projet'!$B$11,Paramètres!$A$1:$I$89,5,0)</f>
        <v>378.8180000000001</v>
      </c>
      <c r="BF106" s="14">
        <f t="shared" si="91"/>
        <v>87.468836390332655</v>
      </c>
      <c r="BG106" s="22">
        <f t="shared" si="61"/>
        <v>812.11624004649605</v>
      </c>
      <c r="BH106" s="62">
        <f t="shared" si="62"/>
        <v>1090.3350089762587</v>
      </c>
      <c r="BI106" s="62">
        <f ca="1">AVERAGE(OFFSET($BH$3,0,0,'Données projet'!$E$11+1,1))-AVERAGE(OFFSET($H$3,0,0,'Données projet'!$E$11+1,1))</f>
        <v>635.13577238794812</v>
      </c>
      <c r="BJ106" s="62">
        <f t="shared" si="92"/>
        <v>374.35810525172019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-6.8212102632969618E-13</v>
      </c>
      <c r="BZ106" s="14">
        <f>BY106*VLOOKUP('Données projet'!$B$12,Paramètres!$A$1:$I$89,3,0)*VLOOKUP('Données projet'!$B$12,Paramètres!$A$1:$I$89,5,0)</f>
        <v>-3.0149749363772573E-13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580.02817743695846</v>
      </c>
      <c r="CE106" s="62">
        <f t="shared" si="94"/>
        <v>551.23515633208865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7.882692307692305</v>
      </c>
      <c r="CT106" s="13">
        <f>IF('Données projet'!$A$140&gt;35,CT105+CS106-DB105,IF(A106&lt;'Données projet'!$A$140,$CQ$205^A106,IF(A106='Données projet'!$A$140,'Données projet'!$B$140,CT105+CS106-DB105)))</f>
        <v>365.9038461538463</v>
      </c>
      <c r="CU106" s="18">
        <f>CT106*VLOOKUP('Données projet'!$B$13,Paramètres!$A$1:$I$89,3,0)*VLOOKUP('Données projet'!$B$13,Paramètres!$A$1:$I$89,5,0)</f>
        <v>171.24300000000005</v>
      </c>
      <c r="CV106" s="14">
        <f t="shared" si="95"/>
        <v>43.36829608954848</v>
      </c>
      <c r="CW106" s="22">
        <f t="shared" si="67"/>
        <v>373.781340689297</v>
      </c>
      <c r="CX106" s="62">
        <f t="shared" si="68"/>
        <v>652.00010961905969</v>
      </c>
      <c r="CY106" s="62">
        <f ca="1">AVERAGE(OFFSET($CX$3,0,0,'Données projet'!$E$13+1,1))-AVERAGE(OFFSET($H$3,0,0,'Données projet'!$E$13+1,1))</f>
        <v>321.05795935196863</v>
      </c>
      <c r="CZ106" s="62">
        <f t="shared" si="96"/>
        <v>209.59551322748908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5.4</v>
      </c>
      <c r="DO106" s="13">
        <f>IF('Données projet'!$A$166&gt;35,DO105+DN106-DW105,IF(A106&lt;'Données projet'!$A$166,$DL$205^A106,IF(A106='Données projet'!$A$166,'Données projet'!$B$166,DO105+DN106-DW105)))</f>
        <v>322.19999999999982</v>
      </c>
      <c r="DP106" s="18">
        <f>DO106*VLOOKUP('Données projet'!$B$14,Paramètres!$A$1:$I$89,3,0)*VLOOKUP('Données projet'!$B$14,Paramètres!$A$1:$I$89,5,0)</f>
        <v>346.81607999999983</v>
      </c>
      <c r="DQ106" s="14">
        <f t="shared" si="97"/>
        <v>80.90656076039194</v>
      </c>
      <c r="DR106" s="22">
        <f t="shared" si="70"/>
        <v>744.95026599101573</v>
      </c>
      <c r="DS106" s="62">
        <f t="shared" si="71"/>
        <v>1023.1690349207784</v>
      </c>
      <c r="DT106" s="62">
        <f ca="1">AVERAGE(OFFSET($DS$3,0,0,'Données projet'!$E$14+1,1))-AVERAGE(OFFSET($H$3,0,0,'Données projet'!$E$14+1,1))</f>
        <v>638.58602907610805</v>
      </c>
      <c r="DU106" s="62">
        <f t="shared" si="98"/>
        <v>341.9250949809848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5.6843418860808015E-14</v>
      </c>
      <c r="EK106" s="18">
        <f>EJ106*VLOOKUP('Données projet'!$B$15,Paramètres!$A$1:$I$89,3,0)*VLOOKUP('Données projet'!$B$15,Paramètres!$A$1:$I$89,5,0)</f>
        <v>3.3992364478763198E-14</v>
      </c>
      <c r="EL106" s="14">
        <f t="shared" si="99"/>
        <v>5.790027782444094E-13</v>
      </c>
      <c r="EM106" s="22">
        <f t="shared" si="73"/>
        <v>1.0676332069095257E-12</v>
      </c>
      <c r="EN106" s="62">
        <f t="shared" si="74"/>
        <v>278.21876892976377</v>
      </c>
      <c r="EO106" s="62">
        <f ca="1">AVERAGE(OFFSET($EN$3,0,0,'Données projet'!$E$15+1,1))-AVERAGE(OFFSET($H$3,0,0,'Données projet'!$E$15+1,1))</f>
        <v>223.57443551076992</v>
      </c>
      <c r="EP106" s="62">
        <f t="shared" si="100"/>
        <v>382.12751862619427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6.2695876509646773</v>
      </c>
      <c r="EW106" s="23">
        <f>EXP(-LN(2)/25)*EW105+(1-EXP(-LN(2)/25))/(LN(2)/25)*Calculateur!ER106*Calculateur!ET106*VLOOKUP('Données projet'!$B$15,Paramètres!$A$1:$I$89,3,0)*0.475*44/12</f>
        <v>1.8339411292587664</v>
      </c>
      <c r="EX106" s="23">
        <f>EXP(-LN(2)/2)*EX105+(1-EXP(-LN(2)/2))/(LN(2)/2)*ER106*EU106*VLOOKUP('Données projet'!$B$15,Paramètres!$A$1:$I$89,3,0)*0.475*44/12</f>
        <v>1.0431342417190316E-10</v>
      </c>
      <c r="EY106" s="24">
        <f t="shared" si="75"/>
        <v>8.1035287803277569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1.3833333333333342</v>
      </c>
      <c r="FE106" s="13">
        <f>IF('Données projet'!$A$218&gt;35,FE105+FD106-FM105,IF(A106&lt;'Données projet'!$A$218,$FB$205^A106,IF(A106='Données projet'!$A$218,'Données projet'!$B$218,FE105+FD106-FM105)))</f>
        <v>106.84999999999994</v>
      </c>
      <c r="FF106" s="18">
        <f>FE106*VLOOKUP('Données projet'!$B$16,Paramètres!$A$1:$I$89,3,0)*VLOOKUP('Données projet'!$B$16,Paramètres!$A$1:$I$89,5,0)</f>
        <v>123.09119999999992</v>
      </c>
      <c r="FG106" s="14">
        <f t="shared" si="101"/>
        <v>32.394900249819841</v>
      </c>
      <c r="FH106" s="22">
        <f t="shared" si="76"/>
        <v>270.80495793510266</v>
      </c>
      <c r="FI106" s="62">
        <f t="shared" si="77"/>
        <v>549.02372686486535</v>
      </c>
      <c r="FJ106" s="62">
        <f ca="1">AVERAGE(OFFSET($FI$3,0,0,'Données projet'!$E$16+1,1))-AVERAGE(OFFSET($H$3,0,0,'Données projet'!$E$16+1,1))</f>
        <v>283.95543623515323</v>
      </c>
      <c r="FK106" s="62">
        <f t="shared" si="102"/>
        <v>196.96883829830929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5.6843418860808015E-14</v>
      </c>
      <c r="GA106" s="18">
        <f>FZ106*VLOOKUP('Données projet'!$B$17,Paramètres!$A$1:$I$89,3,0)*VLOOKUP('Données projet'!$B$17,Paramètres!$A$1:$I$89,5,0)</f>
        <v>3.3992364478763198E-14</v>
      </c>
      <c r="GB106" s="14">
        <f t="shared" si="103"/>
        <v>5.790027782444094E-13</v>
      </c>
      <c r="GC106" s="22">
        <f t="shared" si="79"/>
        <v>1.0676332069095257E-12</v>
      </c>
      <c r="GD106" s="62">
        <f t="shared" si="80"/>
        <v>278.21876892976377</v>
      </c>
      <c r="GE106" s="62">
        <f ca="1">AVERAGE(OFFSET($GD$3,0,0,'Données projet'!$E$17+1,1))-AVERAGE(OFFSET($H$3,0,0,'Données projet'!$E$17+1,1))</f>
        <v>223.57443551076992</v>
      </c>
      <c r="GF106" s="62">
        <f t="shared" si="104"/>
        <v>382.12751862619427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6.2695876509646773</v>
      </c>
      <c r="GM106" s="23">
        <f>EXP(-LN(2)/25)*GM105+(1-EXP(-LN(2)/25))/(LN(2)/25)*Calculateur!GH106*Calculateur!GJ106*VLOOKUP('Données projet'!$B$17,Paramètres!$A$1:$I$89,3,0)*0.475*44/12</f>
        <v>1.8339411292587664</v>
      </c>
      <c r="GN106" s="23">
        <f>EXP(-LN(2)/2)*GN105+(1-EXP(-LN(2)/2))/(LN(2)/2)*GH106*GK106*VLOOKUP('Données projet'!$B$17,Paramètres!$A$1:$I$89,3,0)*0.475*44/12</f>
        <v>1.0431342417190316E-10</v>
      </c>
      <c r="GO106" s="23">
        <f t="shared" si="81"/>
        <v>8.1035287803277569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6.4273627122339976</v>
      </c>
      <c r="GU106" s="13">
        <f>IF('Données projet'!$A$270&gt;35,GU105+GT106-HC105,IF(A106&lt;'Données projet'!$A$270,$GR$205^A106,IF(A106='Données projet'!$A$270,'Données projet'!$B$270,GU105+GT106-HC105)))</f>
        <v>373.24327455856104</v>
      </c>
      <c r="GV106" s="18">
        <f>GU106*VLOOKUP('Données projet'!$B$18,Paramètres!$A$1:$I$89,3,0)*VLOOKUP('Données projet'!$B$18,Paramètres!$A$1:$I$89,5,0)</f>
        <v>407.58165581794867</v>
      </c>
      <c r="GW106" s="14">
        <f t="shared" si="105"/>
        <v>93.312045844224613</v>
      </c>
      <c r="GX106" s="22">
        <f t="shared" si="82"/>
        <v>872.38986372828504</v>
      </c>
      <c r="GY106" s="62">
        <f t="shared" si="83"/>
        <v>1150.6086326580478</v>
      </c>
      <c r="GZ106" s="62">
        <f ca="1">AVERAGE(OFFSET($GY$3,0,0,'Données projet'!$E$18+1,1))-AVERAGE(OFFSET($H$3,0,0,'Données projet'!$E$18+1,1))</f>
        <v>754.33260592777049</v>
      </c>
      <c r="HA106" s="62">
        <f t="shared" si="106"/>
        <v>250.97643915279005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9">
        <f t="shared" si="56"/>
        <v>183.33333333333334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327.5999999999998</v>
      </c>
      <c r="O107" s="14">
        <f>N107*VLOOKUP('Données projet'!$B$9,Paramètres!$A$1:$I$89,3,0)*VLOOKUP('Données projet'!$B$9,Paramètres!$A$1:$I$89,5,0)</f>
        <v>296.41247999999979</v>
      </c>
      <c r="P107" s="14">
        <f t="shared" si="87"/>
        <v>70.423855708154704</v>
      </c>
      <c r="Q107" s="22">
        <f t="shared" si="107"/>
        <v>638.90661802503575</v>
      </c>
      <c r="R107" s="62">
        <f t="shared" si="55"/>
        <v>917.38759085609672</v>
      </c>
      <c r="S107" s="62">
        <f ca="1">AVERAGE(OFFSET($R$3,0,0,'Données projet'!$E$9+1,1))-AVERAGE(OFFSET($H$3,0,0,'Données projet'!$E$9+1,1))</f>
        <v>550.39292625253665</v>
      </c>
      <c r="T107" s="62">
        <f t="shared" si="88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327.5999999999998</v>
      </c>
      <c r="AJ107" s="14">
        <f>AI107*VLOOKUP('Données projet'!$B$10,Paramètres!$A$1:$I$89,3,0)*VLOOKUP('Données projet'!$B$10,Paramètres!$A$1:$I$89,5,0)</f>
        <v>332.18639999999982</v>
      </c>
      <c r="AK107" s="14">
        <f t="shared" si="89"/>
        <v>77.88342931194974</v>
      </c>
      <c r="AL107" s="22">
        <f t="shared" si="58"/>
        <v>714.20495271831214</v>
      </c>
      <c r="AM107" s="62">
        <f t="shared" si="59"/>
        <v>992.685925549373</v>
      </c>
      <c r="AN107" s="62">
        <f ca="1">AVERAGE(OFFSET($AM$3,0,0,'Données projet'!$E$10+1,1))-AVERAGE(OFFSET($H$3,0,0,'Données projet'!$E$10+1,1))</f>
        <v>606.55142836375308</v>
      </c>
      <c r="AO107" s="62">
        <f t="shared" si="90"/>
        <v>325.72635759450861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3.7179487179487181</v>
      </c>
      <c r="BD107" s="13">
        <f>IF('Données projet'!$A$88&gt;35,BD106+BC107-BL106,IF(A107&lt;'Données projet'!$A$88,$BA$205^A107,IF(A107='Données projet'!$A$88,'Données projet'!$B$88,BD106+BC107-BL106)))</f>
        <v>366.15384615384625</v>
      </c>
      <c r="BE107" s="14">
        <f>BD107*VLOOKUP('Données projet'!$B$11,Paramètres!$A$1:$I$89,3,0)*VLOOKUP('Données projet'!$B$11,Paramètres!$A$1:$I$89,5,0)</f>
        <v>382.70400000000012</v>
      </c>
      <c r="BF107" s="14">
        <f t="shared" si="91"/>
        <v>88.261196981004645</v>
      </c>
      <c r="BG107" s="22">
        <f t="shared" si="61"/>
        <v>820.26438474191639</v>
      </c>
      <c r="BH107" s="62">
        <f t="shared" si="62"/>
        <v>1098.7453575729774</v>
      </c>
      <c r="BI107" s="62">
        <f ca="1">AVERAGE(OFFSET($BH$3,0,0,'Données projet'!$E$11+1,1))-AVERAGE(OFFSET($H$3,0,0,'Données projet'!$E$11+1,1))</f>
        <v>635.13577238794812</v>
      </c>
      <c r="BJ107" s="62">
        <f t="shared" si="92"/>
        <v>374.35810525172019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-6.8212102632969618E-13</v>
      </c>
      <c r="BZ107" s="14">
        <f>BY107*VLOOKUP('Données projet'!$B$12,Paramètres!$A$1:$I$89,3,0)*VLOOKUP('Données projet'!$B$12,Paramètres!$A$1:$I$89,5,0)</f>
        <v>-3.0149749363772573E-13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580.02817743695846</v>
      </c>
      <c r="CE107" s="62">
        <f t="shared" si="94"/>
        <v>551.23515633208865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7.882692307692305</v>
      </c>
      <c r="CT107" s="13">
        <f>IF('Données projet'!$A$140&gt;35,CT106+CS107-DB106,IF(A107&lt;'Données projet'!$A$140,$CQ$205^A107,IF(A107='Données projet'!$A$140,'Données projet'!$B$140,CT106+CS107-DB106)))</f>
        <v>373.78653846153861</v>
      </c>
      <c r="CU107" s="18">
        <f>CT107*VLOOKUP('Données projet'!$B$13,Paramètres!$A$1:$I$89,3,0)*VLOOKUP('Données projet'!$B$13,Paramètres!$A$1:$I$89,5,0)</f>
        <v>174.93210000000008</v>
      </c>
      <c r="CV107" s="14">
        <f t="shared" si="95"/>
        <v>44.192804567069857</v>
      </c>
      <c r="CW107" s="22">
        <f t="shared" si="67"/>
        <v>381.64254212098012</v>
      </c>
      <c r="CX107" s="62">
        <f t="shared" si="68"/>
        <v>660.12351495204098</v>
      </c>
      <c r="CY107" s="62">
        <f ca="1">AVERAGE(OFFSET($CX$3,0,0,'Données projet'!$E$13+1,1))-AVERAGE(OFFSET($H$3,0,0,'Données projet'!$E$13+1,1))</f>
        <v>321.05795935196863</v>
      </c>
      <c r="CZ107" s="62">
        <f t="shared" si="96"/>
        <v>209.59551322748908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5.4</v>
      </c>
      <c r="DO107" s="13">
        <f>IF('Données projet'!$A$166&gt;35,DO106+DN107-DW106,IF(A107&lt;'Données projet'!$A$166,$DL$205^A107,IF(A107='Données projet'!$A$166,'Données projet'!$B$166,DO106+DN107-DW106)))</f>
        <v>327.5999999999998</v>
      </c>
      <c r="DP107" s="18">
        <f>DO107*VLOOKUP('Données projet'!$B$14,Paramètres!$A$1:$I$89,3,0)*VLOOKUP('Données projet'!$B$14,Paramètres!$A$1:$I$89,5,0)</f>
        <v>352.62863999999979</v>
      </c>
      <c r="DQ107" s="14">
        <f t="shared" si="97"/>
        <v>82.103539582981469</v>
      </c>
      <c r="DR107" s="22">
        <f t="shared" si="70"/>
        <v>757.1585461070257</v>
      </c>
      <c r="DS107" s="62">
        <f t="shared" si="71"/>
        <v>1035.6395189380867</v>
      </c>
      <c r="DT107" s="62">
        <f ca="1">AVERAGE(OFFSET($DS$3,0,0,'Données projet'!$E$14+1,1))-AVERAGE(OFFSET($H$3,0,0,'Données projet'!$E$14+1,1))</f>
        <v>638.58602907610805</v>
      </c>
      <c r="DU107" s="62">
        <f t="shared" si="98"/>
        <v>341.9250949809848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5.6843418860808015E-14</v>
      </c>
      <c r="EK107" s="18">
        <f>EJ107*VLOOKUP('Données projet'!$B$15,Paramètres!$A$1:$I$89,3,0)*VLOOKUP('Données projet'!$B$15,Paramètres!$A$1:$I$89,5,0)</f>
        <v>3.3992364478763198E-14</v>
      </c>
      <c r="EL107" s="14">
        <f t="shared" si="99"/>
        <v>5.790027782444094E-13</v>
      </c>
      <c r="EM107" s="22">
        <f t="shared" si="73"/>
        <v>1.0676332069095257E-12</v>
      </c>
      <c r="EN107" s="62">
        <f t="shared" si="74"/>
        <v>278.48097283106199</v>
      </c>
      <c r="EO107" s="62">
        <f ca="1">AVERAGE(OFFSET($EN$3,0,0,'Données projet'!$E$15+1,1))-AVERAGE(OFFSET($H$3,0,0,'Données projet'!$E$15+1,1))</f>
        <v>223.57443551076992</v>
      </c>
      <c r="EP107" s="62">
        <f t="shared" si="100"/>
        <v>382.12751862619427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6.146644861200131</v>
      </c>
      <c r="EW107" s="23">
        <f>EXP(-LN(2)/25)*EW106+(1-EXP(-LN(2)/25))/(LN(2)/25)*Calculateur!ER107*Calculateur!ET107*VLOOKUP('Données projet'!$B$15,Paramètres!$A$1:$I$89,3,0)*0.475*44/12</f>
        <v>1.783791912636413</v>
      </c>
      <c r="EX107" s="23">
        <f>EXP(-LN(2)/2)*EX106+(1-EXP(-LN(2)/2))/(LN(2)/2)*ER107*EU107*VLOOKUP('Données projet'!$B$15,Paramètres!$A$1:$I$89,3,0)*0.475*44/12</f>
        <v>7.3760729600741445E-11</v>
      </c>
      <c r="EY107" s="24">
        <f t="shared" si="75"/>
        <v>7.9304367739103041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1.3833333333333342</v>
      </c>
      <c r="FE107" s="13">
        <f>IF('Données projet'!$A$218&gt;35,FE106+FD107-FM106,IF(A107&lt;'Données projet'!$A$218,$FB$205^A107,IF(A107='Données projet'!$A$218,'Données projet'!$B$218,FE106+FD107-FM106)))</f>
        <v>108.23333333333328</v>
      </c>
      <c r="FF107" s="18">
        <f>FE107*VLOOKUP('Données projet'!$B$16,Paramètres!$A$1:$I$89,3,0)*VLOOKUP('Données projet'!$B$16,Paramètres!$A$1:$I$89,5,0)</f>
        <v>124.68479999999992</v>
      </c>
      <c r="FG107" s="14">
        <f t="shared" si="101"/>
        <v>32.765204654989468</v>
      </c>
      <c r="FH107" s="22">
        <f t="shared" si="76"/>
        <v>274.2254247741065</v>
      </c>
      <c r="FI107" s="62">
        <f t="shared" si="77"/>
        <v>552.70639760516747</v>
      </c>
      <c r="FJ107" s="62">
        <f ca="1">AVERAGE(OFFSET($FI$3,0,0,'Données projet'!$E$16+1,1))-AVERAGE(OFFSET($H$3,0,0,'Données projet'!$E$16+1,1))</f>
        <v>283.95543623515323</v>
      </c>
      <c r="FK107" s="62">
        <f t="shared" si="102"/>
        <v>196.96883829830929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5.6843418860808015E-14</v>
      </c>
      <c r="GA107" s="18">
        <f>FZ107*VLOOKUP('Données projet'!$B$17,Paramètres!$A$1:$I$89,3,0)*VLOOKUP('Données projet'!$B$17,Paramètres!$A$1:$I$89,5,0)</f>
        <v>3.3992364478763198E-14</v>
      </c>
      <c r="GB107" s="14">
        <f t="shared" si="103"/>
        <v>5.790027782444094E-13</v>
      </c>
      <c r="GC107" s="22">
        <f t="shared" si="79"/>
        <v>1.0676332069095257E-12</v>
      </c>
      <c r="GD107" s="62">
        <f t="shared" si="80"/>
        <v>278.48097283106199</v>
      </c>
      <c r="GE107" s="62">
        <f ca="1">AVERAGE(OFFSET($GD$3,0,0,'Données projet'!$E$17+1,1))-AVERAGE(OFFSET($H$3,0,0,'Données projet'!$E$17+1,1))</f>
        <v>223.57443551076992</v>
      </c>
      <c r="GF107" s="62">
        <f t="shared" si="104"/>
        <v>382.12751862619427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6.146644861200131</v>
      </c>
      <c r="GM107" s="23">
        <f>EXP(-LN(2)/25)*GM106+(1-EXP(-LN(2)/25))/(LN(2)/25)*Calculateur!GH107*Calculateur!GJ107*VLOOKUP('Données projet'!$B$17,Paramètres!$A$1:$I$89,3,0)*0.475*44/12</f>
        <v>1.783791912636413</v>
      </c>
      <c r="GN107" s="23">
        <f>EXP(-LN(2)/2)*GN106+(1-EXP(-LN(2)/2))/(LN(2)/2)*GH107*GK107*VLOOKUP('Données projet'!$B$17,Paramètres!$A$1:$I$89,3,0)*0.475*44/12</f>
        <v>7.3760729600741445E-11</v>
      </c>
      <c r="GO107" s="23">
        <f t="shared" si="81"/>
        <v>7.9304367739103041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6.4273627122339976</v>
      </c>
      <c r="GU107" s="13">
        <f>IF('Données projet'!$A$270&gt;35,GU106+GT107-HC106,IF(A107&lt;'Données projet'!$A$270,$GR$205^A107,IF(A107='Données projet'!$A$270,'Données projet'!$B$270,GU106+GT107-HC106)))</f>
        <v>379.67063727079505</v>
      </c>
      <c r="GV107" s="18">
        <f>GU107*VLOOKUP('Données projet'!$B$18,Paramètres!$A$1:$I$89,3,0)*VLOOKUP('Données projet'!$B$18,Paramètres!$A$1:$I$89,5,0)</f>
        <v>414.60033589970823</v>
      </c>
      <c r="GW107" s="14">
        <f t="shared" si="105"/>
        <v>94.730454999403563</v>
      </c>
      <c r="GX107" s="22">
        <f t="shared" si="82"/>
        <v>887.08446081595309</v>
      </c>
      <c r="GY107" s="62">
        <f t="shared" si="83"/>
        <v>1165.5654336470141</v>
      </c>
      <c r="GZ107" s="62">
        <f ca="1">AVERAGE(OFFSET($GY$3,0,0,'Données projet'!$E$18+1,1))-AVERAGE(OFFSET($H$3,0,0,'Données projet'!$E$18+1,1))</f>
        <v>754.33260592777049</v>
      </c>
      <c r="HA107" s="62">
        <f t="shared" si="106"/>
        <v>250.97643915279005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9">
        <f t="shared" si="56"/>
        <v>183.33333333333334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332.99999999999977</v>
      </c>
      <c r="O108" s="14">
        <f>N108*VLOOKUP('Données projet'!$B$9,Paramètres!$A$1:$I$89,3,0)*VLOOKUP('Données projet'!$B$9,Paramètres!$A$1:$I$89,5,0)</f>
        <v>301.29839999999979</v>
      </c>
      <c r="P108" s="14">
        <f t="shared" si="87"/>
        <v>71.448589534990461</v>
      </c>
      <c r="Q108" s="22">
        <f t="shared" si="107"/>
        <v>649.20100677344124</v>
      </c>
      <c r="R108" s="62">
        <f t="shared" si="55"/>
        <v>927.939634854313</v>
      </c>
      <c r="S108" s="62">
        <f ca="1">AVERAGE(OFFSET($R$3,0,0,'Données projet'!$E$9+1,1))-AVERAGE(OFFSET($H$3,0,0,'Données projet'!$E$9+1,1))</f>
        <v>550.39292625253665</v>
      </c>
      <c r="T108" s="62">
        <f t="shared" si="88"/>
        <v>297.32483725004136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332.99999999999977</v>
      </c>
      <c r="AJ108" s="14">
        <f>AI108*VLOOKUP('Données projet'!$B$10,Paramètres!$A$1:$I$89,3,0)*VLOOKUP('Données projet'!$B$10,Paramètres!$A$1:$I$89,5,0)</f>
        <v>337.66199999999975</v>
      </c>
      <c r="AK108" s="14">
        <f t="shared" si="89"/>
        <v>79.016707002632614</v>
      </c>
      <c r="AL108" s="22">
        <f t="shared" si="58"/>
        <v>725.71541469625129</v>
      </c>
      <c r="AM108" s="62">
        <f t="shared" si="59"/>
        <v>1004.454042777123</v>
      </c>
      <c r="AN108" s="62">
        <f ca="1">AVERAGE(OFFSET($AM$3,0,0,'Données projet'!$E$10+1,1))-AVERAGE(OFFSET($H$3,0,0,'Données projet'!$E$10+1,1))</f>
        <v>606.55142836375308</v>
      </c>
      <c r="AO108" s="62">
        <f t="shared" si="90"/>
        <v>325.72635759450861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3.7179487179487181</v>
      </c>
      <c r="BD108" s="13">
        <f>IF('Données projet'!$A$88&gt;35,BD107+BC108-BL107,IF(A108&lt;'Données projet'!$A$88,$BA$205^A108,IF(A108='Données projet'!$A$88,'Données projet'!$B$88,BD107+BC108-BL107)))</f>
        <v>369.87179487179498</v>
      </c>
      <c r="BE108" s="14">
        <f>BD108*VLOOKUP('Données projet'!$B$11,Paramètres!$A$1:$I$89,3,0)*VLOOKUP('Données projet'!$B$11,Paramètres!$A$1:$I$89,5,0)</f>
        <v>386.59000000000015</v>
      </c>
      <c r="BF108" s="14">
        <f t="shared" si="91"/>
        <v>89.05262159094805</v>
      </c>
      <c r="BG108" s="22">
        <f t="shared" si="61"/>
        <v>828.4108992709015</v>
      </c>
      <c r="BH108" s="62">
        <f t="shared" si="62"/>
        <v>1107.1495273517733</v>
      </c>
      <c r="BI108" s="62">
        <f ca="1">AVERAGE(OFFSET($BH$3,0,0,'Données projet'!$E$11+1,1))-AVERAGE(OFFSET($H$3,0,0,'Données projet'!$E$11+1,1))</f>
        <v>635.13577238794812</v>
      </c>
      <c r="BJ108" s="62">
        <f t="shared" si="92"/>
        <v>374.35810525172019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-6.8212102632969618E-13</v>
      </c>
      <c r="BZ108" s="14">
        <f>BY108*VLOOKUP('Données projet'!$B$12,Paramètres!$A$1:$I$89,3,0)*VLOOKUP('Données projet'!$B$12,Paramètres!$A$1:$I$89,5,0)</f>
        <v>-3.0149749363772573E-13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580.02817743695846</v>
      </c>
      <c r="CE108" s="62">
        <f t="shared" si="94"/>
        <v>551.23515633208865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7.882692307692305</v>
      </c>
      <c r="CT108" s="13">
        <f>IF('Données projet'!$A$140&gt;35,CT107+CS108-DB107,IF(A108&lt;'Données projet'!$A$140,$CQ$205^A108,IF(A108='Données projet'!$A$140,'Données projet'!$B$140,CT107+CS108-DB107)))</f>
        <v>381.66923076923092</v>
      </c>
      <c r="CU108" s="18">
        <f>CT108*VLOOKUP('Données projet'!$B$13,Paramètres!$A$1:$I$89,3,0)*VLOOKUP('Données projet'!$B$13,Paramètres!$A$1:$I$89,5,0)</f>
        <v>178.62120000000007</v>
      </c>
      <c r="CV108" s="14">
        <f t="shared" si="95"/>
        <v>45.015291421812051</v>
      </c>
      <c r="CW108" s="22">
        <f t="shared" si="67"/>
        <v>389.50022255965609</v>
      </c>
      <c r="CX108" s="62">
        <f t="shared" si="68"/>
        <v>668.23885064052786</v>
      </c>
      <c r="CY108" s="62">
        <f ca="1">AVERAGE(OFFSET($CX$3,0,0,'Données projet'!$E$13+1,1))-AVERAGE(OFFSET($H$3,0,0,'Données projet'!$E$13+1,1))</f>
        <v>321.05795935196863</v>
      </c>
      <c r="CZ108" s="62">
        <f t="shared" si="96"/>
        <v>209.59551322748908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5.4</v>
      </c>
      <c r="DO108" s="13">
        <f>IF('Données projet'!$A$166&gt;35,DO107+DN108-DW107,IF(A108&lt;'Données projet'!$A$166,$DL$205^A108,IF(A108='Données projet'!$A$166,'Données projet'!$B$166,DO107+DN108-DW107)))</f>
        <v>332.99999999999977</v>
      </c>
      <c r="DP108" s="18">
        <f>DO108*VLOOKUP('Données projet'!$B$14,Paramètres!$A$1:$I$89,3,0)*VLOOKUP('Données projet'!$B$14,Paramètres!$A$1:$I$89,5,0)</f>
        <v>358.4411999999997</v>
      </c>
      <c r="DQ108" s="14">
        <f t="shared" si="97"/>
        <v>83.298223876643164</v>
      </c>
      <c r="DR108" s="22">
        <f t="shared" si="70"/>
        <v>769.36282991848623</v>
      </c>
      <c r="DS108" s="62">
        <f t="shared" si="71"/>
        <v>1048.101457999358</v>
      </c>
      <c r="DT108" s="62">
        <f ca="1">AVERAGE(OFFSET($DS$3,0,0,'Données projet'!$E$14+1,1))-AVERAGE(OFFSET($H$3,0,0,'Données projet'!$E$14+1,1))</f>
        <v>638.58602907610805</v>
      </c>
      <c r="DU108" s="62">
        <f t="shared" si="98"/>
        <v>341.9250949809848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5.6843418860808015E-14</v>
      </c>
      <c r="EK108" s="18">
        <f>EJ108*VLOOKUP('Données projet'!$B$15,Paramètres!$A$1:$I$89,3,0)*VLOOKUP('Données projet'!$B$15,Paramètres!$A$1:$I$89,5,0)</f>
        <v>3.3992364478763198E-14</v>
      </c>
      <c r="EL108" s="14">
        <f t="shared" si="99"/>
        <v>5.790027782444094E-13</v>
      </c>
      <c r="EM108" s="22">
        <f t="shared" si="73"/>
        <v>1.0676332069095257E-12</v>
      </c>
      <c r="EN108" s="62">
        <f t="shared" si="74"/>
        <v>278.73862808087284</v>
      </c>
      <c r="EO108" s="62">
        <f ca="1">AVERAGE(OFFSET($EN$3,0,0,'Données projet'!$E$15+1,1))-AVERAGE(OFFSET($H$3,0,0,'Données projet'!$E$15+1,1))</f>
        <v>223.57443551076992</v>
      </c>
      <c r="EP108" s="62">
        <f t="shared" si="100"/>
        <v>382.12751862619427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6.0261129045551707</v>
      </c>
      <c r="EW108" s="23">
        <f>EXP(-LN(2)/25)*EW107+(1-EXP(-LN(2)/25))/(LN(2)/25)*Calculateur!ER108*Calculateur!ET108*VLOOKUP('Données projet'!$B$15,Paramètres!$A$1:$I$89,3,0)*0.475*44/12</f>
        <v>1.7350140289798306</v>
      </c>
      <c r="EX108" s="23">
        <f>EXP(-LN(2)/2)*EX107+(1-EXP(-LN(2)/2))/(LN(2)/2)*ER108*EU108*VLOOKUP('Données projet'!$B$15,Paramètres!$A$1:$I$89,3,0)*0.475*44/12</f>
        <v>5.2156712085951581E-11</v>
      </c>
      <c r="EY108" s="24">
        <f t="shared" si="75"/>
        <v>7.7611269335871578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1.3833333333333342</v>
      </c>
      <c r="FE108" s="13">
        <f>IF('Données projet'!$A$218&gt;35,FE107+FD108-FM107,IF(A108&lt;'Données projet'!$A$218,$FB$205^A108,IF(A108='Données projet'!$A$218,'Données projet'!$B$218,FE107+FD108-FM107)))</f>
        <v>109.61666666666662</v>
      </c>
      <c r="FF108" s="18">
        <f>FE108*VLOOKUP('Données projet'!$B$16,Paramètres!$A$1:$I$89,3,0)*VLOOKUP('Données projet'!$B$16,Paramètres!$A$1:$I$89,5,0)</f>
        <v>126.27839999999992</v>
      </c>
      <c r="FG108" s="14">
        <f t="shared" si="101"/>
        <v>33.134958547692797</v>
      </c>
      <c r="FH108" s="22">
        <f t="shared" si="76"/>
        <v>277.64493280389814</v>
      </c>
      <c r="FI108" s="62">
        <f t="shared" si="77"/>
        <v>556.38356088476985</v>
      </c>
      <c r="FJ108" s="62">
        <f ca="1">AVERAGE(OFFSET($FI$3,0,0,'Données projet'!$E$16+1,1))-AVERAGE(OFFSET($H$3,0,0,'Données projet'!$E$16+1,1))</f>
        <v>283.95543623515323</v>
      </c>
      <c r="FK108" s="62">
        <f t="shared" si="102"/>
        <v>196.96883829830929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5.6843418860808015E-14</v>
      </c>
      <c r="GA108" s="18">
        <f>FZ108*VLOOKUP('Données projet'!$B$17,Paramètres!$A$1:$I$89,3,0)*VLOOKUP('Données projet'!$B$17,Paramètres!$A$1:$I$89,5,0)</f>
        <v>3.3992364478763198E-14</v>
      </c>
      <c r="GB108" s="14">
        <f t="shared" si="103"/>
        <v>5.790027782444094E-13</v>
      </c>
      <c r="GC108" s="22">
        <f t="shared" si="79"/>
        <v>1.0676332069095257E-12</v>
      </c>
      <c r="GD108" s="62">
        <f t="shared" si="80"/>
        <v>278.73862808087284</v>
      </c>
      <c r="GE108" s="62">
        <f ca="1">AVERAGE(OFFSET($GD$3,0,0,'Données projet'!$E$17+1,1))-AVERAGE(OFFSET($H$3,0,0,'Données projet'!$E$17+1,1))</f>
        <v>223.57443551076992</v>
      </c>
      <c r="GF108" s="62">
        <f t="shared" si="104"/>
        <v>382.12751862619427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6.0261129045551707</v>
      </c>
      <c r="GM108" s="23">
        <f>EXP(-LN(2)/25)*GM107+(1-EXP(-LN(2)/25))/(LN(2)/25)*Calculateur!GH108*Calculateur!GJ108*VLOOKUP('Données projet'!$B$17,Paramètres!$A$1:$I$89,3,0)*0.475*44/12</f>
        <v>1.7350140289798306</v>
      </c>
      <c r="GN108" s="23">
        <f>EXP(-LN(2)/2)*GN107+(1-EXP(-LN(2)/2))/(LN(2)/2)*GH108*GK108*VLOOKUP('Données projet'!$B$17,Paramètres!$A$1:$I$89,3,0)*0.475*44/12</f>
        <v>5.2156712085951581E-11</v>
      </c>
      <c r="GO108" s="23">
        <f t="shared" si="81"/>
        <v>7.7611269335871578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6.4273627122339976</v>
      </c>
      <c r="GU108" s="13">
        <f>IF('Données projet'!$A$270&gt;35,GU107+GT108-HC107,IF(A108&lt;'Données projet'!$A$270,$GR$205^A108,IF(A108='Données projet'!$A$270,'Données projet'!$B$270,GU107+GT108-HC107)))</f>
        <v>386.09799998302907</v>
      </c>
      <c r="GV108" s="18">
        <f>GU108*VLOOKUP('Données projet'!$B$18,Paramètres!$A$1:$I$89,3,0)*VLOOKUP('Données projet'!$B$18,Paramètres!$A$1:$I$89,5,0)</f>
        <v>421.61901598146773</v>
      </c>
      <c r="GW108" s="14">
        <f t="shared" si="105"/>
        <v>96.146071775253134</v>
      </c>
      <c r="GX108" s="22">
        <f t="shared" si="82"/>
        <v>901.77419450962213</v>
      </c>
      <c r="GY108" s="62">
        <f t="shared" si="83"/>
        <v>1180.5128225904939</v>
      </c>
      <c r="GZ108" s="62">
        <f ca="1">AVERAGE(OFFSET($GY$3,0,0,'Données projet'!$E$18+1,1))-AVERAGE(OFFSET($H$3,0,0,'Données projet'!$E$18+1,1))</f>
        <v>754.33260592777049</v>
      </c>
      <c r="HA108" s="62">
        <f t="shared" si="106"/>
        <v>250.97643915279005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9">
        <f t="shared" si="56"/>
        <v>183.33333333333334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5.4</v>
      </c>
      <c r="N109" s="14">
        <f>IF('Données projet'!$A$36&gt;35,N108+M109-V108,IF(A109&lt;'Données projet'!$A$36,$K$205^A109,IF(A109='Données projet'!$A$36,'Données projet'!$B$36,N108+M109-V108)))</f>
        <v>338.39999999999975</v>
      </c>
      <c r="O109" s="14">
        <f>N109*VLOOKUP('Données projet'!$B$9,Paramètres!$A$1:$I$89,3,0)*VLOOKUP('Données projet'!$B$9,Paramètres!$A$1:$I$89,5,0)</f>
        <v>306.18431999999979</v>
      </c>
      <c r="P109" s="14">
        <f t="shared" si="87"/>
        <v>72.471390842310868</v>
      </c>
      <c r="Q109" s="22">
        <f t="shared" si="107"/>
        <v>659.49202971702437</v>
      </c>
      <c r="R109" s="62">
        <f t="shared" si="55"/>
        <v>938.48384330515341</v>
      </c>
      <c r="S109" s="62">
        <f ca="1">AVERAGE(OFFSET($R$3,0,0,'Données projet'!$E$9+1,1))-AVERAGE(OFFSET($H$3,0,0,'Données projet'!$E$9+1,1))</f>
        <v>550.39292625253665</v>
      </c>
      <c r="T109" s="62">
        <f t="shared" si="88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5.4</v>
      </c>
      <c r="AI109" s="14">
        <f>IF('Données projet'!$A$62&gt;35,AI108+AH109-AQ108,IF(A109&lt;'Données projet'!$A$62,$AF$205^A109,IF(A109='Données projet'!$A$62,'Données projet'!$B$62,AI108+AH109-AQ108)))</f>
        <v>338.39999999999975</v>
      </c>
      <c r="AJ109" s="14">
        <f>AI109*VLOOKUP('Données projet'!$B$10,Paramètres!$A$1:$I$89,3,0)*VLOOKUP('Données projet'!$B$10,Paramètres!$A$1:$I$89,5,0)</f>
        <v>343.13759999999974</v>
      </c>
      <c r="AK109" s="14">
        <f t="shared" si="89"/>
        <v>80.14784747368239</v>
      </c>
      <c r="AL109" s="22">
        <f t="shared" si="58"/>
        <v>737.22215434999634</v>
      </c>
      <c r="AM109" s="62">
        <f t="shared" si="59"/>
        <v>1016.2139679381255</v>
      </c>
      <c r="AN109" s="62">
        <f ca="1">AVERAGE(OFFSET($AM$3,0,0,'Données projet'!$E$10+1,1))-AVERAGE(OFFSET($H$3,0,0,'Données projet'!$E$10+1,1))</f>
        <v>606.55142836375308</v>
      </c>
      <c r="AO109" s="62">
        <f t="shared" si="90"/>
        <v>325.72635759450861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3.7179487179487181</v>
      </c>
      <c r="BD109" s="13">
        <f>IF('Données projet'!$A$88&gt;35,BD108+BC109-BL108,IF(A109&lt;'Données projet'!$A$88,$BA$205^A109,IF(A109='Données projet'!$A$88,'Données projet'!$B$88,BD108+BC109-BL108)))</f>
        <v>373.5897435897437</v>
      </c>
      <c r="BE109" s="14">
        <f>BD109*VLOOKUP('Données projet'!$B$11,Paramètres!$A$1:$I$89,3,0)*VLOOKUP('Données projet'!$B$11,Paramètres!$A$1:$I$89,5,0)</f>
        <v>390.47600000000011</v>
      </c>
      <c r="BF109" s="14">
        <f t="shared" si="91"/>
        <v>89.843120717993344</v>
      </c>
      <c r="BG109" s="22">
        <f t="shared" si="61"/>
        <v>836.55580191717183</v>
      </c>
      <c r="BH109" s="62">
        <f t="shared" si="62"/>
        <v>1115.5476155053009</v>
      </c>
      <c r="BI109" s="62">
        <f ca="1">AVERAGE(OFFSET($BH$3,0,0,'Données projet'!$E$11+1,1))-AVERAGE(OFFSET($H$3,0,0,'Données projet'!$E$11+1,1))</f>
        <v>635.13577238794812</v>
      </c>
      <c r="BJ109" s="62">
        <f t="shared" si="92"/>
        <v>374.35810525172019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-6.8212102632969618E-13</v>
      </c>
      <c r="BZ109" s="14">
        <f>BY109*VLOOKUP('Données projet'!$B$12,Paramètres!$A$1:$I$89,3,0)*VLOOKUP('Données projet'!$B$12,Paramètres!$A$1:$I$89,5,0)</f>
        <v>-3.0149749363772573E-13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580.02817743695846</v>
      </c>
      <c r="CE109" s="62">
        <f t="shared" si="94"/>
        <v>551.23515633208865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7.882692307692305</v>
      </c>
      <c r="CT109" s="13">
        <f>IF('Données projet'!$A$140&gt;35,CT108+CS109-DB108,IF(A109&lt;'Données projet'!$A$140,$CQ$205^A109,IF(A109='Données projet'!$A$140,'Données projet'!$B$140,CT108+CS109-DB108)))</f>
        <v>389.55192307692323</v>
      </c>
      <c r="CU109" s="18">
        <f>CT109*VLOOKUP('Données projet'!$B$13,Paramètres!$A$1:$I$89,3,0)*VLOOKUP('Données projet'!$B$13,Paramètres!$A$1:$I$89,5,0)</f>
        <v>182.31030000000007</v>
      </c>
      <c r="CV109" s="14">
        <f t="shared" si="95"/>
        <v>45.835803217507859</v>
      </c>
      <c r="CW109" s="22">
        <f t="shared" si="67"/>
        <v>397.35446310382622</v>
      </c>
      <c r="CX109" s="62">
        <f t="shared" si="68"/>
        <v>676.34627669195538</v>
      </c>
      <c r="CY109" s="62">
        <f ca="1">AVERAGE(OFFSET($CX$3,0,0,'Données projet'!$E$13+1,1))-AVERAGE(OFFSET($H$3,0,0,'Données projet'!$E$13+1,1))</f>
        <v>321.05795935196863</v>
      </c>
      <c r="CZ109" s="62">
        <f t="shared" si="96"/>
        <v>209.59551322748908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5.4</v>
      </c>
      <c r="DO109" s="13">
        <f>IF('Données projet'!$A$166&gt;35,DO108+DN109-DW108,IF(A109&lt;'Données projet'!$A$166,$DL$205^A109,IF(A109='Données projet'!$A$166,'Données projet'!$B$166,DO108+DN109-DW108)))</f>
        <v>338.39999999999975</v>
      </c>
      <c r="DP109" s="18">
        <f>DO109*VLOOKUP('Données projet'!$B$14,Paramètres!$A$1:$I$89,3,0)*VLOOKUP('Données projet'!$B$14,Paramètres!$A$1:$I$89,5,0)</f>
        <v>364.25375999999972</v>
      </c>
      <c r="DQ109" s="14">
        <f t="shared" si="97"/>
        <v>84.490655145517607</v>
      </c>
      <c r="DR109" s="22">
        <f t="shared" si="70"/>
        <v>781.56318971177598</v>
      </c>
      <c r="DS109" s="62">
        <f t="shared" si="71"/>
        <v>1060.5550032999051</v>
      </c>
      <c r="DT109" s="62">
        <f ca="1">AVERAGE(OFFSET($DS$3,0,0,'Données projet'!$E$14+1,1))-AVERAGE(OFFSET($H$3,0,0,'Données projet'!$E$14+1,1))</f>
        <v>638.58602907610805</v>
      </c>
      <c r="DU109" s="62">
        <f t="shared" si="98"/>
        <v>341.9250949809848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5.6843418860808015E-14</v>
      </c>
      <c r="EK109" s="18">
        <f>EJ109*VLOOKUP('Données projet'!$B$15,Paramètres!$A$1:$I$89,3,0)*VLOOKUP('Données projet'!$B$15,Paramètres!$A$1:$I$89,5,0)</f>
        <v>3.3992364478763198E-14</v>
      </c>
      <c r="EL109" s="14">
        <f t="shared" si="99"/>
        <v>5.790027782444094E-13</v>
      </c>
      <c r="EM109" s="22">
        <f t="shared" si="73"/>
        <v>1.0676332069095257E-12</v>
      </c>
      <c r="EN109" s="62">
        <f t="shared" si="74"/>
        <v>278.99181358813019</v>
      </c>
      <c r="EO109" s="62">
        <f ca="1">AVERAGE(OFFSET($EN$3,0,0,'Données projet'!$E$15+1,1))-AVERAGE(OFFSET($H$3,0,0,'Données projet'!$E$15+1,1))</f>
        <v>223.57443551076992</v>
      </c>
      <c r="EP109" s="62">
        <f t="shared" si="100"/>
        <v>382.12751862619427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5.9079445060627833</v>
      </c>
      <c r="EW109" s="23">
        <f>EXP(-LN(2)/25)*EW108+(1-EXP(-LN(2)/25))/(LN(2)/25)*Calculateur!ER109*Calculateur!ET109*VLOOKUP('Données projet'!$B$15,Paramètres!$A$1:$I$89,3,0)*0.475*44/12</f>
        <v>1.6875699791169547</v>
      </c>
      <c r="EX109" s="23">
        <f>EXP(-LN(2)/2)*EX108+(1-EXP(-LN(2)/2))/(LN(2)/2)*ER109*EU109*VLOOKUP('Données projet'!$B$15,Paramètres!$A$1:$I$89,3,0)*0.475*44/12</f>
        <v>3.6880364800370722E-11</v>
      </c>
      <c r="EY109" s="24">
        <f t="shared" si="75"/>
        <v>7.5955144852166185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1.3833333333333342</v>
      </c>
      <c r="FE109" s="13">
        <f>IF('Données projet'!$A$218&gt;35,FE108+FD109-FM108,IF(A109&lt;'Données projet'!$A$218,$FB$205^A109,IF(A109='Données projet'!$A$218,'Données projet'!$B$218,FE108+FD109-FM108)))</f>
        <v>110.99999999999996</v>
      </c>
      <c r="FF109" s="18">
        <f>FE109*VLOOKUP('Données projet'!$B$16,Paramètres!$A$1:$I$89,3,0)*VLOOKUP('Données projet'!$B$16,Paramètres!$A$1:$I$89,5,0)</f>
        <v>127.87199999999994</v>
      </c>
      <c r="FG109" s="14">
        <f t="shared" si="101"/>
        <v>33.504169678639819</v>
      </c>
      <c r="FH109" s="22">
        <f t="shared" si="76"/>
        <v>281.06349552363093</v>
      </c>
      <c r="FI109" s="62">
        <f t="shared" si="77"/>
        <v>560.05530911176004</v>
      </c>
      <c r="FJ109" s="62">
        <f ca="1">AVERAGE(OFFSET($FI$3,0,0,'Données projet'!$E$16+1,1))-AVERAGE(OFFSET($H$3,0,0,'Données projet'!$E$16+1,1))</f>
        <v>283.95543623515323</v>
      </c>
      <c r="FK109" s="62">
        <f t="shared" si="102"/>
        <v>196.96883829830929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5.6843418860808015E-14</v>
      </c>
      <c r="GA109" s="18">
        <f>FZ109*VLOOKUP('Données projet'!$B$17,Paramètres!$A$1:$I$89,3,0)*VLOOKUP('Données projet'!$B$17,Paramètres!$A$1:$I$89,5,0)</f>
        <v>3.3992364478763198E-14</v>
      </c>
      <c r="GB109" s="14">
        <f t="shared" si="103"/>
        <v>5.790027782444094E-13</v>
      </c>
      <c r="GC109" s="22">
        <f t="shared" si="79"/>
        <v>1.0676332069095257E-12</v>
      </c>
      <c r="GD109" s="62">
        <f t="shared" si="80"/>
        <v>278.99181358813019</v>
      </c>
      <c r="GE109" s="62">
        <f ca="1">AVERAGE(OFFSET($GD$3,0,0,'Données projet'!$E$17+1,1))-AVERAGE(OFFSET($H$3,0,0,'Données projet'!$E$17+1,1))</f>
        <v>223.57443551076992</v>
      </c>
      <c r="GF109" s="62">
        <f t="shared" si="104"/>
        <v>382.12751862619427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5.9079445060627833</v>
      </c>
      <c r="GM109" s="23">
        <f>EXP(-LN(2)/25)*GM108+(1-EXP(-LN(2)/25))/(LN(2)/25)*Calculateur!GH109*Calculateur!GJ109*VLOOKUP('Données projet'!$B$17,Paramètres!$A$1:$I$89,3,0)*0.475*44/12</f>
        <v>1.6875699791169547</v>
      </c>
      <c r="GN109" s="23">
        <f>EXP(-LN(2)/2)*GN108+(1-EXP(-LN(2)/2))/(LN(2)/2)*GH109*GK109*VLOOKUP('Données projet'!$B$17,Paramètres!$A$1:$I$89,3,0)*0.475*44/12</f>
        <v>3.6880364800370722E-11</v>
      </c>
      <c r="GO109" s="23">
        <f t="shared" si="81"/>
        <v>7.5955144852166185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6.4273627122339976</v>
      </c>
      <c r="GU109" s="13">
        <f>IF('Données projet'!$A$270&gt;35,GU108+GT109-HC108,IF(A109&lt;'Données projet'!$A$270,$GR$205^A109,IF(A109='Données projet'!$A$270,'Données projet'!$B$270,GU108+GT109-HC108)))</f>
        <v>392.52536269526308</v>
      </c>
      <c r="GV109" s="18">
        <f>GU109*VLOOKUP('Données projet'!$B$18,Paramètres!$A$1:$I$89,3,0)*VLOOKUP('Données projet'!$B$18,Paramètres!$A$1:$I$89,5,0)</f>
        <v>428.63769606322728</v>
      </c>
      <c r="GW109" s="14">
        <f t="shared" si="105"/>
        <v>97.558948021828613</v>
      </c>
      <c r="GX109" s="22">
        <f t="shared" si="82"/>
        <v>916.45915511480564</v>
      </c>
      <c r="GY109" s="62">
        <f t="shared" si="83"/>
        <v>1195.4509687029347</v>
      </c>
      <c r="GZ109" s="62">
        <f ca="1">AVERAGE(OFFSET($GY$3,0,0,'Données projet'!$E$18+1,1))-AVERAGE(OFFSET($H$3,0,0,'Données projet'!$E$18+1,1))</f>
        <v>754.33260592777049</v>
      </c>
      <c r="HA109" s="62">
        <f t="shared" si="106"/>
        <v>250.97643915279005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9">
        <f t="shared" si="56"/>
        <v>183.33333333333334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5.4</v>
      </c>
      <c r="N110" s="14">
        <f>IF('Données projet'!$A$36&gt;35,N109+M110-V109,IF(A110&lt;'Données projet'!$A$36,$K$205^A110,IF(A110='Données projet'!$A$36,'Données projet'!$B$36,N109+M110-V109)))</f>
        <v>343.79999999999973</v>
      </c>
      <c r="O110" s="14">
        <f>N110*VLOOKUP('Données projet'!$B$9,Paramètres!$A$1:$I$89,3,0)*VLOOKUP('Données projet'!$B$9,Paramètres!$A$1:$I$89,5,0)</f>
        <v>311.07023999999973</v>
      </c>
      <c r="P110" s="14">
        <f t="shared" si="87"/>
        <v>73.492294028732417</v>
      </c>
      <c r="Q110" s="22">
        <f t="shared" si="107"/>
        <v>669.77974676670851</v>
      </c>
      <c r="R110" s="62">
        <f t="shared" si="55"/>
        <v>949.02035365958216</v>
      </c>
      <c r="S110" s="62">
        <f ca="1">AVERAGE(OFFSET($R$3,0,0,'Données projet'!$E$9+1,1))-AVERAGE(OFFSET($H$3,0,0,'Données projet'!$E$9+1,1))</f>
        <v>550.39292625253665</v>
      </c>
      <c r="T110" s="62">
        <f t="shared" si="88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5.4</v>
      </c>
      <c r="AI110" s="14">
        <f>IF('Données projet'!$A$62&gt;35,AI109+AH110-AQ109,IF(A110&lt;'Données projet'!$A$62,$AF$205^A110,IF(A110='Données projet'!$A$62,'Données projet'!$B$62,AI109+AH110-AQ109)))</f>
        <v>343.79999999999973</v>
      </c>
      <c r="AJ110" s="14">
        <f>AI110*VLOOKUP('Données projet'!$B$10,Paramètres!$A$1:$I$89,3,0)*VLOOKUP('Données projet'!$B$10,Paramètres!$A$1:$I$89,5,0)</f>
        <v>348.61319999999972</v>
      </c>
      <c r="AK110" s="14">
        <f t="shared" si="89"/>
        <v>81.276888767352929</v>
      </c>
      <c r="AL110" s="22">
        <f t="shared" si="58"/>
        <v>748.72523793647258</v>
      </c>
      <c r="AM110" s="62">
        <f t="shared" si="59"/>
        <v>1027.9658448293462</v>
      </c>
      <c r="AN110" s="62">
        <f ca="1">AVERAGE(OFFSET($AM$3,0,0,'Données projet'!$E$10+1,1))-AVERAGE(OFFSET($H$3,0,0,'Données projet'!$E$10+1,1))</f>
        <v>606.55142836375308</v>
      </c>
      <c r="AO110" s="62">
        <f t="shared" si="90"/>
        <v>325.72635759450861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3.7179487179487181</v>
      </c>
      <c r="BD110" s="13">
        <f>IF('Données projet'!$A$88&gt;35,BD109+BC110-BL109,IF(A110&lt;'Données projet'!$A$88,$BA$205^A110,IF(A110='Données projet'!$A$88,'Données projet'!$B$88,BD109+BC110-BL109)))</f>
        <v>377.30769230769243</v>
      </c>
      <c r="BE110" s="14">
        <f>BD110*VLOOKUP('Données projet'!$B$11,Paramètres!$A$1:$I$89,3,0)*VLOOKUP('Données projet'!$B$11,Paramètres!$A$1:$I$89,5,0)</f>
        <v>394.36200000000014</v>
      </c>
      <c r="BF110" s="14">
        <f t="shared" si="91"/>
        <v>90.632704638979718</v>
      </c>
      <c r="BG110" s="22">
        <f t="shared" si="61"/>
        <v>844.69911057955653</v>
      </c>
      <c r="BH110" s="62">
        <f t="shared" si="62"/>
        <v>1123.9397174724302</v>
      </c>
      <c r="BI110" s="62">
        <f ca="1">AVERAGE(OFFSET($BH$3,0,0,'Données projet'!$E$11+1,1))-AVERAGE(OFFSET($H$3,0,0,'Données projet'!$E$11+1,1))</f>
        <v>635.13577238794812</v>
      </c>
      <c r="BJ110" s="62">
        <f t="shared" si="92"/>
        <v>374.35810525172019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-6.8212102632969618E-13</v>
      </c>
      <c r="BZ110" s="14">
        <f>BY110*VLOOKUP('Données projet'!$B$12,Paramètres!$A$1:$I$89,3,0)*VLOOKUP('Données projet'!$B$12,Paramètres!$A$1:$I$89,5,0)</f>
        <v>-3.0149749363772573E-13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580.02817743695846</v>
      </c>
      <c r="CE110" s="62">
        <f t="shared" si="94"/>
        <v>551.23515633208865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7.882692307692305</v>
      </c>
      <c r="CT110" s="13">
        <f>IF('Données projet'!$A$140&gt;35,CT109+CS110-DB109,IF(A110&lt;'Données projet'!$A$140,$CQ$205^A110,IF(A110='Données projet'!$A$140,'Données projet'!$B$140,CT109+CS110-DB109)))</f>
        <v>397.43461538461554</v>
      </c>
      <c r="CU110" s="18">
        <f>CT110*VLOOKUP('Données projet'!$B$13,Paramètres!$A$1:$I$89,3,0)*VLOOKUP('Données projet'!$B$13,Paramètres!$A$1:$I$89,5,0)</f>
        <v>185.99940000000007</v>
      </c>
      <c r="CV110" s="14">
        <f t="shared" si="95"/>
        <v>46.654384525692834</v>
      </c>
      <c r="CW110" s="22">
        <f t="shared" si="67"/>
        <v>405.20534138224843</v>
      </c>
      <c r="CX110" s="62">
        <f t="shared" si="68"/>
        <v>684.44594827512208</v>
      </c>
      <c r="CY110" s="62">
        <f ca="1">AVERAGE(OFFSET($CX$3,0,0,'Données projet'!$E$13+1,1))-AVERAGE(OFFSET($H$3,0,0,'Données projet'!$E$13+1,1))</f>
        <v>321.05795935196863</v>
      </c>
      <c r="CZ110" s="62">
        <f t="shared" si="96"/>
        <v>209.59551322748908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5.4</v>
      </c>
      <c r="DO110" s="13">
        <f>IF('Données projet'!$A$166&gt;35,DO109+DN110-DW109,IF(A110&lt;'Données projet'!$A$166,$DL$205^A110,IF(A110='Données projet'!$A$166,'Données projet'!$B$166,DO109+DN110-DW109)))</f>
        <v>343.79999999999973</v>
      </c>
      <c r="DP110" s="18">
        <f>DO110*VLOOKUP('Données projet'!$B$14,Paramètres!$A$1:$I$89,3,0)*VLOOKUP('Données projet'!$B$14,Paramètres!$A$1:$I$89,5,0)</f>
        <v>370.06631999999968</v>
      </c>
      <c r="DQ110" s="14">
        <f t="shared" si="97"/>
        <v>85.68087349317679</v>
      </c>
      <c r="DR110" s="22">
        <f t="shared" si="70"/>
        <v>793.75969533394903</v>
      </c>
      <c r="DS110" s="62">
        <f t="shared" si="71"/>
        <v>1073.0003022268227</v>
      </c>
      <c r="DT110" s="62">
        <f ca="1">AVERAGE(OFFSET($DS$3,0,0,'Données projet'!$E$14+1,1))-AVERAGE(OFFSET($H$3,0,0,'Données projet'!$E$14+1,1))</f>
        <v>638.58602907610805</v>
      </c>
      <c r="DU110" s="62">
        <f t="shared" si="98"/>
        <v>341.9250949809848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5.6843418860808015E-14</v>
      </c>
      <c r="EK110" s="18">
        <f>EJ110*VLOOKUP('Données projet'!$B$15,Paramètres!$A$1:$I$89,3,0)*VLOOKUP('Données projet'!$B$15,Paramètres!$A$1:$I$89,5,0)</f>
        <v>3.3992364478763198E-14</v>
      </c>
      <c r="EL110" s="14">
        <f t="shared" si="99"/>
        <v>5.790027782444094E-13</v>
      </c>
      <c r="EM110" s="22">
        <f t="shared" si="73"/>
        <v>1.0676332069095257E-12</v>
      </c>
      <c r="EN110" s="62">
        <f t="shared" si="74"/>
        <v>279.24060689287472</v>
      </c>
      <c r="EO110" s="62">
        <f ca="1">AVERAGE(OFFSET($EN$3,0,0,'Données projet'!$E$15+1,1))-AVERAGE(OFFSET($H$3,0,0,'Données projet'!$E$15+1,1))</f>
        <v>223.57443551076992</v>
      </c>
      <c r="EP110" s="62">
        <f t="shared" si="100"/>
        <v>382.12751862619427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5.7920933177892255</v>
      </c>
      <c r="EW110" s="23">
        <f>EXP(-LN(2)/25)*EW109+(1-EXP(-LN(2)/25))/(LN(2)/25)*Calculateur!ER110*Calculateur!ET110*VLOOKUP('Données projet'!$B$15,Paramètres!$A$1:$I$89,3,0)*0.475*44/12</f>
        <v>1.6414232892925533</v>
      </c>
      <c r="EX110" s="23">
        <f>EXP(-LN(2)/2)*EX109+(1-EXP(-LN(2)/2))/(LN(2)/2)*ER110*EU110*VLOOKUP('Données projet'!$B$15,Paramètres!$A$1:$I$89,3,0)*0.475*44/12</f>
        <v>2.607835604297579E-11</v>
      </c>
      <c r="EY110" s="24">
        <f t="shared" si="75"/>
        <v>7.4335166071078573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1.3833333333333342</v>
      </c>
      <c r="FE110" s="13">
        <f>IF('Données projet'!$A$218&gt;35,FE109+FD110-FM109,IF(A110&lt;'Données projet'!$A$218,$FB$205^A110,IF(A110='Données projet'!$A$218,'Données projet'!$B$218,FE109+FD110-FM109)))</f>
        <v>112.3833333333333</v>
      </c>
      <c r="FF110" s="18">
        <f>FE110*VLOOKUP('Données projet'!$B$16,Paramètres!$A$1:$I$89,3,0)*VLOOKUP('Données projet'!$B$16,Paramètres!$A$1:$I$89,5,0)</f>
        <v>129.46559999999994</v>
      </c>
      <c r="FG110" s="14">
        <f t="shared" si="101"/>
        <v>33.872845594243692</v>
      </c>
      <c r="FH110" s="22">
        <f t="shared" si="76"/>
        <v>284.48112607664098</v>
      </c>
      <c r="FI110" s="62">
        <f t="shared" si="77"/>
        <v>563.72173296951462</v>
      </c>
      <c r="FJ110" s="62">
        <f ca="1">AVERAGE(OFFSET($FI$3,0,0,'Données projet'!$E$16+1,1))-AVERAGE(OFFSET($H$3,0,0,'Données projet'!$E$16+1,1))</f>
        <v>283.95543623515323</v>
      </c>
      <c r="FK110" s="62">
        <f t="shared" si="102"/>
        <v>196.96883829830929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5.6843418860808015E-14</v>
      </c>
      <c r="GA110" s="18">
        <f>FZ110*VLOOKUP('Données projet'!$B$17,Paramètres!$A$1:$I$89,3,0)*VLOOKUP('Données projet'!$B$17,Paramètres!$A$1:$I$89,5,0)</f>
        <v>3.3992364478763198E-14</v>
      </c>
      <c r="GB110" s="14">
        <f t="shared" si="103"/>
        <v>5.790027782444094E-13</v>
      </c>
      <c r="GC110" s="22">
        <f t="shared" si="79"/>
        <v>1.0676332069095257E-12</v>
      </c>
      <c r="GD110" s="62">
        <f t="shared" si="80"/>
        <v>279.24060689287472</v>
      </c>
      <c r="GE110" s="62">
        <f ca="1">AVERAGE(OFFSET($GD$3,0,0,'Données projet'!$E$17+1,1))-AVERAGE(OFFSET($H$3,0,0,'Données projet'!$E$17+1,1))</f>
        <v>223.57443551076992</v>
      </c>
      <c r="GF110" s="62">
        <f t="shared" si="104"/>
        <v>382.12751862619427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5.7920933177892255</v>
      </c>
      <c r="GM110" s="23">
        <f>EXP(-LN(2)/25)*GM109+(1-EXP(-LN(2)/25))/(LN(2)/25)*Calculateur!GH110*Calculateur!GJ110*VLOOKUP('Données projet'!$B$17,Paramètres!$A$1:$I$89,3,0)*0.475*44/12</f>
        <v>1.6414232892925533</v>
      </c>
      <c r="GN110" s="23">
        <f>EXP(-LN(2)/2)*GN109+(1-EXP(-LN(2)/2))/(LN(2)/2)*GH110*GK110*VLOOKUP('Données projet'!$B$17,Paramètres!$A$1:$I$89,3,0)*0.475*44/12</f>
        <v>2.607835604297579E-11</v>
      </c>
      <c r="GO110" s="23">
        <f t="shared" si="81"/>
        <v>7.4335166071078573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6.4273627122339976</v>
      </c>
      <c r="GU110" s="13">
        <f>IF('Données projet'!$A$270&gt;35,GU109+GT110-HC109,IF(A110&lt;'Données projet'!$A$270,$GR$205^A110,IF(A110='Données projet'!$A$270,'Données projet'!$B$270,GU109+GT110-HC109)))</f>
        <v>398.9527254074971</v>
      </c>
      <c r="GV110" s="18">
        <f>GU110*VLOOKUP('Données projet'!$B$18,Paramètres!$A$1:$I$89,3,0)*VLOOKUP('Données projet'!$B$18,Paramètres!$A$1:$I$89,5,0)</f>
        <v>435.65637614498684</v>
      </c>
      <c r="GW110" s="14">
        <f t="shared" si="105"/>
        <v>98.969133793805398</v>
      </c>
      <c r="GX110" s="22">
        <f t="shared" si="82"/>
        <v>931.13942981006312</v>
      </c>
      <c r="GY110" s="62">
        <f t="shared" si="83"/>
        <v>1210.3800367029366</v>
      </c>
      <c r="GZ110" s="62">
        <f ca="1">AVERAGE(OFFSET($GY$3,0,0,'Données projet'!$E$18+1,1))-AVERAGE(OFFSET($H$3,0,0,'Données projet'!$E$18+1,1))</f>
        <v>754.33260592777049</v>
      </c>
      <c r="HA110" s="62">
        <f t="shared" si="106"/>
        <v>250.97643915279005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9">
        <f t="shared" si="56"/>
        <v>183.33333333333334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5.4</v>
      </c>
      <c r="N111" s="14">
        <f>IF('Données projet'!$A$36&gt;35,N110+M111-V110,IF(A111&lt;'Données projet'!$A$36,$K$205^A111,IF(A111='Données projet'!$A$36,'Données projet'!$B$36,N110+M111-V110)))</f>
        <v>349.1999999999997</v>
      </c>
      <c r="O111" s="14">
        <f>N111*VLOOKUP('Données projet'!$B$9,Paramètres!$A$1:$I$89,3,0)*VLOOKUP('Données projet'!$B$9,Paramètres!$A$1:$I$89,5,0)</f>
        <v>315.95615999999973</v>
      </c>
      <c r="P111" s="14">
        <f t="shared" si="87"/>
        <v>74.511332350300975</v>
      </c>
      <c r="Q111" s="22">
        <f t="shared" si="107"/>
        <v>680.06421584344037</v>
      </c>
      <c r="R111" s="62">
        <f t="shared" si="55"/>
        <v>959.54930003343975</v>
      </c>
      <c r="S111" s="62">
        <f ca="1">AVERAGE(OFFSET($R$3,0,0,'Données projet'!$E$9+1,1))-AVERAGE(OFFSET($H$3,0,0,'Données projet'!$E$9+1,1))</f>
        <v>550.39292625253665</v>
      </c>
      <c r="T111" s="62">
        <f t="shared" si="88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5.4</v>
      </c>
      <c r="AI111" s="14">
        <f>IF('Données projet'!$A$62&gt;35,AI110+AH111-AQ110,IF(A111&lt;'Données projet'!$A$62,$AF$205^A111,IF(A111='Données projet'!$A$62,'Données projet'!$B$62,AI110+AH111-AQ110)))</f>
        <v>349.1999999999997</v>
      </c>
      <c r="AJ111" s="14">
        <f>AI111*VLOOKUP('Données projet'!$B$10,Paramètres!$A$1:$I$89,3,0)*VLOOKUP('Données projet'!$B$10,Paramètres!$A$1:$I$89,5,0)</f>
        <v>354.08879999999971</v>
      </c>
      <c r="AK111" s="14">
        <f t="shared" si="89"/>
        <v>82.403867662302346</v>
      </c>
      <c r="AL111" s="22">
        <f t="shared" si="58"/>
        <v>760.22472951184272</v>
      </c>
      <c r="AM111" s="62">
        <f t="shared" si="59"/>
        <v>1039.709813701842</v>
      </c>
      <c r="AN111" s="62">
        <f ca="1">AVERAGE(OFFSET($AM$3,0,0,'Données projet'!$E$10+1,1))-AVERAGE(OFFSET($H$3,0,0,'Données projet'!$E$10+1,1))</f>
        <v>606.55142836375308</v>
      </c>
      <c r="AO111" s="62">
        <f t="shared" si="90"/>
        <v>325.72635759450861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3.7179487179487181</v>
      </c>
      <c r="BD111" s="13">
        <f>IF('Données projet'!$A$88&gt;35,BD110+BC111-BL110,IF(A111&lt;'Données projet'!$A$88,$BA$205^A111,IF(A111='Données projet'!$A$88,'Données projet'!$B$88,BD110+BC111-BL110)))</f>
        <v>381.02564102564116</v>
      </c>
      <c r="BE111" s="14">
        <f>BD111*VLOOKUP('Données projet'!$B$11,Paramètres!$A$1:$I$89,3,0)*VLOOKUP('Données projet'!$B$11,Paramètres!$A$1:$I$89,5,0)</f>
        <v>398.24800000000016</v>
      </c>
      <c r="BF111" s="14">
        <f t="shared" si="91"/>
        <v>91.421383416537481</v>
      </c>
      <c r="BG111" s="22">
        <f t="shared" si="61"/>
        <v>852.84084278380305</v>
      </c>
      <c r="BH111" s="62">
        <f t="shared" si="62"/>
        <v>1132.3259269738023</v>
      </c>
      <c r="BI111" s="62">
        <f ca="1">AVERAGE(OFFSET($BH$3,0,0,'Données projet'!$E$11+1,1))-AVERAGE(OFFSET($H$3,0,0,'Données projet'!$E$11+1,1))</f>
        <v>635.13577238794812</v>
      </c>
      <c r="BJ111" s="62">
        <f t="shared" si="92"/>
        <v>374.35810525172019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-6.8212102632969618E-13</v>
      </c>
      <c r="BZ111" s="14">
        <f>BY111*VLOOKUP('Données projet'!$B$12,Paramètres!$A$1:$I$89,3,0)*VLOOKUP('Données projet'!$B$12,Paramètres!$A$1:$I$89,5,0)</f>
        <v>-3.0149749363772573E-13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580.02817743695846</v>
      </c>
      <c r="CE111" s="62">
        <f t="shared" si="94"/>
        <v>551.23515633208865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7.882692307692305</v>
      </c>
      <c r="CT111" s="13">
        <f>IF('Données projet'!$A$140&gt;35,CT110+CS111-DB110,IF(A111&lt;'Données projet'!$A$140,$CQ$205^A111,IF(A111='Données projet'!$A$140,'Données projet'!$B$140,CT110+CS111-DB110)))</f>
        <v>405.31730769230785</v>
      </c>
      <c r="CU111" s="18">
        <f>CT111*VLOOKUP('Données projet'!$B$13,Paramètres!$A$1:$I$89,3,0)*VLOOKUP('Données projet'!$B$13,Paramètres!$A$1:$I$89,5,0)</f>
        <v>189.68850000000006</v>
      </c>
      <c r="CV111" s="14">
        <f t="shared" si="95"/>
        <v>47.471078048734064</v>
      </c>
      <c r="CW111" s="22">
        <f t="shared" si="67"/>
        <v>413.05293176821192</v>
      </c>
      <c r="CX111" s="62">
        <f t="shared" si="68"/>
        <v>692.53801595821119</v>
      </c>
      <c r="CY111" s="62">
        <f ca="1">AVERAGE(OFFSET($CX$3,0,0,'Données projet'!$E$13+1,1))-AVERAGE(OFFSET($H$3,0,0,'Données projet'!$E$13+1,1))</f>
        <v>321.05795935196863</v>
      </c>
      <c r="CZ111" s="62">
        <f t="shared" si="96"/>
        <v>209.59551322748908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5.4</v>
      </c>
      <c r="DO111" s="13">
        <f>IF('Données projet'!$A$166&gt;35,DO110+DN111-DW110,IF(A111&lt;'Données projet'!$A$166,$DL$205^A111,IF(A111='Données projet'!$A$166,'Données projet'!$B$166,DO110+DN111-DW110)))</f>
        <v>349.1999999999997</v>
      </c>
      <c r="DP111" s="18">
        <f>DO111*VLOOKUP('Données projet'!$B$14,Paramètres!$A$1:$I$89,3,0)*VLOOKUP('Données projet'!$B$14,Paramètres!$A$1:$I$89,5,0)</f>
        <v>375.8788799999997</v>
      </c>
      <c r="DQ111" s="14">
        <f t="shared" si="97"/>
        <v>86.868917691128757</v>
      </c>
      <c r="DR111" s="22">
        <f t="shared" si="70"/>
        <v>805.95241431204852</v>
      </c>
      <c r="DS111" s="62">
        <f t="shared" si="71"/>
        <v>1085.4374985020479</v>
      </c>
      <c r="DT111" s="62">
        <f ca="1">AVERAGE(OFFSET($DS$3,0,0,'Données projet'!$E$14+1,1))-AVERAGE(OFFSET($H$3,0,0,'Données projet'!$E$14+1,1))</f>
        <v>638.58602907610805</v>
      </c>
      <c r="DU111" s="62">
        <f t="shared" si="98"/>
        <v>341.9250949809848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5.6843418860808015E-14</v>
      </c>
      <c r="EK111" s="18">
        <f>EJ111*VLOOKUP('Données projet'!$B$15,Paramètres!$A$1:$I$89,3,0)*VLOOKUP('Données projet'!$B$15,Paramètres!$A$1:$I$89,5,0)</f>
        <v>3.3992364478763198E-14</v>
      </c>
      <c r="EL111" s="14">
        <f t="shared" si="99"/>
        <v>5.790027782444094E-13</v>
      </c>
      <c r="EM111" s="22">
        <f t="shared" si="73"/>
        <v>1.0676332069095257E-12</v>
      </c>
      <c r="EN111" s="62">
        <f t="shared" si="74"/>
        <v>279.48508419000041</v>
      </c>
      <c r="EO111" s="62">
        <f ca="1">AVERAGE(OFFSET($EN$3,0,0,'Données projet'!$E$15+1,1))-AVERAGE(OFFSET($H$3,0,0,'Données projet'!$E$15+1,1))</f>
        <v>223.57443551076992</v>
      </c>
      <c r="EP111" s="62">
        <f t="shared" si="100"/>
        <v>382.12751862619427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5.6785139006554646</v>
      </c>
      <c r="EW111" s="23">
        <f>EXP(-LN(2)/25)*EW110+(1-EXP(-LN(2)/25))/(LN(2)/25)*Calculateur!ER111*Calculateur!ET111*VLOOKUP('Données projet'!$B$15,Paramètres!$A$1:$I$89,3,0)*0.475*44/12</f>
        <v>1.5965384831281493</v>
      </c>
      <c r="EX111" s="23">
        <f>EXP(-LN(2)/2)*EX110+(1-EXP(-LN(2)/2))/(LN(2)/2)*ER111*EU111*VLOOKUP('Données projet'!$B$15,Paramètres!$A$1:$I$89,3,0)*0.475*44/12</f>
        <v>1.8440182400185361E-11</v>
      </c>
      <c r="EY111" s="24">
        <f t="shared" si="75"/>
        <v>7.2750523838020538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1.3833333333333342</v>
      </c>
      <c r="FE111" s="13">
        <f>IF('Données projet'!$A$218&gt;35,FE110+FD111-FM110,IF(A111&lt;'Données projet'!$A$218,$FB$205^A111,IF(A111='Données projet'!$A$218,'Données projet'!$B$218,FE110+FD111-FM110)))</f>
        <v>113.76666666666664</v>
      </c>
      <c r="FF111" s="18">
        <f>FE111*VLOOKUP('Données projet'!$B$16,Paramètres!$A$1:$I$89,3,0)*VLOOKUP('Données projet'!$B$16,Paramètres!$A$1:$I$89,5,0)</f>
        <v>131.05919999999995</v>
      </c>
      <c r="FG111" s="14">
        <f t="shared" si="101"/>
        <v>34.240993644452693</v>
      </c>
      <c r="FH111" s="22">
        <f t="shared" si="76"/>
        <v>287.89783726408837</v>
      </c>
      <c r="FI111" s="62">
        <f t="shared" si="77"/>
        <v>567.38292145408764</v>
      </c>
      <c r="FJ111" s="62">
        <f ca="1">AVERAGE(OFFSET($FI$3,0,0,'Données projet'!$E$16+1,1))-AVERAGE(OFFSET($H$3,0,0,'Données projet'!$E$16+1,1))</f>
        <v>283.95543623515323</v>
      </c>
      <c r="FK111" s="62">
        <f t="shared" si="102"/>
        <v>196.96883829830929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5.6843418860808015E-14</v>
      </c>
      <c r="GA111" s="18">
        <f>FZ111*VLOOKUP('Données projet'!$B$17,Paramètres!$A$1:$I$89,3,0)*VLOOKUP('Données projet'!$B$17,Paramètres!$A$1:$I$89,5,0)</f>
        <v>3.3992364478763198E-14</v>
      </c>
      <c r="GB111" s="14">
        <f t="shared" si="103"/>
        <v>5.790027782444094E-13</v>
      </c>
      <c r="GC111" s="22">
        <f t="shared" si="79"/>
        <v>1.0676332069095257E-12</v>
      </c>
      <c r="GD111" s="62">
        <f t="shared" si="80"/>
        <v>279.48508419000041</v>
      </c>
      <c r="GE111" s="62">
        <f ca="1">AVERAGE(OFFSET($GD$3,0,0,'Données projet'!$E$17+1,1))-AVERAGE(OFFSET($H$3,0,0,'Données projet'!$E$17+1,1))</f>
        <v>223.57443551076992</v>
      </c>
      <c r="GF111" s="62">
        <f t="shared" si="104"/>
        <v>382.12751862619427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5.6785139006554646</v>
      </c>
      <c r="GM111" s="23">
        <f>EXP(-LN(2)/25)*GM110+(1-EXP(-LN(2)/25))/(LN(2)/25)*Calculateur!GH111*Calculateur!GJ111*VLOOKUP('Données projet'!$B$17,Paramètres!$A$1:$I$89,3,0)*0.475*44/12</f>
        <v>1.5965384831281493</v>
      </c>
      <c r="GN111" s="23">
        <f>EXP(-LN(2)/2)*GN110+(1-EXP(-LN(2)/2))/(LN(2)/2)*GH111*GK111*VLOOKUP('Données projet'!$B$17,Paramètres!$A$1:$I$89,3,0)*0.475*44/12</f>
        <v>1.8440182400185361E-11</v>
      </c>
      <c r="GO111" s="23">
        <f t="shared" si="81"/>
        <v>7.2750523838020538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6.4273627122339976</v>
      </c>
      <c r="GU111" s="13">
        <f>IF('Données projet'!$A$270&gt;35,GU110+GT111-HC110,IF(A111&lt;'Données projet'!$A$270,$GR$205^A111,IF(A111='Données projet'!$A$270,'Données projet'!$B$270,GU110+GT111-HC110)))</f>
        <v>405.38008811973111</v>
      </c>
      <c r="GV111" s="18">
        <f>GU111*VLOOKUP('Données projet'!$B$18,Paramètres!$A$1:$I$89,3,0)*VLOOKUP('Données projet'!$B$18,Paramètres!$A$1:$I$89,5,0)</f>
        <v>442.67505622674634</v>
      </c>
      <c r="GW111" s="14">
        <f t="shared" si="105"/>
        <v>100.37667744055129</v>
      </c>
      <c r="GX111" s="22">
        <f t="shared" si="82"/>
        <v>945.81510280387658</v>
      </c>
      <c r="GY111" s="62">
        <f t="shared" si="83"/>
        <v>1225.300186993876</v>
      </c>
      <c r="GZ111" s="62">
        <f ca="1">AVERAGE(OFFSET($GY$3,0,0,'Données projet'!$E$18+1,1))-AVERAGE(OFFSET($H$3,0,0,'Données projet'!$E$18+1,1))</f>
        <v>754.33260592777049</v>
      </c>
      <c r="HA111" s="62">
        <f t="shared" si="106"/>
        <v>250.97643915279005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9">
        <f t="shared" si="56"/>
        <v>183.33333333333334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5.4</v>
      </c>
      <c r="N112" s="14">
        <f>IF('Données projet'!$A$36&gt;35,N111+M112-V111,IF(A112&lt;'Données projet'!$A$36,$K$205^A112,IF(A112='Données projet'!$A$36,'Données projet'!$B$36,N111+M112-V111)))</f>
        <v>354.59999999999968</v>
      </c>
      <c r="O112" s="14">
        <f>N112*VLOOKUP('Données projet'!$B$9,Paramètres!$A$1:$I$89,3,0)*VLOOKUP('Données projet'!$B$9,Paramètres!$A$1:$I$89,5,0)</f>
        <v>320.84207999999973</v>
      </c>
      <c r="P112" s="14">
        <f t="shared" si="87"/>
        <v>75.528537975513771</v>
      </c>
      <c r="Q112" s="22">
        <f t="shared" si="107"/>
        <v>690.34549297401929</v>
      </c>
      <c r="R112" s="62">
        <f t="shared" si="55"/>
        <v>970.07081332660857</v>
      </c>
      <c r="S112" s="62">
        <f ca="1">AVERAGE(OFFSET($R$3,0,0,'Données projet'!$E$9+1,1))-AVERAGE(OFFSET($H$3,0,0,'Données projet'!$E$9+1,1))</f>
        <v>550.39292625253665</v>
      </c>
      <c r="T112" s="62">
        <f t="shared" si="88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5.4</v>
      </c>
      <c r="AI112" s="14">
        <f>IF('Données projet'!$A$62&gt;35,AI111+AH112-AQ111,IF(A112&lt;'Données projet'!$A$62,$AF$205^A112,IF(A112='Données projet'!$A$62,'Données projet'!$B$62,AI111+AH112-AQ111)))</f>
        <v>354.59999999999968</v>
      </c>
      <c r="AJ112" s="14">
        <f>AI112*VLOOKUP('Données projet'!$B$10,Paramètres!$A$1:$I$89,3,0)*VLOOKUP('Données projet'!$B$10,Paramètres!$A$1:$I$89,5,0)</f>
        <v>359.56439999999969</v>
      </c>
      <c r="AK112" s="14">
        <f t="shared" si="89"/>
        <v>83.528819734442351</v>
      </c>
      <c r="AL112" s="22">
        <f t="shared" si="58"/>
        <v>771.72069103748652</v>
      </c>
      <c r="AM112" s="62">
        <f t="shared" si="59"/>
        <v>1051.4460113900759</v>
      </c>
      <c r="AN112" s="62">
        <f ca="1">AVERAGE(OFFSET($AM$3,0,0,'Données projet'!$E$10+1,1))-AVERAGE(OFFSET($H$3,0,0,'Données projet'!$E$10+1,1))</f>
        <v>606.55142836375308</v>
      </c>
      <c r="AO112" s="62">
        <f t="shared" si="90"/>
        <v>325.72635759450861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3.7179487179487181</v>
      </c>
      <c r="BD112" s="13">
        <f>IF('Données projet'!$A$88&gt;35,BD111+BC112-BL111,IF(A112&lt;'Données projet'!$A$88,$BA$205^A112,IF(A112='Données projet'!$A$88,'Données projet'!$B$88,BD111+BC112-BL111)))</f>
        <v>384.74358974358989</v>
      </c>
      <c r="BE112" s="14">
        <f>BD112*VLOOKUP('Données projet'!$B$11,Paramètres!$A$1:$I$89,3,0)*VLOOKUP('Données projet'!$B$11,Paramètres!$A$1:$I$89,5,0)</f>
        <v>402.13400000000019</v>
      </c>
      <c r="BF112" s="14">
        <f t="shared" si="91"/>
        <v>92.209166905599432</v>
      </c>
      <c r="BG112" s="22">
        <f t="shared" si="61"/>
        <v>860.98101569391929</v>
      </c>
      <c r="BH112" s="62">
        <f t="shared" si="62"/>
        <v>1140.7063360465086</v>
      </c>
      <c r="BI112" s="62">
        <f ca="1">AVERAGE(OFFSET($BH$3,0,0,'Données projet'!$E$11+1,1))-AVERAGE(OFFSET($H$3,0,0,'Données projet'!$E$11+1,1))</f>
        <v>635.13577238794812</v>
      </c>
      <c r="BJ112" s="62">
        <f t="shared" si="92"/>
        <v>374.35810525172019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-6.8212102632969618E-13</v>
      </c>
      <c r="BZ112" s="14">
        <f>BY112*VLOOKUP('Données projet'!$B$12,Paramètres!$A$1:$I$89,3,0)*VLOOKUP('Données projet'!$B$12,Paramètres!$A$1:$I$89,5,0)</f>
        <v>-3.0149749363772573E-13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580.02817743695846</v>
      </c>
      <c r="CE112" s="62">
        <f t="shared" si="94"/>
        <v>551.23515633208865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>
        <f>VLOOKUP(A112,'Données projet'!$A$139:$I$159,2,0)</f>
        <v>413.2</v>
      </c>
      <c r="CR112" s="13">
        <f>VLOOKUP(A112,'Données projet'!$A$139:$I$159,9,0)</f>
        <v>7.882692307692305</v>
      </c>
      <c r="CS112" s="13">
        <f t="array" ref="CS112">INDEX(CR:CR,MIN(IF(ISNUMBER(CR112:CR308),ROW(CR112:CR308),"")))</f>
        <v>7.882692307692305</v>
      </c>
      <c r="CT112" s="13">
        <f>IF('Données projet'!$A$140&gt;35,CT111+CS112-DB111,IF(A112&lt;'Données projet'!$A$140,$CQ$205^A112,IF(A112='Données projet'!$A$140,'Données projet'!$B$140,CT111+CS112-DB111)))</f>
        <v>413.20000000000016</v>
      </c>
      <c r="CU112" s="18">
        <f>CT112*VLOOKUP('Données projet'!$B$13,Paramètres!$A$1:$I$89,3,0)*VLOOKUP('Données projet'!$B$13,Paramètres!$A$1:$I$89,5,0)</f>
        <v>193.37760000000006</v>
      </c>
      <c r="CV112" s="14">
        <f t="shared" si="95"/>
        <v>48.285924733018277</v>
      </c>
      <c r="CW112" s="22">
        <f t="shared" si="67"/>
        <v>420.89730557667355</v>
      </c>
      <c r="CX112" s="62">
        <f t="shared" si="68"/>
        <v>700.62262592926277</v>
      </c>
      <c r="CY112" s="62">
        <f ca="1">AVERAGE(OFFSET($CX$3,0,0,'Données projet'!$E$13+1,1))-AVERAGE(OFFSET($H$3,0,0,'Données projet'!$E$13+1,1))</f>
        <v>321.05795935196863</v>
      </c>
      <c r="CZ112" s="62">
        <f t="shared" si="96"/>
        <v>209.59551322748908</v>
      </c>
      <c r="DA112" s="16">
        <f>IF(ISNA(VLOOKUP(A112,'Données projet'!$A$139:$I$159,3,0)),0,VLOOKUP(A112,'Données projet'!$A$139:$I$159,3,0))</f>
        <v>6</v>
      </c>
      <c r="DB112" s="16">
        <f>IF(ISNA(VLOOKUP(A112,'Données projet'!$A$139:$I$159,4,0)),0,VLOOKUP(A112,'Données projet'!$A$139:$I$159,4,0))</f>
        <v>80.653846153846118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5.4</v>
      </c>
      <c r="DO112" s="13">
        <f>IF('Données projet'!$A$166&gt;35,DO111+DN112-DW111,IF(A112&lt;'Données projet'!$A$166,$DL$205^A112,IF(A112='Données projet'!$A$166,'Données projet'!$B$166,DO111+DN112-DW111)))</f>
        <v>354.59999999999968</v>
      </c>
      <c r="DP112" s="18">
        <f>DO112*VLOOKUP('Données projet'!$B$14,Paramètres!$A$1:$I$89,3,0)*VLOOKUP('Données projet'!$B$14,Paramètres!$A$1:$I$89,5,0)</f>
        <v>381.6914399999996</v>
      </c>
      <c r="DQ112" s="14">
        <f t="shared" si="97"/>
        <v>88.054825242964469</v>
      </c>
      <c r="DR112" s="22">
        <f t="shared" si="70"/>
        <v>818.14141196482899</v>
      </c>
      <c r="DS112" s="62">
        <f t="shared" si="71"/>
        <v>1097.8667323174182</v>
      </c>
      <c r="DT112" s="62">
        <f ca="1">AVERAGE(OFFSET($DS$3,0,0,'Données projet'!$E$14+1,1))-AVERAGE(OFFSET($H$3,0,0,'Données projet'!$E$14+1,1))</f>
        <v>638.58602907610805</v>
      </c>
      <c r="DU112" s="62">
        <f t="shared" si="98"/>
        <v>341.9250949809848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5.6843418860808015E-14</v>
      </c>
      <c r="EK112" s="18">
        <f>EJ112*VLOOKUP('Données projet'!$B$15,Paramètres!$A$1:$I$89,3,0)*VLOOKUP('Données projet'!$B$15,Paramètres!$A$1:$I$89,5,0)</f>
        <v>3.3992364478763198E-14</v>
      </c>
      <c r="EL112" s="14">
        <f t="shared" si="99"/>
        <v>5.790027782444094E-13</v>
      </c>
      <c r="EM112" s="22">
        <f t="shared" si="73"/>
        <v>1.0676332069095257E-12</v>
      </c>
      <c r="EN112" s="62">
        <f t="shared" si="74"/>
        <v>279.72532035259036</v>
      </c>
      <c r="EO112" s="62">
        <f ca="1">AVERAGE(OFFSET($EN$3,0,0,'Données projet'!$E$15+1,1))-AVERAGE(OFFSET($H$3,0,0,'Données projet'!$E$15+1,1))</f>
        <v>223.57443551076992</v>
      </c>
      <c r="EP112" s="62">
        <f t="shared" si="100"/>
        <v>382.12751862619427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5.5671617066150931</v>
      </c>
      <c r="EW112" s="23">
        <f>EXP(-LN(2)/25)*EW111+(1-EXP(-LN(2)/25))/(LN(2)/25)*Calculateur!ER112*Calculateur!ET112*VLOOKUP('Données projet'!$B$15,Paramètres!$A$1:$I$89,3,0)*0.475*44/12</f>
        <v>1.5528810543487002</v>
      </c>
      <c r="EX112" s="23">
        <f>EXP(-LN(2)/2)*EX111+(1-EXP(-LN(2)/2))/(LN(2)/2)*ER112*EU112*VLOOKUP('Données projet'!$B$15,Paramètres!$A$1:$I$89,3,0)*0.475*44/12</f>
        <v>1.3039178021487895E-11</v>
      </c>
      <c r="EY112" s="24">
        <f t="shared" si="75"/>
        <v>7.1200427609768324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1.3833333333333342</v>
      </c>
      <c r="FE112" s="13">
        <f>IF('Données projet'!$A$218&gt;35,FE111+FD112-FM111,IF(A112&lt;'Données projet'!$A$218,$FB$205^A112,IF(A112='Données projet'!$A$218,'Données projet'!$B$218,FE111+FD112-FM111)))</f>
        <v>115.14999999999998</v>
      </c>
      <c r="FF112" s="18">
        <f>FE112*VLOOKUP('Données projet'!$B$16,Paramètres!$A$1:$I$89,3,0)*VLOOKUP('Données projet'!$B$16,Paramètres!$A$1:$I$89,5,0)</f>
        <v>132.65279999999996</v>
      </c>
      <c r="FG112" s="14">
        <f t="shared" si="101"/>
        <v>34.608620990190566</v>
      </c>
      <c r="FH112" s="22">
        <f t="shared" si="76"/>
        <v>291.31364155791516</v>
      </c>
      <c r="FI112" s="62">
        <f t="shared" si="77"/>
        <v>571.03896191050444</v>
      </c>
      <c r="FJ112" s="62">
        <f ca="1">AVERAGE(OFFSET($FI$3,0,0,'Données projet'!$E$16+1,1))-AVERAGE(OFFSET($H$3,0,0,'Données projet'!$E$16+1,1))</f>
        <v>283.95543623515323</v>
      </c>
      <c r="FK112" s="62">
        <f t="shared" si="102"/>
        <v>196.96883829830929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5.6843418860808015E-14</v>
      </c>
      <c r="GA112" s="18">
        <f>FZ112*VLOOKUP('Données projet'!$B$17,Paramètres!$A$1:$I$89,3,0)*VLOOKUP('Données projet'!$B$17,Paramètres!$A$1:$I$89,5,0)</f>
        <v>3.3992364478763198E-14</v>
      </c>
      <c r="GB112" s="14">
        <f t="shared" si="103"/>
        <v>5.790027782444094E-13</v>
      </c>
      <c r="GC112" s="22">
        <f t="shared" si="79"/>
        <v>1.0676332069095257E-12</v>
      </c>
      <c r="GD112" s="62">
        <f t="shared" si="80"/>
        <v>279.72532035259036</v>
      </c>
      <c r="GE112" s="62">
        <f ca="1">AVERAGE(OFFSET($GD$3,0,0,'Données projet'!$E$17+1,1))-AVERAGE(OFFSET($H$3,0,0,'Données projet'!$E$17+1,1))</f>
        <v>223.57443551076992</v>
      </c>
      <c r="GF112" s="62">
        <f t="shared" si="104"/>
        <v>382.12751862619427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5.5671617066150931</v>
      </c>
      <c r="GM112" s="23">
        <f>EXP(-LN(2)/25)*GM111+(1-EXP(-LN(2)/25))/(LN(2)/25)*Calculateur!GH112*Calculateur!GJ112*VLOOKUP('Données projet'!$B$17,Paramètres!$A$1:$I$89,3,0)*0.475*44/12</f>
        <v>1.5528810543487002</v>
      </c>
      <c r="GN112" s="23">
        <f>EXP(-LN(2)/2)*GN111+(1-EXP(-LN(2)/2))/(LN(2)/2)*GH112*GK112*VLOOKUP('Données projet'!$B$17,Paramètres!$A$1:$I$89,3,0)*0.475*44/12</f>
        <v>1.3039178021487895E-11</v>
      </c>
      <c r="GO112" s="23">
        <f t="shared" si="81"/>
        <v>7.1200427609768324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6.4273627122339976</v>
      </c>
      <c r="GU112" s="13">
        <f>IF('Données projet'!$A$270&gt;35,GU111+GT112-HC111,IF(A112&lt;'Données projet'!$A$270,$GR$205^A112,IF(A112='Données projet'!$A$270,'Données projet'!$B$270,GU111+GT112-HC111)))</f>
        <v>411.80745083196513</v>
      </c>
      <c r="GV112" s="18">
        <f>GU112*VLOOKUP('Données projet'!$B$18,Paramètres!$A$1:$I$89,3,0)*VLOOKUP('Données projet'!$B$18,Paramètres!$A$1:$I$89,5,0)</f>
        <v>449.69373630850589</v>
      </c>
      <c r="GW112" s="14">
        <f t="shared" si="105"/>
        <v>101.78162569032355</v>
      </c>
      <c r="GX112" s="22">
        <f t="shared" si="82"/>
        <v>960.48625548129439</v>
      </c>
      <c r="GY112" s="62">
        <f t="shared" si="83"/>
        <v>1240.2115758338837</v>
      </c>
      <c r="GZ112" s="62">
        <f ca="1">AVERAGE(OFFSET($GY$3,0,0,'Données projet'!$E$18+1,1))-AVERAGE(OFFSET($H$3,0,0,'Données projet'!$E$18+1,1))</f>
        <v>754.33260592777049</v>
      </c>
      <c r="HA112" s="62">
        <f t="shared" si="106"/>
        <v>250.97643915279005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9">
        <f t="shared" si="56"/>
        <v>183.33333333333334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360</v>
      </c>
      <c r="L113" s="13">
        <f>VLOOKUP(A113,'Données projet'!$A$35:$I$55,9,0)</f>
        <v>5.4</v>
      </c>
      <c r="M113" s="13">
        <f t="array" ref="M113">INDEX(L:L,MIN(IF(ISNUMBER(L113:L309),ROW(L113:L309),"")))</f>
        <v>5.4</v>
      </c>
      <c r="N113" s="14">
        <f>IF('Données projet'!$A$36&gt;35,N112+M113-V112,IF(A113&lt;'Données projet'!$A$36,$K$205^A113,IF(A113='Données projet'!$A$36,'Données projet'!$B$36,N112+M113-V112)))</f>
        <v>359.99999999999966</v>
      </c>
      <c r="O113" s="14">
        <f>N113*VLOOKUP('Données projet'!$B$9,Paramètres!$A$1:$I$89,3,0)*VLOOKUP('Données projet'!$B$9,Paramètres!$A$1:$I$89,5,0)</f>
        <v>325.72799999999967</v>
      </c>
      <c r="P113" s="14">
        <f t="shared" si="87"/>
        <v>76.543942036893981</v>
      </c>
      <c r="Q113" s="22">
        <f t="shared" si="107"/>
        <v>700.62363238092303</v>
      </c>
      <c r="R113" s="62">
        <f t="shared" si="55"/>
        <v>980.58502133576894</v>
      </c>
      <c r="S113" s="62">
        <f ca="1">AVERAGE(OFFSET($R$3,0,0,'Données projet'!$E$9+1,1))-AVERAGE(OFFSET($H$3,0,0,'Données projet'!$E$9+1,1))</f>
        <v>550.39292625253665</v>
      </c>
      <c r="T113" s="62">
        <f t="shared" si="88"/>
        <v>297.32483725004136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53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360</v>
      </c>
      <c r="AG113" s="13">
        <f>VLOOKUP(A113,'Données projet'!$A$61:$I$81,9,0)</f>
        <v>5.4</v>
      </c>
      <c r="AH113" s="13">
        <f t="array" ref="AH113">INDEX(AG:AG,MIN(IF(ISNUMBER(AG113:AG309),ROW(AG113:AG309),"")))</f>
        <v>5.4</v>
      </c>
      <c r="AI113" s="14">
        <f>IF('Données projet'!$A$62&gt;35,AI112+AH113-AQ112,IF(A113&lt;'Données projet'!$A$62,$AF$205^A113,IF(A113='Données projet'!$A$62,'Données projet'!$B$62,AI112+AH113-AQ112)))</f>
        <v>359.99999999999966</v>
      </c>
      <c r="AJ113" s="14">
        <f>AI113*VLOOKUP('Données projet'!$B$10,Paramètres!$A$1:$I$89,3,0)*VLOOKUP('Données projet'!$B$10,Paramètres!$A$1:$I$89,5,0)</f>
        <v>365.03999999999968</v>
      </c>
      <c r="AK113" s="14">
        <f t="shared" si="89"/>
        <v>84.651779413976342</v>
      </c>
      <c r="AL113" s="22">
        <f t="shared" si="58"/>
        <v>783.21318247934141</v>
      </c>
      <c r="AM113" s="62">
        <f t="shared" si="59"/>
        <v>1063.1745714341873</v>
      </c>
      <c r="AN113" s="62">
        <f ca="1">AVERAGE(OFFSET($AM$3,0,0,'Données projet'!$E$10+1,1))-AVERAGE(OFFSET($H$3,0,0,'Données projet'!$E$10+1,1))</f>
        <v>606.55142836375308</v>
      </c>
      <c r="AO113" s="62">
        <f t="shared" si="90"/>
        <v>325.72635759450861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53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388.46153846153845</v>
      </c>
      <c r="BB113" s="13">
        <f>VLOOKUP(A113,'Données projet'!$A$87:$I$107,9,0)</f>
        <v>3.7179487179487181</v>
      </c>
      <c r="BC113" s="13">
        <f t="array" ref="BC113">INDEX(BB:BB,MIN(IF(ISNUMBER(BB113:BB309),ROW(BB113:BB309),"")))</f>
        <v>3.7179487179487181</v>
      </c>
      <c r="BD113" s="13">
        <f>IF('Données projet'!$A$88&gt;35,BD112+BC113-BL112,IF(A113&lt;'Données projet'!$A$88,$BA$205^A113,IF(A113='Données projet'!$A$88,'Données projet'!$B$88,BD112+BC113-BL112)))</f>
        <v>388.46153846153862</v>
      </c>
      <c r="BE113" s="14">
        <f>BD113*VLOOKUP('Données projet'!$B$11,Paramètres!$A$1:$I$89,3,0)*VLOOKUP('Données projet'!$B$11,Paramètres!$A$1:$I$89,5,0)</f>
        <v>406.02000000000021</v>
      </c>
      <c r="BF113" s="14">
        <f t="shared" si="91"/>
        <v>92.996064759651532</v>
      </c>
      <c r="BG113" s="22">
        <f t="shared" si="61"/>
        <v>869.11964612306008</v>
      </c>
      <c r="BH113" s="62">
        <f t="shared" si="62"/>
        <v>1149.0810350779059</v>
      </c>
      <c r="BI113" s="62">
        <f ca="1">AVERAGE(OFFSET($BH$3,0,0,'Données projet'!$E$11+1,1))-AVERAGE(OFFSET($H$3,0,0,'Données projet'!$E$11+1,1))</f>
        <v>635.13577238794812</v>
      </c>
      <c r="BJ113" s="62">
        <f t="shared" si="92"/>
        <v>374.35810525172019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23.076923076923077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-6.8212102632969618E-13</v>
      </c>
      <c r="BZ113" s="14">
        <f>BY113*VLOOKUP('Données projet'!$B$12,Paramètres!$A$1:$I$89,3,0)*VLOOKUP('Données projet'!$B$12,Paramètres!$A$1:$I$89,5,0)</f>
        <v>-3.0149749363772573E-13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580.02817743695846</v>
      </c>
      <c r="CE113" s="62">
        <f t="shared" si="94"/>
        <v>551.23515633208865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7.0884615384615346</v>
      </c>
      <c r="CT113" s="13">
        <f>IF('Données projet'!$A$140&gt;35,CT112+CS113-DB112,IF(A113&lt;'Données projet'!$A$140,$CQ$205^A113,IF(A113='Données projet'!$A$140,'Données projet'!$B$140,CT112+CS113-DB112)))</f>
        <v>339.63461538461559</v>
      </c>
      <c r="CU113" s="18">
        <f>CT113*VLOOKUP('Données projet'!$B$13,Paramètres!$A$1:$I$89,3,0)*VLOOKUP('Données projet'!$B$13,Paramètres!$A$1:$I$89,5,0)</f>
        <v>158.9490000000001</v>
      </c>
      <c r="CV113" s="14">
        <f t="shared" si="95"/>
        <v>40.605368573899611</v>
      </c>
      <c r="CW113" s="22">
        <f t="shared" si="67"/>
        <v>347.55719193287524</v>
      </c>
      <c r="CX113" s="62">
        <f t="shared" si="68"/>
        <v>627.5185808877211</v>
      </c>
      <c r="CY113" s="62">
        <f ca="1">AVERAGE(OFFSET($CX$3,0,0,'Données projet'!$E$13+1,1))-AVERAGE(OFFSET($H$3,0,0,'Données projet'!$E$13+1,1))</f>
        <v>321.05795935196863</v>
      </c>
      <c r="CZ113" s="62">
        <f t="shared" si="96"/>
        <v>209.59551322748908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360</v>
      </c>
      <c r="DM113" s="13">
        <f>VLOOKUP(A113,'Données projet'!$A$165:$I$185,9,0)</f>
        <v>5.4</v>
      </c>
      <c r="DN113" s="13">
        <f t="array" ref="DN113">INDEX(DM:DM,MIN(IF(ISNUMBER(DM113:DM309),ROW(DM113:DM309),"")))</f>
        <v>5.4</v>
      </c>
      <c r="DO113" s="13">
        <f>IF('Données projet'!$A$166&gt;35,DO112+DN113-DW112,IF(A113&lt;'Données projet'!$A$166,$DL$205^A113,IF(A113='Données projet'!$A$166,'Données projet'!$B$166,DO112+DN113-DW112)))</f>
        <v>359.99999999999966</v>
      </c>
      <c r="DP113" s="18">
        <f>DO113*VLOOKUP('Données projet'!$B$14,Paramètres!$A$1:$I$89,3,0)*VLOOKUP('Données projet'!$B$14,Paramètres!$A$1:$I$89,5,0)</f>
        <v>387.50399999999962</v>
      </c>
      <c r="DQ113" s="14">
        <f t="shared" si="97"/>
        <v>89.238632444486413</v>
      </c>
      <c r="DR113" s="22">
        <f t="shared" si="70"/>
        <v>830.3267515074798</v>
      </c>
      <c r="DS113" s="62">
        <f t="shared" si="71"/>
        <v>1110.2881404623256</v>
      </c>
      <c r="DT113" s="62">
        <f ca="1">AVERAGE(OFFSET($DS$3,0,0,'Données projet'!$E$14+1,1))-AVERAGE(OFFSET($H$3,0,0,'Données projet'!$E$14+1,1))</f>
        <v>638.58602907610805</v>
      </c>
      <c r="DU113" s="62">
        <f t="shared" si="98"/>
        <v>341.9250949809848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53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5.6843418860808015E-14</v>
      </c>
      <c r="EK113" s="18">
        <f>EJ113*VLOOKUP('Données projet'!$B$15,Paramètres!$A$1:$I$89,3,0)*VLOOKUP('Données projet'!$B$15,Paramètres!$A$1:$I$89,5,0)</f>
        <v>3.3992364478763198E-14</v>
      </c>
      <c r="EL113" s="14">
        <f t="shared" si="99"/>
        <v>5.790027782444094E-13</v>
      </c>
      <c r="EM113" s="22">
        <f t="shared" si="73"/>
        <v>1.0676332069095257E-12</v>
      </c>
      <c r="EN113" s="62">
        <f t="shared" si="74"/>
        <v>279.96138895484694</v>
      </c>
      <c r="EO113" s="62">
        <f ca="1">AVERAGE(OFFSET($EN$3,0,0,'Données projet'!$E$15+1,1))-AVERAGE(OFFSET($H$3,0,0,'Données projet'!$E$15+1,1))</f>
        <v>223.57443551076992</v>
      </c>
      <c r="EP113" s="62">
        <f t="shared" si="100"/>
        <v>382.12751862619427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5.4579930611817211</v>
      </c>
      <c r="EW113" s="23">
        <f>EXP(-LN(2)/25)*EW112+(1-EXP(-LN(2)/25))/(LN(2)/25)*Calculateur!ER113*Calculateur!ET113*VLOOKUP('Données projet'!$B$15,Paramètres!$A$1:$I$89,3,0)*0.475*44/12</f>
        <v>1.5104174402550694</v>
      </c>
      <c r="EX113" s="23">
        <f>EXP(-LN(2)/2)*EX112+(1-EXP(-LN(2)/2))/(LN(2)/2)*ER113*EU113*VLOOKUP('Données projet'!$B$15,Paramètres!$A$1:$I$89,3,0)*0.475*44/12</f>
        <v>9.2200912000926806E-12</v>
      </c>
      <c r="EY113" s="24">
        <f t="shared" si="75"/>
        <v>6.9684105014460105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116.53333333333335</v>
      </c>
      <c r="FC113" s="13">
        <f>VLOOKUP(A113,'Données projet'!$A$217:$I$237,9,0)</f>
        <v>1.3833333333333342</v>
      </c>
      <c r="FD113" s="13">
        <f t="array" ref="FD113">INDEX(FC:FC,MIN(IF(ISNUMBER(FC113:FC309),ROW(FC113:FC309),"")))</f>
        <v>1.3833333333333342</v>
      </c>
      <c r="FE113" s="13">
        <f>IF('Données projet'!$A$218&gt;35,FE112+FD113-FM112,IF(A113&lt;'Données projet'!$A$218,$FB$205^A113,IF(A113='Données projet'!$A$218,'Données projet'!$B$218,FE112+FD113-FM112)))</f>
        <v>116.53333333333332</v>
      </c>
      <c r="FF113" s="18">
        <f>FE113*VLOOKUP('Données projet'!$B$16,Paramètres!$A$1:$I$89,3,0)*VLOOKUP('Données projet'!$B$16,Paramètres!$A$1:$I$89,5,0)</f>
        <v>134.24639999999997</v>
      </c>
      <c r="FG113" s="14">
        <f t="shared" si="101"/>
        <v>34.975734610428823</v>
      </c>
      <c r="FH113" s="22">
        <f t="shared" si="76"/>
        <v>294.72855111316346</v>
      </c>
      <c r="FI113" s="62">
        <f t="shared" si="77"/>
        <v>574.68994006800926</v>
      </c>
      <c r="FJ113" s="62">
        <f ca="1">AVERAGE(OFFSET($FI$3,0,0,'Données projet'!$E$16+1,1))-AVERAGE(OFFSET($H$3,0,0,'Données projet'!$E$16+1,1))</f>
        <v>283.95543623515323</v>
      </c>
      <c r="FK113" s="62">
        <f t="shared" si="102"/>
        <v>196.96883829830929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9.0416666666666661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5.6843418860808015E-14</v>
      </c>
      <c r="GA113" s="18">
        <f>FZ113*VLOOKUP('Données projet'!$B$17,Paramètres!$A$1:$I$89,3,0)*VLOOKUP('Données projet'!$B$17,Paramètres!$A$1:$I$89,5,0)</f>
        <v>3.3992364478763198E-14</v>
      </c>
      <c r="GB113" s="14">
        <f t="shared" si="103"/>
        <v>5.790027782444094E-13</v>
      </c>
      <c r="GC113" s="22">
        <f t="shared" si="79"/>
        <v>1.0676332069095257E-12</v>
      </c>
      <c r="GD113" s="62">
        <f t="shared" si="80"/>
        <v>279.96138895484694</v>
      </c>
      <c r="GE113" s="62">
        <f ca="1">AVERAGE(OFFSET($GD$3,0,0,'Données projet'!$E$17+1,1))-AVERAGE(OFFSET($H$3,0,0,'Données projet'!$E$17+1,1))</f>
        <v>223.57443551076992</v>
      </c>
      <c r="GF113" s="62">
        <f t="shared" si="104"/>
        <v>382.12751862619427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5.4579930611817211</v>
      </c>
      <c r="GM113" s="23">
        <f>EXP(-LN(2)/25)*GM112+(1-EXP(-LN(2)/25))/(LN(2)/25)*Calculateur!GH113*Calculateur!GJ113*VLOOKUP('Données projet'!$B$17,Paramètres!$A$1:$I$89,3,0)*0.475*44/12</f>
        <v>1.5104174402550694</v>
      </c>
      <c r="GN113" s="23">
        <f>EXP(-LN(2)/2)*GN112+(1-EXP(-LN(2)/2))/(LN(2)/2)*GH113*GK113*VLOOKUP('Données projet'!$B$17,Paramètres!$A$1:$I$89,3,0)*0.475*44/12</f>
        <v>9.2200912000926806E-12</v>
      </c>
      <c r="GO113" s="23">
        <f t="shared" si="81"/>
        <v>6.9684105014460105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6.4273627122339976</v>
      </c>
      <c r="GU113" s="13">
        <f>IF('Données projet'!$A$270&gt;35,GU112+GT113-HC112,IF(A113&lt;'Données projet'!$A$270,$GR$205^A113,IF(A113='Données projet'!$A$270,'Données projet'!$B$270,GU112+GT113-HC112)))</f>
        <v>418.23481354419914</v>
      </c>
      <c r="GV113" s="18">
        <f>GU113*VLOOKUP('Données projet'!$B$18,Paramètres!$A$1:$I$89,3,0)*VLOOKUP('Données projet'!$B$18,Paramètres!$A$1:$I$89,5,0)</f>
        <v>456.71241639026545</v>
      </c>
      <c r="GW113" s="14">
        <f t="shared" si="105"/>
        <v>103.18402372906083</v>
      </c>
      <c r="GX113" s="22">
        <f t="shared" si="82"/>
        <v>975.15296654115991</v>
      </c>
      <c r="GY113" s="62">
        <f t="shared" si="83"/>
        <v>1255.1143554960058</v>
      </c>
      <c r="GZ113" s="62">
        <f ca="1">AVERAGE(OFFSET($GY$3,0,0,'Données projet'!$E$18+1,1))-AVERAGE(OFFSET($H$3,0,0,'Données projet'!$E$18+1,1))</f>
        <v>754.33260592777049</v>
      </c>
      <c r="HA113" s="62">
        <f t="shared" si="106"/>
        <v>250.97643915279005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9">
        <f t="shared" si="56"/>
        <v>183.33333333333334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311.49999999999966</v>
      </c>
      <c r="O114" s="14">
        <f>N114*VLOOKUP('Données projet'!$B$9,Paramètres!$A$1:$I$89,3,0)*VLOOKUP('Données projet'!$B$9,Paramètres!$A$1:$I$89,5,0)</f>
        <v>281.84519999999969</v>
      </c>
      <c r="P114" s="14">
        <f t="shared" si="87"/>
        <v>67.356803491560427</v>
      </c>
      <c r="Q114" s="22">
        <f t="shared" si="107"/>
        <v>608.19348941446708</v>
      </c>
      <c r="R114" s="62">
        <f t="shared" si="55"/>
        <v>888.38685170909071</v>
      </c>
      <c r="S114" s="62">
        <f ca="1">AVERAGE(OFFSET($R$3,0,0,'Données projet'!$E$9+1,1))-AVERAGE(OFFSET($H$3,0,0,'Données projet'!$E$9+1,1))</f>
        <v>550.39292625253665</v>
      </c>
      <c r="T114" s="62">
        <f t="shared" si="88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</v>
      </c>
      <c r="AI114" s="14">
        <f>IF('Données projet'!$A$62&gt;35,AI113+AH114-AQ113,IF(A114&lt;'Données projet'!$A$62,$AF$205^A114,IF(A114='Données projet'!$A$62,'Données projet'!$B$62,AI113+AH114-AQ113)))</f>
        <v>311.49999999999966</v>
      </c>
      <c r="AJ114" s="14">
        <f>AI114*VLOOKUP('Données projet'!$B$10,Paramètres!$A$1:$I$89,3,0)*VLOOKUP('Données projet'!$B$10,Paramètres!$A$1:$I$89,5,0)</f>
        <v>315.86099999999971</v>
      </c>
      <c r="AK114" s="14">
        <f t="shared" si="89"/>
        <v>74.491502782151358</v>
      </c>
      <c r="AL114" s="22">
        <f t="shared" si="58"/>
        <v>679.86394234557974</v>
      </c>
      <c r="AM114" s="62">
        <f t="shared" si="59"/>
        <v>960.05730464020326</v>
      </c>
      <c r="AN114" s="62">
        <f ca="1">AVERAGE(OFFSET($AM$3,0,0,'Données projet'!$E$10+1,1))-AVERAGE(OFFSET($H$3,0,0,'Données projet'!$E$10+1,1))</f>
        <v>606.55142836375308</v>
      </c>
      <c r="AO114" s="62">
        <f t="shared" si="90"/>
        <v>325.72635759450861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3.3974358974359005</v>
      </c>
      <c r="BD114" s="13">
        <f>IF('Données projet'!$A$88&gt;35,BD113+BC114-BL113,IF(A114&lt;'Données projet'!$A$88,$BA$205^A114,IF(A114='Données projet'!$A$88,'Données projet'!$B$88,BD113+BC114-BL113)))</f>
        <v>368.78205128205144</v>
      </c>
      <c r="BE114" s="14">
        <f>BD114*VLOOKUP('Données projet'!$B$11,Paramètres!$A$1:$I$89,3,0)*VLOOKUP('Données projet'!$B$11,Paramètres!$A$1:$I$89,5,0)</f>
        <v>385.45100000000019</v>
      </c>
      <c r="BF114" s="14">
        <f t="shared" si="91"/>
        <v>88.820748650387173</v>
      </c>
      <c r="BG114" s="22">
        <f t="shared" si="61"/>
        <v>826.02329556609129</v>
      </c>
      <c r="BH114" s="62">
        <f t="shared" si="62"/>
        <v>1106.2166578607148</v>
      </c>
      <c r="BI114" s="62">
        <f ca="1">AVERAGE(OFFSET($BH$3,0,0,'Données projet'!$E$11+1,1))-AVERAGE(OFFSET($H$3,0,0,'Données projet'!$E$11+1,1))</f>
        <v>635.13577238794812</v>
      </c>
      <c r="BJ114" s="62">
        <f t="shared" si="92"/>
        <v>374.35810525172019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-6.8212102632969618E-13</v>
      </c>
      <c r="BZ114" s="14">
        <f>BY114*VLOOKUP('Données projet'!$B$12,Paramètres!$A$1:$I$89,3,0)*VLOOKUP('Données projet'!$B$12,Paramètres!$A$1:$I$89,5,0)</f>
        <v>-3.0149749363772573E-13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580.02817743695846</v>
      </c>
      <c r="CE114" s="62">
        <f t="shared" si="94"/>
        <v>551.23515633208865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7.0884615384615346</v>
      </c>
      <c r="CT114" s="13">
        <f>IF('Données projet'!$A$140&gt;35,CT113+CS114-DB113,IF(A114&lt;'Données projet'!$A$140,$CQ$205^A114,IF(A114='Données projet'!$A$140,'Données projet'!$B$140,CT113+CS114-DB113)))</f>
        <v>346.72307692307714</v>
      </c>
      <c r="CU114" s="18">
        <f>CT114*VLOOKUP('Données projet'!$B$13,Paramètres!$A$1:$I$89,3,0)*VLOOKUP('Données projet'!$B$13,Paramètres!$A$1:$I$89,5,0)</f>
        <v>162.26640000000009</v>
      </c>
      <c r="CV114" s="14">
        <f t="shared" si="95"/>
        <v>41.353289029019415</v>
      </c>
      <c r="CW114" s="22">
        <f t="shared" si="67"/>
        <v>354.63762505887559</v>
      </c>
      <c r="CX114" s="62">
        <f t="shared" si="68"/>
        <v>634.83098735349915</v>
      </c>
      <c r="CY114" s="62">
        <f ca="1">AVERAGE(OFFSET($CX$3,0,0,'Données projet'!$E$13+1,1))-AVERAGE(OFFSET($H$3,0,0,'Données projet'!$E$13+1,1))</f>
        <v>321.05795935196863</v>
      </c>
      <c r="CZ114" s="62">
        <f t="shared" si="96"/>
        <v>209.59551322748908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4.5</v>
      </c>
      <c r="DO114" s="13">
        <f>IF('Données projet'!$A$166&gt;35,DO113+DN114-DW113,IF(A114&lt;'Données projet'!$A$166,$DL$205^A114,IF(A114='Données projet'!$A$166,'Données projet'!$B$166,DO113+DN114-DW113)))</f>
        <v>311.49999999999966</v>
      </c>
      <c r="DP114" s="18">
        <f>DO114*VLOOKUP('Données projet'!$B$14,Paramètres!$A$1:$I$89,3,0)*VLOOKUP('Données projet'!$B$14,Paramètres!$A$1:$I$89,5,0)</f>
        <v>335.29859999999962</v>
      </c>
      <c r="DQ114" s="14">
        <f t="shared" si="97"/>
        <v>78.527821659898976</v>
      </c>
      <c r="DR114" s="22">
        <f t="shared" si="70"/>
        <v>720.74768439099</v>
      </c>
      <c r="DS114" s="62">
        <f t="shared" si="71"/>
        <v>1000.9410466856136</v>
      </c>
      <c r="DT114" s="62">
        <f ca="1">AVERAGE(OFFSET($DS$3,0,0,'Données projet'!$E$14+1,1))-AVERAGE(OFFSET($H$3,0,0,'Données projet'!$E$14+1,1))</f>
        <v>638.58602907610805</v>
      </c>
      <c r="DU114" s="62">
        <f t="shared" si="98"/>
        <v>341.9250949809848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5.6843418860808015E-14</v>
      </c>
      <c r="EK114" s="18">
        <f>EJ114*VLOOKUP('Données projet'!$B$15,Paramètres!$A$1:$I$89,3,0)*VLOOKUP('Données projet'!$B$15,Paramètres!$A$1:$I$89,5,0)</f>
        <v>3.3992364478763198E-14</v>
      </c>
      <c r="EL114" s="14">
        <f t="shared" si="99"/>
        <v>5.790027782444094E-13</v>
      </c>
      <c r="EM114" s="22">
        <f t="shared" si="73"/>
        <v>1.0676332069095257E-12</v>
      </c>
      <c r="EN114" s="62">
        <f t="shared" si="74"/>
        <v>280.19336229462465</v>
      </c>
      <c r="EO114" s="62">
        <f ca="1">AVERAGE(OFFSET($EN$3,0,0,'Données projet'!$E$15+1,1))-AVERAGE(OFFSET($H$3,0,0,'Données projet'!$E$15+1,1))</f>
        <v>223.57443551076992</v>
      </c>
      <c r="EP114" s="62">
        <f t="shared" si="100"/>
        <v>382.12751862619427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5.3509651462989991</v>
      </c>
      <c r="EW114" s="23">
        <f>EXP(-LN(2)/25)*EW113+(1-EXP(-LN(2)/25))/(LN(2)/25)*Calculateur!ER114*Calculateur!ET114*VLOOKUP('Données projet'!$B$15,Paramètres!$A$1:$I$89,3,0)*0.475*44/12</f>
        <v>1.4691149959218934</v>
      </c>
      <c r="EX114" s="23">
        <f>EXP(-LN(2)/2)*EX113+(1-EXP(-LN(2)/2))/(LN(2)/2)*ER114*EU114*VLOOKUP('Données projet'!$B$15,Paramètres!$A$1:$I$89,3,0)*0.475*44/12</f>
        <v>6.5195890107439476E-12</v>
      </c>
      <c r="EY114" s="24">
        <f t="shared" si="75"/>
        <v>6.820080142227412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1.3150000000000006</v>
      </c>
      <c r="FE114" s="13">
        <f>IF('Données projet'!$A$218&gt;35,FE113+FD114-FM113,IF(A114&lt;'Données projet'!$A$218,$FB$205^A114,IF(A114='Données projet'!$A$218,'Données projet'!$B$218,FE113+FD114-FM113)))</f>
        <v>108.80666666666664</v>
      </c>
      <c r="FF114" s="18">
        <f>FE114*VLOOKUP('Données projet'!$B$16,Paramètres!$A$1:$I$89,3,0)*VLOOKUP('Données projet'!$B$16,Paramètres!$A$1:$I$89,5,0)</f>
        <v>125.34527999999997</v>
      </c>
      <c r="FG114" s="14">
        <f t="shared" si="101"/>
        <v>32.918518403213277</v>
      </c>
      <c r="FH114" s="22">
        <f t="shared" si="76"/>
        <v>275.64278221892977</v>
      </c>
      <c r="FI114" s="62">
        <f t="shared" si="77"/>
        <v>555.83614451355334</v>
      </c>
      <c r="FJ114" s="62">
        <f ca="1">AVERAGE(OFFSET($FI$3,0,0,'Données projet'!$E$16+1,1))-AVERAGE(OFFSET($H$3,0,0,'Données projet'!$E$16+1,1))</f>
        <v>283.95543623515323</v>
      </c>
      <c r="FK114" s="62">
        <f t="shared" si="102"/>
        <v>196.96883829830929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5.6843418860808015E-14</v>
      </c>
      <c r="GA114" s="18">
        <f>FZ114*VLOOKUP('Données projet'!$B$17,Paramètres!$A$1:$I$89,3,0)*VLOOKUP('Données projet'!$B$17,Paramètres!$A$1:$I$89,5,0)</f>
        <v>3.3992364478763198E-14</v>
      </c>
      <c r="GB114" s="14">
        <f t="shared" si="103"/>
        <v>5.790027782444094E-13</v>
      </c>
      <c r="GC114" s="22">
        <f t="shared" si="79"/>
        <v>1.0676332069095257E-12</v>
      </c>
      <c r="GD114" s="62">
        <f t="shared" si="80"/>
        <v>280.19336229462465</v>
      </c>
      <c r="GE114" s="62">
        <f ca="1">AVERAGE(OFFSET($GD$3,0,0,'Données projet'!$E$17+1,1))-AVERAGE(OFFSET($H$3,0,0,'Données projet'!$E$17+1,1))</f>
        <v>223.57443551076992</v>
      </c>
      <c r="GF114" s="62">
        <f t="shared" si="104"/>
        <v>382.12751862619427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5.3509651462989991</v>
      </c>
      <c r="GM114" s="23">
        <f>EXP(-LN(2)/25)*GM113+(1-EXP(-LN(2)/25))/(LN(2)/25)*Calculateur!GH114*Calculateur!GJ114*VLOOKUP('Données projet'!$B$17,Paramètres!$A$1:$I$89,3,0)*0.475*44/12</f>
        <v>1.4691149959218934</v>
      </c>
      <c r="GN114" s="23">
        <f>EXP(-LN(2)/2)*GN113+(1-EXP(-LN(2)/2))/(LN(2)/2)*GH114*GK114*VLOOKUP('Données projet'!$B$17,Paramètres!$A$1:$I$89,3,0)*0.475*44/12</f>
        <v>6.5195890107439476E-12</v>
      </c>
      <c r="GO114" s="23">
        <f t="shared" si="81"/>
        <v>6.820080142227412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6.4273627122339976</v>
      </c>
      <c r="GU114" s="13">
        <f>IF('Données projet'!$A$270&gt;35,GU113+GT114-HC113,IF(A114&lt;'Données projet'!$A$270,$GR$205^A114,IF(A114='Données projet'!$A$270,'Données projet'!$B$270,GU113+GT114-HC113)))</f>
        <v>424.66217625643316</v>
      </c>
      <c r="GV114" s="18">
        <f>GU114*VLOOKUP('Données projet'!$B$18,Paramètres!$A$1:$I$89,3,0)*VLOOKUP('Données projet'!$B$18,Paramètres!$A$1:$I$89,5,0)</f>
        <v>463.73109647202494</v>
      </c>
      <c r="GW114" s="14">
        <f t="shared" si="105"/>
        <v>104.58391527419332</v>
      </c>
      <c r="GX114" s="22">
        <f t="shared" si="82"/>
        <v>989.81531212466336</v>
      </c>
      <c r="GY114" s="62">
        <f t="shared" si="83"/>
        <v>1270.008674419287</v>
      </c>
      <c r="GZ114" s="62">
        <f ca="1">AVERAGE(OFFSET($GY$3,0,0,'Données projet'!$E$18+1,1))-AVERAGE(OFFSET($H$3,0,0,'Données projet'!$E$18+1,1))</f>
        <v>754.33260592777049</v>
      </c>
      <c r="HA114" s="62">
        <f t="shared" si="106"/>
        <v>250.97643915279005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9">
        <f t="shared" si="56"/>
        <v>183.33333333333334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315.99999999999966</v>
      </c>
      <c r="O115" s="14">
        <f>N115*VLOOKUP('Données projet'!$B$9,Paramètres!$A$1:$I$89,3,0)*VLOOKUP('Données projet'!$B$9,Paramètres!$A$1:$I$89,5,0)</f>
        <v>285.91679999999968</v>
      </c>
      <c r="P115" s="14">
        <f t="shared" si="87"/>
        <v>68.215872977287475</v>
      </c>
      <c r="Q115" s="22">
        <f t="shared" si="107"/>
        <v>616.7810721021084</v>
      </c>
      <c r="R115" s="62">
        <f t="shared" si="55"/>
        <v>897.20238351767921</v>
      </c>
      <c r="S115" s="62">
        <f ca="1">AVERAGE(OFFSET($R$3,0,0,'Données projet'!$E$9+1,1))-AVERAGE(OFFSET($H$3,0,0,'Données projet'!$E$9+1,1))</f>
        <v>550.39292625253665</v>
      </c>
      <c r="T115" s="62">
        <f t="shared" si="88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</v>
      </c>
      <c r="AI115" s="14">
        <f>IF('Données projet'!$A$62&gt;35,AI114+AH115-AQ114,IF(A115&lt;'Données projet'!$A$62,$AF$205^A115,IF(A115='Données projet'!$A$62,'Données projet'!$B$62,AI114+AH115-AQ114)))</f>
        <v>315.99999999999966</v>
      </c>
      <c r="AJ115" s="14">
        <f>AI115*VLOOKUP('Données projet'!$B$10,Paramètres!$A$1:$I$89,3,0)*VLOOKUP('Données projet'!$B$10,Paramètres!$A$1:$I$89,5,0)</f>
        <v>320.42399999999964</v>
      </c>
      <c r="AK115" s="14">
        <f t="shared" si="89"/>
        <v>75.441568308852254</v>
      </c>
      <c r="AL115" s="22">
        <f t="shared" si="58"/>
        <v>689.4658648045837</v>
      </c>
      <c r="AM115" s="62">
        <f t="shared" si="59"/>
        <v>969.88717622015452</v>
      </c>
      <c r="AN115" s="62">
        <f ca="1">AVERAGE(OFFSET($AM$3,0,0,'Données projet'!$E$10+1,1))-AVERAGE(OFFSET($H$3,0,0,'Données projet'!$E$10+1,1))</f>
        <v>606.55142836375308</v>
      </c>
      <c r="AO115" s="62">
        <f t="shared" si="90"/>
        <v>325.72635759450861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3.3974358974359005</v>
      </c>
      <c r="BD115" s="13">
        <f>IF('Données projet'!$A$88&gt;35,BD114+BC115-BL114,IF(A115&lt;'Données projet'!$A$88,$BA$205^A115,IF(A115='Données projet'!$A$88,'Données projet'!$B$88,BD114+BC115-BL114)))</f>
        <v>372.17948717948735</v>
      </c>
      <c r="BE115" s="14">
        <f>BD115*VLOOKUP('Données projet'!$B$11,Paramètres!$A$1:$I$89,3,0)*VLOOKUP('Données projet'!$B$11,Paramètres!$A$1:$I$89,5,0)</f>
        <v>389.00200000000024</v>
      </c>
      <c r="BF115" s="14">
        <f t="shared" si="91"/>
        <v>89.543384508286806</v>
      </c>
      <c r="BG115" s="22">
        <f t="shared" si="61"/>
        <v>833.46654468526651</v>
      </c>
      <c r="BH115" s="62">
        <f t="shared" si="62"/>
        <v>1113.8878561008373</v>
      </c>
      <c r="BI115" s="62">
        <f ca="1">AVERAGE(OFFSET($BH$3,0,0,'Données projet'!$E$11+1,1))-AVERAGE(OFFSET($H$3,0,0,'Données projet'!$E$11+1,1))</f>
        <v>635.13577238794812</v>
      </c>
      <c r="BJ115" s="62">
        <f t="shared" si="92"/>
        <v>374.35810525172019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-6.8212102632969618E-13</v>
      </c>
      <c r="BZ115" s="14">
        <f>BY115*VLOOKUP('Données projet'!$B$12,Paramètres!$A$1:$I$89,3,0)*VLOOKUP('Données projet'!$B$12,Paramètres!$A$1:$I$89,5,0)</f>
        <v>-3.0149749363772573E-13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580.02817743695846</v>
      </c>
      <c r="CE115" s="62">
        <f t="shared" si="94"/>
        <v>551.23515633208865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7.0884615384615346</v>
      </c>
      <c r="CT115" s="13">
        <f>IF('Données projet'!$A$140&gt;35,CT114+CS115-DB114,IF(A115&lt;'Données projet'!$A$140,$CQ$205^A115,IF(A115='Données projet'!$A$140,'Données projet'!$B$140,CT114+CS115-DB114)))</f>
        <v>353.8115384615387</v>
      </c>
      <c r="CU115" s="18">
        <f>CT115*VLOOKUP('Données projet'!$B$13,Paramètres!$A$1:$I$89,3,0)*VLOOKUP('Données projet'!$B$13,Paramètres!$A$1:$I$89,5,0)</f>
        <v>165.58380000000011</v>
      </c>
      <c r="CV115" s="14">
        <f t="shared" si="95"/>
        <v>42.099431642932473</v>
      </c>
      <c r="CW115" s="22">
        <f t="shared" si="67"/>
        <v>361.71496177810758</v>
      </c>
      <c r="CX115" s="62">
        <f t="shared" si="68"/>
        <v>642.13627319367845</v>
      </c>
      <c r="CY115" s="62">
        <f ca="1">AVERAGE(OFFSET($CX$3,0,0,'Données projet'!$E$13+1,1))-AVERAGE(OFFSET($H$3,0,0,'Données projet'!$E$13+1,1))</f>
        <v>321.05795935196863</v>
      </c>
      <c r="CZ115" s="62">
        <f t="shared" si="96"/>
        <v>209.59551322748908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4.5</v>
      </c>
      <c r="DO115" s="13">
        <f>IF('Données projet'!$A$166&gt;35,DO114+DN115-DW114,IF(A115&lt;'Données projet'!$A$166,$DL$205^A115,IF(A115='Données projet'!$A$166,'Données projet'!$B$166,DO114+DN115-DW114)))</f>
        <v>315.99999999999966</v>
      </c>
      <c r="DP115" s="18">
        <f>DO115*VLOOKUP('Données projet'!$B$14,Paramètres!$A$1:$I$89,3,0)*VLOOKUP('Données projet'!$B$14,Paramètres!$A$1:$I$89,5,0)</f>
        <v>340.14239999999961</v>
      </c>
      <c r="DQ115" s="14">
        <f t="shared" si="97"/>
        <v>79.529366446344909</v>
      </c>
      <c r="DR115" s="22">
        <f t="shared" si="70"/>
        <v>730.92832656071676</v>
      </c>
      <c r="DS115" s="62">
        <f t="shared" si="71"/>
        <v>1011.3496379762876</v>
      </c>
      <c r="DT115" s="62">
        <f ca="1">AVERAGE(OFFSET($DS$3,0,0,'Données projet'!$E$14+1,1))-AVERAGE(OFFSET($H$3,0,0,'Données projet'!$E$14+1,1))</f>
        <v>638.58602907610805</v>
      </c>
      <c r="DU115" s="62">
        <f t="shared" si="98"/>
        <v>341.9250949809848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5.6843418860808015E-14</v>
      </c>
      <c r="EK115" s="18">
        <f>EJ115*VLOOKUP('Données projet'!$B$15,Paramètres!$A$1:$I$89,3,0)*VLOOKUP('Données projet'!$B$15,Paramètres!$A$1:$I$89,5,0)</f>
        <v>3.3992364478763198E-14</v>
      </c>
      <c r="EL115" s="14">
        <f t="shared" si="99"/>
        <v>5.790027782444094E-13</v>
      </c>
      <c r="EM115" s="22">
        <f t="shared" si="73"/>
        <v>1.0676332069095257E-12</v>
      </c>
      <c r="EN115" s="62">
        <f t="shared" si="74"/>
        <v>280.42131141557195</v>
      </c>
      <c r="EO115" s="62">
        <f ca="1">AVERAGE(OFFSET($EN$3,0,0,'Données projet'!$E$15+1,1))-AVERAGE(OFFSET($H$3,0,0,'Données projet'!$E$15+1,1))</f>
        <v>223.57443551076992</v>
      </c>
      <c r="EP115" s="62">
        <f t="shared" si="100"/>
        <v>382.12751862619427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5.2460359835465447</v>
      </c>
      <c r="EW115" s="23">
        <f>EXP(-LN(2)/25)*EW114+(1-EXP(-LN(2)/25))/(LN(2)/25)*Calculateur!ER115*Calculateur!ET115*VLOOKUP('Données projet'!$B$15,Paramètres!$A$1:$I$89,3,0)*0.475*44/12</f>
        <v>1.4289419691010092</v>
      </c>
      <c r="EX115" s="23">
        <f>EXP(-LN(2)/2)*EX114+(1-EXP(-LN(2)/2))/(LN(2)/2)*ER115*EU115*VLOOKUP('Données projet'!$B$15,Paramètres!$A$1:$I$89,3,0)*0.475*44/12</f>
        <v>4.6100456000463403E-12</v>
      </c>
      <c r="EY115" s="24">
        <f t="shared" si="75"/>
        <v>6.6749779526521635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1.3150000000000006</v>
      </c>
      <c r="FE115" s="13">
        <f>IF('Données projet'!$A$218&gt;35,FE114+FD115-FM114,IF(A115&lt;'Données projet'!$A$218,$FB$205^A115,IF(A115='Données projet'!$A$218,'Données projet'!$B$218,FE114+FD115-FM114)))</f>
        <v>110.12166666666664</v>
      </c>
      <c r="FF115" s="18">
        <f>FE115*VLOOKUP('Données projet'!$B$16,Paramètres!$A$1:$I$89,3,0)*VLOOKUP('Données projet'!$B$16,Paramètres!$A$1:$I$89,5,0)</f>
        <v>126.86015999999996</v>
      </c>
      <c r="FG115" s="14">
        <f t="shared" si="101"/>
        <v>33.269805353558191</v>
      </c>
      <c r="FH115" s="22">
        <f t="shared" si="76"/>
        <v>278.89302299078042</v>
      </c>
      <c r="FI115" s="62">
        <f t="shared" si="77"/>
        <v>559.31433440635124</v>
      </c>
      <c r="FJ115" s="62">
        <f ca="1">AVERAGE(OFFSET($FI$3,0,0,'Données projet'!$E$16+1,1))-AVERAGE(OFFSET($H$3,0,0,'Données projet'!$E$16+1,1))</f>
        <v>283.95543623515323</v>
      </c>
      <c r="FK115" s="62">
        <f t="shared" si="102"/>
        <v>196.96883829830929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5.6843418860808015E-14</v>
      </c>
      <c r="GA115" s="18">
        <f>FZ115*VLOOKUP('Données projet'!$B$17,Paramètres!$A$1:$I$89,3,0)*VLOOKUP('Données projet'!$B$17,Paramètres!$A$1:$I$89,5,0)</f>
        <v>3.3992364478763198E-14</v>
      </c>
      <c r="GB115" s="14">
        <f t="shared" si="103"/>
        <v>5.790027782444094E-13</v>
      </c>
      <c r="GC115" s="22">
        <f t="shared" si="79"/>
        <v>1.0676332069095257E-12</v>
      </c>
      <c r="GD115" s="62">
        <f t="shared" si="80"/>
        <v>280.42131141557195</v>
      </c>
      <c r="GE115" s="62">
        <f ca="1">AVERAGE(OFFSET($GD$3,0,0,'Données projet'!$E$17+1,1))-AVERAGE(OFFSET($H$3,0,0,'Données projet'!$E$17+1,1))</f>
        <v>223.57443551076992</v>
      </c>
      <c r="GF115" s="62">
        <f t="shared" si="104"/>
        <v>382.12751862619427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5.2460359835465447</v>
      </c>
      <c r="GM115" s="23">
        <f>EXP(-LN(2)/25)*GM114+(1-EXP(-LN(2)/25))/(LN(2)/25)*Calculateur!GH115*Calculateur!GJ115*VLOOKUP('Données projet'!$B$17,Paramètres!$A$1:$I$89,3,0)*0.475*44/12</f>
        <v>1.4289419691010092</v>
      </c>
      <c r="GN115" s="23">
        <f>EXP(-LN(2)/2)*GN114+(1-EXP(-LN(2)/2))/(LN(2)/2)*GH115*GK115*VLOOKUP('Données projet'!$B$17,Paramètres!$A$1:$I$89,3,0)*0.475*44/12</f>
        <v>4.6100456000463403E-12</v>
      </c>
      <c r="GO115" s="23">
        <f t="shared" si="81"/>
        <v>6.6749779526521635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6.4273627122339976</v>
      </c>
      <c r="GU115" s="13">
        <f>IF('Données projet'!$A$270&gt;35,GU114+GT115-HC114,IF(A115&lt;'Données projet'!$A$270,$GR$205^A115,IF(A115='Données projet'!$A$270,'Données projet'!$B$270,GU114+GT115-HC114)))</f>
        <v>431.08953896866717</v>
      </c>
      <c r="GV115" s="18">
        <f>GU115*VLOOKUP('Données projet'!$B$18,Paramètres!$A$1:$I$89,3,0)*VLOOKUP('Données projet'!$B$18,Paramètres!$A$1:$I$89,5,0)</f>
        <v>470.7497765537845</v>
      </c>
      <c r="GW115" s="14">
        <f t="shared" si="105"/>
        <v>105.98134264385853</v>
      </c>
      <c r="GX115" s="22">
        <f t="shared" si="82"/>
        <v>1004.4733659358949</v>
      </c>
      <c r="GY115" s="62">
        <f t="shared" si="83"/>
        <v>1284.8946773514658</v>
      </c>
      <c r="GZ115" s="62">
        <f ca="1">AVERAGE(OFFSET($GY$3,0,0,'Données projet'!$E$18+1,1))-AVERAGE(OFFSET($H$3,0,0,'Données projet'!$E$18+1,1))</f>
        <v>754.33260592777049</v>
      </c>
      <c r="HA115" s="62">
        <f t="shared" si="106"/>
        <v>250.97643915279005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9">
        <f t="shared" si="56"/>
        <v>183.33333333333334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320.49999999999966</v>
      </c>
      <c r="O116" s="14">
        <f>N116*VLOOKUP('Données projet'!$B$9,Paramètres!$A$1:$I$89,3,0)*VLOOKUP('Données projet'!$B$9,Paramètres!$A$1:$I$89,5,0)</f>
        <v>289.98839999999967</v>
      </c>
      <c r="P116" s="14">
        <f t="shared" si="87"/>
        <v>69.073519602481454</v>
      </c>
      <c r="Q116" s="22">
        <f t="shared" si="107"/>
        <v>625.36617664098787</v>
      </c>
      <c r="R116" s="62">
        <f t="shared" si="55"/>
        <v>906.01148276987556</v>
      </c>
      <c r="S116" s="62">
        <f ca="1">AVERAGE(OFFSET($R$3,0,0,'Données projet'!$E$9+1,1))-AVERAGE(OFFSET($H$3,0,0,'Données projet'!$E$9+1,1))</f>
        <v>550.39292625253665</v>
      </c>
      <c r="T116" s="62">
        <f t="shared" si="88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</v>
      </c>
      <c r="AI116" s="14">
        <f>IF('Données projet'!$A$62&gt;35,AI115+AH116-AQ115,IF(A116&lt;'Données projet'!$A$62,$AF$205^A116,IF(A116='Données projet'!$A$62,'Données projet'!$B$62,AI115+AH116-AQ115)))</f>
        <v>320.49999999999966</v>
      </c>
      <c r="AJ116" s="14">
        <f>AI116*VLOOKUP('Données projet'!$B$10,Paramètres!$A$1:$I$89,3,0)*VLOOKUP('Données projet'!$B$10,Paramètres!$A$1:$I$89,5,0)</f>
        <v>324.98699999999968</v>
      </c>
      <c r="AK116" s="14">
        <f t="shared" si="89"/>
        <v>76.390060259999316</v>
      </c>
      <c r="AL116" s="22">
        <f t="shared" si="58"/>
        <v>699.06504661949828</v>
      </c>
      <c r="AM116" s="62">
        <f t="shared" si="59"/>
        <v>979.71035274838596</v>
      </c>
      <c r="AN116" s="62">
        <f ca="1">AVERAGE(OFFSET($AM$3,0,0,'Données projet'!$E$10+1,1))-AVERAGE(OFFSET($H$3,0,0,'Données projet'!$E$10+1,1))</f>
        <v>606.55142836375308</v>
      </c>
      <c r="AO116" s="62">
        <f t="shared" si="90"/>
        <v>325.72635759450861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3.3974358974359005</v>
      </c>
      <c r="BD116" s="13">
        <f>IF('Données projet'!$A$88&gt;35,BD115+BC116-BL115,IF(A116&lt;'Données projet'!$A$88,$BA$205^A116,IF(A116='Données projet'!$A$88,'Données projet'!$B$88,BD115+BC116-BL115)))</f>
        <v>375.57692307692326</v>
      </c>
      <c r="BE116" s="14">
        <f>BD116*VLOOKUP('Données projet'!$B$11,Paramètres!$A$1:$I$89,3,0)*VLOOKUP('Données projet'!$B$11,Paramètres!$A$1:$I$89,5,0)</f>
        <v>392.55300000000022</v>
      </c>
      <c r="BF116" s="14">
        <f t="shared" si="91"/>
        <v>90.265252921656369</v>
      </c>
      <c r="BG116" s="22">
        <f t="shared" si="61"/>
        <v>840.90845717188529</v>
      </c>
      <c r="BH116" s="62">
        <f t="shared" si="62"/>
        <v>1121.553763300773</v>
      </c>
      <c r="BI116" s="62">
        <f ca="1">AVERAGE(OFFSET($BH$3,0,0,'Données projet'!$E$11+1,1))-AVERAGE(OFFSET($H$3,0,0,'Données projet'!$E$11+1,1))</f>
        <v>635.13577238794812</v>
      </c>
      <c r="BJ116" s="62">
        <f t="shared" si="92"/>
        <v>374.35810525172019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-6.8212102632969618E-13</v>
      </c>
      <c r="BZ116" s="14">
        <f>BY116*VLOOKUP('Données projet'!$B$12,Paramètres!$A$1:$I$89,3,0)*VLOOKUP('Données projet'!$B$12,Paramètres!$A$1:$I$89,5,0)</f>
        <v>-3.0149749363772573E-13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580.02817743695846</v>
      </c>
      <c r="CE116" s="62">
        <f t="shared" si="94"/>
        <v>551.23515633208865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7.0884615384615346</v>
      </c>
      <c r="CT116" s="13">
        <f>IF('Données projet'!$A$140&gt;35,CT115+CS116-DB115,IF(A116&lt;'Données projet'!$A$140,$CQ$205^A116,IF(A116='Données projet'!$A$140,'Données projet'!$B$140,CT115+CS116-DB115)))</f>
        <v>360.90000000000026</v>
      </c>
      <c r="CU116" s="18">
        <f>CT116*VLOOKUP('Données projet'!$B$13,Paramètres!$A$1:$I$89,3,0)*VLOOKUP('Données projet'!$B$13,Paramètres!$A$1:$I$89,5,0)</f>
        <v>168.90120000000013</v>
      </c>
      <c r="CV116" s="14">
        <f t="shared" si="95"/>
        <v>42.843836138922327</v>
      </c>
      <c r="CW116" s="22">
        <f t="shared" si="67"/>
        <v>368.78927127528988</v>
      </c>
      <c r="CX116" s="62">
        <f t="shared" si="68"/>
        <v>649.4345774041775</v>
      </c>
      <c r="CY116" s="62">
        <f ca="1">AVERAGE(OFFSET($CX$3,0,0,'Données projet'!$E$13+1,1))-AVERAGE(OFFSET($H$3,0,0,'Données projet'!$E$13+1,1))</f>
        <v>321.05795935196863</v>
      </c>
      <c r="CZ116" s="62">
        <f t="shared" si="96"/>
        <v>209.59551322748908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4.5</v>
      </c>
      <c r="DO116" s="13">
        <f>IF('Données projet'!$A$166&gt;35,DO115+DN116-DW115,IF(A116&lt;'Données projet'!$A$166,$DL$205^A116,IF(A116='Données projet'!$A$166,'Données projet'!$B$166,DO115+DN116-DW115)))</f>
        <v>320.49999999999966</v>
      </c>
      <c r="DP116" s="18">
        <f>DO116*VLOOKUP('Données projet'!$B$14,Paramètres!$A$1:$I$89,3,0)*VLOOKUP('Données projet'!$B$14,Paramètres!$A$1:$I$89,5,0)</f>
        <v>344.98619999999966</v>
      </c>
      <c r="DQ116" s="14">
        <f t="shared" si="97"/>
        <v>80.529252393113296</v>
      </c>
      <c r="DR116" s="22">
        <f t="shared" si="70"/>
        <v>741.10607958467165</v>
      </c>
      <c r="DS116" s="62">
        <f t="shared" si="71"/>
        <v>1021.7513857135593</v>
      </c>
      <c r="DT116" s="62">
        <f ca="1">AVERAGE(OFFSET($DS$3,0,0,'Données projet'!$E$14+1,1))-AVERAGE(OFFSET($H$3,0,0,'Données projet'!$E$14+1,1))</f>
        <v>638.58602907610805</v>
      </c>
      <c r="DU116" s="62">
        <f t="shared" si="98"/>
        <v>341.9250949809848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5.6843418860808015E-14</v>
      </c>
      <c r="EK116" s="18">
        <f>EJ116*VLOOKUP('Données projet'!$B$15,Paramètres!$A$1:$I$89,3,0)*VLOOKUP('Données projet'!$B$15,Paramètres!$A$1:$I$89,5,0)</f>
        <v>3.3992364478763198E-14</v>
      </c>
      <c r="EL116" s="14">
        <f t="shared" si="99"/>
        <v>5.790027782444094E-13</v>
      </c>
      <c r="EM116" s="22">
        <f t="shared" si="73"/>
        <v>1.0676332069095257E-12</v>
      </c>
      <c r="EN116" s="62">
        <f t="shared" si="74"/>
        <v>280.64530612888871</v>
      </c>
      <c r="EO116" s="62">
        <f ca="1">AVERAGE(OFFSET($EN$3,0,0,'Données projet'!$E$15+1,1))-AVERAGE(OFFSET($H$3,0,0,'Données projet'!$E$15+1,1))</f>
        <v>223.57443551076992</v>
      </c>
      <c r="EP116" s="62">
        <f t="shared" si="100"/>
        <v>382.12751862619427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5.1431644176751963</v>
      </c>
      <c r="EW116" s="23">
        <f>EXP(-LN(2)/25)*EW115+(1-EXP(-LN(2)/25))/(LN(2)/25)*Calculateur!ER116*Calculateur!ET116*VLOOKUP('Données projet'!$B$15,Paramètres!$A$1:$I$89,3,0)*0.475*44/12</f>
        <v>1.3898674758111498</v>
      </c>
      <c r="EX116" s="23">
        <f>EXP(-LN(2)/2)*EX115+(1-EXP(-LN(2)/2))/(LN(2)/2)*ER116*EU116*VLOOKUP('Données projet'!$B$15,Paramètres!$A$1:$I$89,3,0)*0.475*44/12</f>
        <v>3.2597945053719738E-12</v>
      </c>
      <c r="EY116" s="24">
        <f t="shared" si="75"/>
        <v>6.5330318934896052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1.3150000000000006</v>
      </c>
      <c r="FE116" s="13">
        <f>IF('Données projet'!$A$218&gt;35,FE115+FD116-FM115,IF(A116&lt;'Données projet'!$A$218,$FB$205^A116,IF(A116='Données projet'!$A$218,'Données projet'!$B$218,FE115+FD116-FM115)))</f>
        <v>111.43666666666664</v>
      </c>
      <c r="FF116" s="18">
        <f>FE116*VLOOKUP('Données projet'!$B$16,Paramètres!$A$1:$I$89,3,0)*VLOOKUP('Données projet'!$B$16,Paramètres!$A$1:$I$89,5,0)</f>
        <v>128.37503999999996</v>
      </c>
      <c r="FG116" s="14">
        <f t="shared" si="101"/>
        <v>33.6206043519106</v>
      </c>
      <c r="FH116" s="22">
        <f t="shared" si="76"/>
        <v>282.14241391291085</v>
      </c>
      <c r="FI116" s="62">
        <f t="shared" si="77"/>
        <v>562.78772004179848</v>
      </c>
      <c r="FJ116" s="62">
        <f ca="1">AVERAGE(OFFSET($FI$3,0,0,'Données projet'!$E$16+1,1))-AVERAGE(OFFSET($H$3,0,0,'Données projet'!$E$16+1,1))</f>
        <v>283.95543623515323</v>
      </c>
      <c r="FK116" s="62">
        <f t="shared" si="102"/>
        <v>196.96883829830929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5.6843418860808015E-14</v>
      </c>
      <c r="GA116" s="18">
        <f>FZ116*VLOOKUP('Données projet'!$B$17,Paramètres!$A$1:$I$89,3,0)*VLOOKUP('Données projet'!$B$17,Paramètres!$A$1:$I$89,5,0)</f>
        <v>3.3992364478763198E-14</v>
      </c>
      <c r="GB116" s="14">
        <f t="shared" si="103"/>
        <v>5.790027782444094E-13</v>
      </c>
      <c r="GC116" s="22">
        <f t="shared" si="79"/>
        <v>1.0676332069095257E-12</v>
      </c>
      <c r="GD116" s="62">
        <f t="shared" si="80"/>
        <v>280.64530612888871</v>
      </c>
      <c r="GE116" s="62">
        <f ca="1">AVERAGE(OFFSET($GD$3,0,0,'Données projet'!$E$17+1,1))-AVERAGE(OFFSET($H$3,0,0,'Données projet'!$E$17+1,1))</f>
        <v>223.57443551076992</v>
      </c>
      <c r="GF116" s="62">
        <f t="shared" si="104"/>
        <v>382.12751862619427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5.1431644176751963</v>
      </c>
      <c r="GM116" s="23">
        <f>EXP(-LN(2)/25)*GM115+(1-EXP(-LN(2)/25))/(LN(2)/25)*Calculateur!GH116*Calculateur!GJ116*VLOOKUP('Données projet'!$B$17,Paramètres!$A$1:$I$89,3,0)*0.475*44/12</f>
        <v>1.3898674758111498</v>
      </c>
      <c r="GN116" s="23">
        <f>EXP(-LN(2)/2)*GN115+(1-EXP(-LN(2)/2))/(LN(2)/2)*GH116*GK116*VLOOKUP('Données projet'!$B$17,Paramètres!$A$1:$I$89,3,0)*0.475*44/12</f>
        <v>3.2597945053719738E-12</v>
      </c>
      <c r="GO116" s="23">
        <f t="shared" si="81"/>
        <v>6.5330318934896052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6.4273627122339976</v>
      </c>
      <c r="GU116" s="13">
        <f>IF('Données projet'!$A$270&gt;35,GU115+GT116-HC115,IF(A116&lt;'Données projet'!$A$270,$GR$205^A116,IF(A116='Données projet'!$A$270,'Données projet'!$B$270,GU115+GT116-HC115)))</f>
        <v>437.51690168090119</v>
      </c>
      <c r="GV116" s="18">
        <f>GU116*VLOOKUP('Données projet'!$B$18,Paramètres!$A$1:$I$89,3,0)*VLOOKUP('Données projet'!$B$18,Paramètres!$A$1:$I$89,5,0)</f>
        <v>477.76845663554411</v>
      </c>
      <c r="GW116" s="14">
        <f t="shared" si="105"/>
        <v>107.37634682187161</v>
      </c>
      <c r="GX116" s="22">
        <f t="shared" si="82"/>
        <v>1019.1271993549989</v>
      </c>
      <c r="GY116" s="62">
        <f t="shared" si="83"/>
        <v>1299.7725054838866</v>
      </c>
      <c r="GZ116" s="62">
        <f ca="1">AVERAGE(OFFSET($GY$3,0,0,'Données projet'!$E$18+1,1))-AVERAGE(OFFSET($H$3,0,0,'Données projet'!$E$18+1,1))</f>
        <v>754.33260592777049</v>
      </c>
      <c r="HA116" s="62">
        <f t="shared" si="106"/>
        <v>250.97643915279005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9">
        <f t="shared" si="56"/>
        <v>183.33333333333334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324.99999999999966</v>
      </c>
      <c r="O117" s="14">
        <f>N117*VLOOKUP('Données projet'!$B$9,Paramètres!$A$1:$I$89,3,0)*VLOOKUP('Données projet'!$B$9,Paramètres!$A$1:$I$89,5,0)</f>
        <v>294.05999999999972</v>
      </c>
      <c r="P117" s="14">
        <f t="shared" si="87"/>
        <v>69.929765653573313</v>
      </c>
      <c r="Q117" s="22">
        <f t="shared" si="107"/>
        <v>633.94884184663977</v>
      </c>
      <c r="R117" s="62">
        <f t="shared" si="55"/>
        <v>914.81425688134527</v>
      </c>
      <c r="S117" s="62">
        <f ca="1">AVERAGE(OFFSET($R$3,0,0,'Données projet'!$E$9+1,1))-AVERAGE(OFFSET($H$3,0,0,'Données projet'!$E$9+1,1))</f>
        <v>550.39292625253665</v>
      </c>
      <c r="T117" s="62">
        <f t="shared" si="88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</v>
      </c>
      <c r="AI117" s="14">
        <f>IF('Données projet'!$A$62&gt;35,AI116+AH117-AQ116,IF(A117&lt;'Données projet'!$A$62,$AF$205^A117,IF(A117='Données projet'!$A$62,'Données projet'!$B$62,AI116+AH117-AQ116)))</f>
        <v>324.99999999999966</v>
      </c>
      <c r="AJ117" s="14">
        <f>AI117*VLOOKUP('Données projet'!$B$10,Paramètres!$A$1:$I$89,3,0)*VLOOKUP('Données projet'!$B$10,Paramètres!$A$1:$I$89,5,0)</f>
        <v>329.54999999999967</v>
      </c>
      <c r="AK117" s="14">
        <f t="shared" si="89"/>
        <v>77.337003282690503</v>
      </c>
      <c r="AL117" s="22">
        <f t="shared" si="58"/>
        <v>708.66153071735198</v>
      </c>
      <c r="AM117" s="62">
        <f t="shared" si="59"/>
        <v>989.52694575205737</v>
      </c>
      <c r="AN117" s="62">
        <f ca="1">AVERAGE(OFFSET($AM$3,0,0,'Données projet'!$E$10+1,1))-AVERAGE(OFFSET($H$3,0,0,'Données projet'!$E$10+1,1))</f>
        <v>606.55142836375308</v>
      </c>
      <c r="AO117" s="62">
        <f t="shared" si="90"/>
        <v>325.72635759450861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3.3974358974359005</v>
      </c>
      <c r="BD117" s="13">
        <f>IF('Données projet'!$A$88&gt;35,BD116+BC117-BL116,IF(A117&lt;'Données projet'!$A$88,$BA$205^A117,IF(A117='Données projet'!$A$88,'Données projet'!$B$88,BD116+BC117-BL116)))</f>
        <v>378.97435897435918</v>
      </c>
      <c r="BE117" s="14">
        <f>BD117*VLOOKUP('Données projet'!$B$11,Paramètres!$A$1:$I$89,3,0)*VLOOKUP('Données projet'!$B$11,Paramètres!$A$1:$I$89,5,0)</f>
        <v>396.10400000000027</v>
      </c>
      <c r="BF117" s="14">
        <f t="shared" si="91"/>
        <v>90.986361636941226</v>
      </c>
      <c r="BG117" s="22">
        <f t="shared" si="61"/>
        <v>848.34904651767295</v>
      </c>
      <c r="BH117" s="62">
        <f t="shared" si="62"/>
        <v>1129.2144615523785</v>
      </c>
      <c r="BI117" s="62">
        <f ca="1">AVERAGE(OFFSET($BH$3,0,0,'Données projet'!$E$11+1,1))-AVERAGE(OFFSET($H$3,0,0,'Données projet'!$E$11+1,1))</f>
        <v>635.13577238794812</v>
      </c>
      <c r="BJ117" s="62">
        <f t="shared" si="92"/>
        <v>374.35810525172019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-6.8212102632969618E-13</v>
      </c>
      <c r="BZ117" s="14">
        <f>BY117*VLOOKUP('Données projet'!$B$12,Paramètres!$A$1:$I$89,3,0)*VLOOKUP('Données projet'!$B$12,Paramètres!$A$1:$I$89,5,0)</f>
        <v>-3.0149749363772573E-13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580.02817743695846</v>
      </c>
      <c r="CE117" s="62">
        <f t="shared" si="94"/>
        <v>551.23515633208865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7.0884615384615346</v>
      </c>
      <c r="CT117" s="13">
        <f>IF('Données projet'!$A$140&gt;35,CT116+CS117-DB116,IF(A117&lt;'Données projet'!$A$140,$CQ$205^A117,IF(A117='Données projet'!$A$140,'Données projet'!$B$140,CT116+CS117-DB116)))</f>
        <v>367.98846153846182</v>
      </c>
      <c r="CU117" s="18">
        <f>CT117*VLOOKUP('Données projet'!$B$13,Paramètres!$A$1:$I$89,3,0)*VLOOKUP('Données projet'!$B$13,Paramètres!$A$1:$I$89,5,0)</f>
        <v>172.21860000000012</v>
      </c>
      <c r="CV117" s="14">
        <f t="shared" si="95"/>
        <v>43.586540590608614</v>
      </c>
      <c r="CW117" s="22">
        <f t="shared" si="67"/>
        <v>375.86061986197689</v>
      </c>
      <c r="CX117" s="62">
        <f t="shared" si="68"/>
        <v>656.72603489668234</v>
      </c>
      <c r="CY117" s="62">
        <f ca="1">AVERAGE(OFFSET($CX$3,0,0,'Données projet'!$E$13+1,1))-AVERAGE(OFFSET($H$3,0,0,'Données projet'!$E$13+1,1))</f>
        <v>321.05795935196863</v>
      </c>
      <c r="CZ117" s="62">
        <f t="shared" si="96"/>
        <v>209.59551322748908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4.5</v>
      </c>
      <c r="DO117" s="13">
        <f>IF('Données projet'!$A$166&gt;35,DO116+DN117-DW116,IF(A117&lt;'Données projet'!$A$166,$DL$205^A117,IF(A117='Données projet'!$A$166,'Données projet'!$B$166,DO116+DN117-DW116)))</f>
        <v>324.99999999999966</v>
      </c>
      <c r="DP117" s="18">
        <f>DO117*VLOOKUP('Données projet'!$B$14,Paramètres!$A$1:$I$89,3,0)*VLOOKUP('Données projet'!$B$14,Paramètres!$A$1:$I$89,5,0)</f>
        <v>349.82999999999959</v>
      </c>
      <c r="DQ117" s="14">
        <f t="shared" si="97"/>
        <v>81.527505482803846</v>
      </c>
      <c r="DR117" s="22">
        <f t="shared" si="70"/>
        <v>751.2809887158827</v>
      </c>
      <c r="DS117" s="62">
        <f t="shared" si="71"/>
        <v>1032.1464037505882</v>
      </c>
      <c r="DT117" s="62">
        <f ca="1">AVERAGE(OFFSET($DS$3,0,0,'Données projet'!$E$14+1,1))-AVERAGE(OFFSET($H$3,0,0,'Données projet'!$E$14+1,1))</f>
        <v>638.58602907610805</v>
      </c>
      <c r="DU117" s="62">
        <f t="shared" si="98"/>
        <v>341.9250949809848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5.6843418860808015E-14</v>
      </c>
      <c r="EK117" s="18">
        <f>EJ117*VLOOKUP('Données projet'!$B$15,Paramètres!$A$1:$I$89,3,0)*VLOOKUP('Données projet'!$B$15,Paramètres!$A$1:$I$89,5,0)</f>
        <v>3.3992364478763198E-14</v>
      </c>
      <c r="EL117" s="14">
        <f t="shared" si="99"/>
        <v>5.790027782444094E-13</v>
      </c>
      <c r="EM117" s="22">
        <f t="shared" si="73"/>
        <v>1.0676332069095257E-12</v>
      </c>
      <c r="EN117" s="62">
        <f t="shared" si="74"/>
        <v>280.86541503470653</v>
      </c>
      <c r="EO117" s="62">
        <f ca="1">AVERAGE(OFFSET($EN$3,0,0,'Données projet'!$E$15+1,1))-AVERAGE(OFFSET($H$3,0,0,'Données projet'!$E$15+1,1))</f>
        <v>223.57443551076992</v>
      </c>
      <c r="EP117" s="62">
        <f t="shared" si="100"/>
        <v>382.12751862619427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5.0423101004651256</v>
      </c>
      <c r="EW117" s="23">
        <f>EXP(-LN(2)/25)*EW116+(1-EXP(-LN(2)/25))/(LN(2)/25)*Calculateur!ER117*Calculateur!ET117*VLOOKUP('Données projet'!$B$15,Paramètres!$A$1:$I$89,3,0)*0.475*44/12</f>
        <v>1.35186147659514</v>
      </c>
      <c r="EX117" s="23">
        <f>EXP(-LN(2)/2)*EX116+(1-EXP(-LN(2)/2))/(LN(2)/2)*ER117*EU117*VLOOKUP('Données projet'!$B$15,Paramètres!$A$1:$I$89,3,0)*0.475*44/12</f>
        <v>2.3050228000231702E-12</v>
      </c>
      <c r="EY117" s="24">
        <f t="shared" si="75"/>
        <v>6.3941715770625702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1.3150000000000006</v>
      </c>
      <c r="FE117" s="13">
        <f>IF('Données projet'!$A$218&gt;35,FE116+FD117-FM116,IF(A117&lt;'Données projet'!$A$218,$FB$205^A117,IF(A117='Données projet'!$A$218,'Données projet'!$B$218,FE116+FD117-FM116)))</f>
        <v>112.75166666666664</v>
      </c>
      <c r="FF117" s="18">
        <f>FE117*VLOOKUP('Données projet'!$B$16,Paramètres!$A$1:$I$89,3,0)*VLOOKUP('Données projet'!$B$16,Paramètres!$A$1:$I$89,5,0)</f>
        <v>129.88991999999996</v>
      </c>
      <c r="FG117" s="14">
        <f t="shared" si="101"/>
        <v>33.970921822434136</v>
      </c>
      <c r="FH117" s="22">
        <f t="shared" si="76"/>
        <v>285.39096617407273</v>
      </c>
      <c r="FI117" s="62">
        <f t="shared" si="77"/>
        <v>566.25638120877818</v>
      </c>
      <c r="FJ117" s="62">
        <f ca="1">AVERAGE(OFFSET($FI$3,0,0,'Données projet'!$E$16+1,1))-AVERAGE(OFFSET($H$3,0,0,'Données projet'!$E$16+1,1))</f>
        <v>283.95543623515323</v>
      </c>
      <c r="FK117" s="62">
        <f t="shared" si="102"/>
        <v>196.96883829830929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5.6843418860808015E-14</v>
      </c>
      <c r="GA117" s="18">
        <f>FZ117*VLOOKUP('Données projet'!$B$17,Paramètres!$A$1:$I$89,3,0)*VLOOKUP('Données projet'!$B$17,Paramètres!$A$1:$I$89,5,0)</f>
        <v>3.3992364478763198E-14</v>
      </c>
      <c r="GB117" s="14">
        <f t="shared" si="103"/>
        <v>5.790027782444094E-13</v>
      </c>
      <c r="GC117" s="22">
        <f t="shared" si="79"/>
        <v>1.0676332069095257E-12</v>
      </c>
      <c r="GD117" s="62">
        <f t="shared" si="80"/>
        <v>280.86541503470653</v>
      </c>
      <c r="GE117" s="62">
        <f ca="1">AVERAGE(OFFSET($GD$3,0,0,'Données projet'!$E$17+1,1))-AVERAGE(OFFSET($H$3,0,0,'Données projet'!$E$17+1,1))</f>
        <v>223.57443551076992</v>
      </c>
      <c r="GF117" s="62">
        <f t="shared" si="104"/>
        <v>382.12751862619427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5.0423101004651256</v>
      </c>
      <c r="GM117" s="23">
        <f>EXP(-LN(2)/25)*GM116+(1-EXP(-LN(2)/25))/(LN(2)/25)*Calculateur!GH117*Calculateur!GJ117*VLOOKUP('Données projet'!$B$17,Paramètres!$A$1:$I$89,3,0)*0.475*44/12</f>
        <v>1.35186147659514</v>
      </c>
      <c r="GN117" s="23">
        <f>EXP(-LN(2)/2)*GN116+(1-EXP(-LN(2)/2))/(LN(2)/2)*GH117*GK117*VLOOKUP('Données projet'!$B$17,Paramètres!$A$1:$I$89,3,0)*0.475*44/12</f>
        <v>2.3050228000231702E-12</v>
      </c>
      <c r="GO117" s="23">
        <f t="shared" si="81"/>
        <v>6.3941715770625702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6.4273627122339976</v>
      </c>
      <c r="GU117" s="13">
        <f>IF('Données projet'!$A$270&gt;35,GU116+GT117-HC116,IF(A117&lt;'Données projet'!$A$270,$GR$205^A117,IF(A117='Données projet'!$A$270,'Données projet'!$B$270,GU116+GT117-HC116)))</f>
        <v>443.9442643931352</v>
      </c>
      <c r="GV117" s="18">
        <f>GU117*VLOOKUP('Données projet'!$B$18,Paramètres!$A$1:$I$89,3,0)*VLOOKUP('Données projet'!$B$18,Paramètres!$A$1:$I$89,5,0)</f>
        <v>484.78713671730367</v>
      </c>
      <c r="GW117" s="14">
        <f t="shared" si="105"/>
        <v>108.76896751876863</v>
      </c>
      <c r="GX117" s="22">
        <f t="shared" si="82"/>
        <v>1033.7768815444927</v>
      </c>
      <c r="GY117" s="62">
        <f t="shared" si="83"/>
        <v>1314.642296579198</v>
      </c>
      <c r="GZ117" s="62">
        <f ca="1">AVERAGE(OFFSET($GY$3,0,0,'Données projet'!$E$18+1,1))-AVERAGE(OFFSET($H$3,0,0,'Données projet'!$E$18+1,1))</f>
        <v>754.33260592777049</v>
      </c>
      <c r="HA117" s="62">
        <f t="shared" si="106"/>
        <v>250.97643915279005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9">
        <f t="shared" si="56"/>
        <v>183.33333333333334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329.49999999999966</v>
      </c>
      <c r="O118" s="14">
        <f>N118*VLOOKUP('Données projet'!$B$9,Paramètres!$A$1:$I$89,3,0)*VLOOKUP('Données projet'!$B$9,Paramètres!$A$1:$I$89,5,0)</f>
        <v>298.13159999999965</v>
      </c>
      <c r="P118" s="14">
        <f t="shared" si="87"/>
        <v>70.784632764375971</v>
      </c>
      <c r="Q118" s="22">
        <f t="shared" si="107"/>
        <v>642.52910539795425</v>
      </c>
      <c r="R118" s="62">
        <f t="shared" si="55"/>
        <v>923.61081094105157</v>
      </c>
      <c r="S118" s="62">
        <f ca="1">AVERAGE(OFFSET($R$3,0,0,'Données projet'!$E$9+1,1))-AVERAGE(OFFSET($H$3,0,0,'Données projet'!$E$9+1,1))</f>
        <v>550.39292625253665</v>
      </c>
      <c r="T118" s="62">
        <f t="shared" si="88"/>
        <v>297.32483725004136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4.5</v>
      </c>
      <c r="AI118" s="14">
        <f>IF('Données projet'!$A$62&gt;35,AI117+AH118-AQ117,IF(A118&lt;'Données projet'!$A$62,$AF$205^A118,IF(A118='Données projet'!$A$62,'Données projet'!$B$62,AI117+AH118-AQ117)))</f>
        <v>329.49999999999966</v>
      </c>
      <c r="AJ118" s="14">
        <f>AI118*VLOOKUP('Données projet'!$B$10,Paramètres!$A$1:$I$89,3,0)*VLOOKUP('Données projet'!$B$10,Paramètres!$A$1:$I$89,5,0)</f>
        <v>334.11299999999966</v>
      </c>
      <c r="AK118" s="14">
        <f t="shared" si="89"/>
        <v>78.282421302277868</v>
      </c>
      <c r="AL118" s="22">
        <f t="shared" si="58"/>
        <v>718.25535876813331</v>
      </c>
      <c r="AM118" s="62">
        <f t="shared" si="59"/>
        <v>999.33706431123051</v>
      </c>
      <c r="AN118" s="62">
        <f ca="1">AVERAGE(OFFSET($AM$3,0,0,'Données projet'!$E$10+1,1))-AVERAGE(OFFSET($H$3,0,0,'Données projet'!$E$10+1,1))</f>
        <v>606.55142836375308</v>
      </c>
      <c r="AO118" s="62">
        <f t="shared" si="90"/>
        <v>325.72635759450861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3.3974358974359005</v>
      </c>
      <c r="BD118" s="13">
        <f>IF('Données projet'!$A$88&gt;35,BD117+BC118-BL117,IF(A118&lt;'Données projet'!$A$88,$BA$205^A118,IF(A118='Données projet'!$A$88,'Données projet'!$B$88,BD117+BC118-BL117)))</f>
        <v>382.37179487179509</v>
      </c>
      <c r="BE118" s="14">
        <f>BD118*VLOOKUP('Données projet'!$B$11,Paramètres!$A$1:$I$89,3,0)*VLOOKUP('Données projet'!$B$11,Paramètres!$A$1:$I$89,5,0)</f>
        <v>399.65500000000026</v>
      </c>
      <c r="BF118" s="14">
        <f t="shared" si="91"/>
        <v>91.706718253683178</v>
      </c>
      <c r="BG118" s="22">
        <f t="shared" si="61"/>
        <v>855.7883259584986</v>
      </c>
      <c r="BH118" s="62">
        <f t="shared" si="62"/>
        <v>1136.8700315015958</v>
      </c>
      <c r="BI118" s="62">
        <f ca="1">AVERAGE(OFFSET($BH$3,0,0,'Données projet'!$E$11+1,1))-AVERAGE(OFFSET($H$3,0,0,'Données projet'!$E$11+1,1))</f>
        <v>635.13577238794812</v>
      </c>
      <c r="BJ118" s="62">
        <f t="shared" si="92"/>
        <v>374.35810525172019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-6.8212102632969618E-13</v>
      </c>
      <c r="BZ118" s="14">
        <f>BY118*VLOOKUP('Données projet'!$B$12,Paramètres!$A$1:$I$89,3,0)*VLOOKUP('Données projet'!$B$12,Paramètres!$A$1:$I$89,5,0)</f>
        <v>-3.0149749363772573E-13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580.02817743695846</v>
      </c>
      <c r="CE118" s="62">
        <f t="shared" si="94"/>
        <v>551.23515633208865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7.0884615384615346</v>
      </c>
      <c r="CT118" s="13">
        <f>IF('Données projet'!$A$140&gt;35,CT117+CS118-DB117,IF(A118&lt;'Données projet'!$A$140,$CQ$205^A118,IF(A118='Données projet'!$A$140,'Données projet'!$B$140,CT117+CS118-DB117)))</f>
        <v>375.07692307692338</v>
      </c>
      <c r="CU118" s="18">
        <f>CT118*VLOOKUP('Données projet'!$B$13,Paramètres!$A$1:$I$89,3,0)*VLOOKUP('Données projet'!$B$13,Paramètres!$A$1:$I$89,5,0)</f>
        <v>175.53600000000014</v>
      </c>
      <c r="CV118" s="14">
        <f t="shared" si="95"/>
        <v>44.327581520891123</v>
      </c>
      <c r="CW118" s="22">
        <f t="shared" si="67"/>
        <v>382.92907114888561</v>
      </c>
      <c r="CX118" s="62">
        <f t="shared" si="68"/>
        <v>664.01077669198287</v>
      </c>
      <c r="CY118" s="62">
        <f ca="1">AVERAGE(OFFSET($CX$3,0,0,'Données projet'!$E$13+1,1))-AVERAGE(OFFSET($H$3,0,0,'Données projet'!$E$13+1,1))</f>
        <v>321.05795935196863</v>
      </c>
      <c r="CZ118" s="62">
        <f t="shared" si="96"/>
        <v>209.59551322748908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4.5</v>
      </c>
      <c r="DO118" s="13">
        <f>IF('Données projet'!$A$166&gt;35,DO117+DN118-DW117,IF(A118&lt;'Données projet'!$A$166,$DL$205^A118,IF(A118='Données projet'!$A$166,'Données projet'!$B$166,DO117+DN118-DW117)))</f>
        <v>329.49999999999966</v>
      </c>
      <c r="DP118" s="18">
        <f>DO118*VLOOKUP('Données projet'!$B$14,Paramètres!$A$1:$I$89,3,0)*VLOOKUP('Données projet'!$B$14,Paramètres!$A$1:$I$89,5,0)</f>
        <v>354.67379999999957</v>
      </c>
      <c r="DQ118" s="14">
        <f t="shared" si="97"/>
        <v>82.524150937162958</v>
      </c>
      <c r="DR118" s="22">
        <f t="shared" si="70"/>
        <v>761.45309788222482</v>
      </c>
      <c r="DS118" s="62">
        <f t="shared" si="71"/>
        <v>1042.534803425322</v>
      </c>
      <c r="DT118" s="62">
        <f ca="1">AVERAGE(OFFSET($DS$3,0,0,'Données projet'!$E$14+1,1))-AVERAGE(OFFSET($H$3,0,0,'Données projet'!$E$14+1,1))</f>
        <v>638.58602907610805</v>
      </c>
      <c r="DU118" s="62">
        <f t="shared" si="98"/>
        <v>341.9250949809848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5.6843418860808015E-14</v>
      </c>
      <c r="EK118" s="18">
        <f>EJ118*VLOOKUP('Données projet'!$B$15,Paramètres!$A$1:$I$89,3,0)*VLOOKUP('Données projet'!$B$15,Paramètres!$A$1:$I$89,5,0)</f>
        <v>3.3992364478763198E-14</v>
      </c>
      <c r="EL118" s="14">
        <f t="shared" si="99"/>
        <v>5.790027782444094E-13</v>
      </c>
      <c r="EM118" s="22">
        <f t="shared" si="73"/>
        <v>1.0676332069095257E-12</v>
      </c>
      <c r="EN118" s="62">
        <f t="shared" si="74"/>
        <v>281.08170554309834</v>
      </c>
      <c r="EO118" s="62">
        <f ca="1">AVERAGE(OFFSET($EN$3,0,0,'Données projet'!$E$15+1,1))-AVERAGE(OFFSET($H$3,0,0,'Données projet'!$E$15+1,1))</f>
        <v>223.57443551076992</v>
      </c>
      <c r="EP118" s="62">
        <f t="shared" si="100"/>
        <v>382.12751862619427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4.9434334749004849</v>
      </c>
      <c r="EW118" s="23">
        <f>EXP(-LN(2)/25)*EW117+(1-EXP(-LN(2)/25))/(LN(2)/25)*Calculateur!ER118*Calculateur!ET118*VLOOKUP('Données projet'!$B$15,Paramètres!$A$1:$I$89,3,0)*0.475*44/12</f>
        <v>1.3148947534263407</v>
      </c>
      <c r="EX118" s="23">
        <f>EXP(-LN(2)/2)*EX117+(1-EXP(-LN(2)/2))/(LN(2)/2)*ER118*EU118*VLOOKUP('Données projet'!$B$15,Paramètres!$A$1:$I$89,3,0)*0.475*44/12</f>
        <v>1.6298972526859869E-12</v>
      </c>
      <c r="EY118" s="24">
        <f t="shared" si="75"/>
        <v>6.2583282283284554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1.3150000000000006</v>
      </c>
      <c r="FE118" s="13">
        <f>IF('Données projet'!$A$218&gt;35,FE117+FD118-FM117,IF(A118&lt;'Données projet'!$A$218,$FB$205^A118,IF(A118='Données projet'!$A$218,'Données projet'!$B$218,FE117+FD118-FM117)))</f>
        <v>114.06666666666663</v>
      </c>
      <c r="FF118" s="18">
        <f>FE118*VLOOKUP('Données projet'!$B$16,Paramètres!$A$1:$I$89,3,0)*VLOOKUP('Données projet'!$B$16,Paramètres!$A$1:$I$89,5,0)</f>
        <v>131.40479999999994</v>
      </c>
      <c r="FG118" s="14">
        <f t="shared" si="101"/>
        <v>34.320764030820762</v>
      </c>
      <c r="FH118" s="22">
        <f t="shared" si="76"/>
        <v>288.63869068701268</v>
      </c>
      <c r="FI118" s="62">
        <f t="shared" si="77"/>
        <v>569.72039623010994</v>
      </c>
      <c r="FJ118" s="62">
        <f ca="1">AVERAGE(OFFSET($FI$3,0,0,'Données projet'!$E$16+1,1))-AVERAGE(OFFSET($H$3,0,0,'Données projet'!$E$16+1,1))</f>
        <v>283.95543623515323</v>
      </c>
      <c r="FK118" s="62">
        <f t="shared" si="102"/>
        <v>196.96883829830929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5.6843418860808015E-14</v>
      </c>
      <c r="GA118" s="18">
        <f>FZ118*VLOOKUP('Données projet'!$B$17,Paramètres!$A$1:$I$89,3,0)*VLOOKUP('Données projet'!$B$17,Paramètres!$A$1:$I$89,5,0)</f>
        <v>3.3992364478763198E-14</v>
      </c>
      <c r="GB118" s="14">
        <f t="shared" si="103"/>
        <v>5.790027782444094E-13</v>
      </c>
      <c r="GC118" s="22">
        <f t="shared" si="79"/>
        <v>1.0676332069095257E-12</v>
      </c>
      <c r="GD118" s="62">
        <f t="shared" si="80"/>
        <v>281.08170554309834</v>
      </c>
      <c r="GE118" s="62">
        <f ca="1">AVERAGE(OFFSET($GD$3,0,0,'Données projet'!$E$17+1,1))-AVERAGE(OFFSET($H$3,0,0,'Données projet'!$E$17+1,1))</f>
        <v>223.57443551076992</v>
      </c>
      <c r="GF118" s="62">
        <f t="shared" si="104"/>
        <v>382.12751862619427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4.9434334749004849</v>
      </c>
      <c r="GM118" s="23">
        <f>EXP(-LN(2)/25)*GM117+(1-EXP(-LN(2)/25))/(LN(2)/25)*Calculateur!GH118*Calculateur!GJ118*VLOOKUP('Données projet'!$B$17,Paramètres!$A$1:$I$89,3,0)*0.475*44/12</f>
        <v>1.3148947534263407</v>
      </c>
      <c r="GN118" s="23">
        <f>EXP(-LN(2)/2)*GN117+(1-EXP(-LN(2)/2))/(LN(2)/2)*GH118*GK118*VLOOKUP('Données projet'!$B$17,Paramètres!$A$1:$I$89,3,0)*0.475*44/12</f>
        <v>1.6298972526859869E-12</v>
      </c>
      <c r="GO118" s="23">
        <f t="shared" si="81"/>
        <v>6.2583282283284554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6.4273627122339976</v>
      </c>
      <c r="GU118" s="13">
        <f>IF('Données projet'!$A$270&gt;35,GU117+GT118-HC117,IF(A118&lt;'Données projet'!$A$270,$GR$205^A118,IF(A118='Données projet'!$A$270,'Données projet'!$B$270,GU117+GT118-HC117)))</f>
        <v>450.37162710536921</v>
      </c>
      <c r="GV118" s="18">
        <f>GU118*VLOOKUP('Données projet'!$B$18,Paramètres!$A$1:$I$89,3,0)*VLOOKUP('Données projet'!$B$18,Paramètres!$A$1:$I$89,5,0)</f>
        <v>491.80581679906317</v>
      </c>
      <c r="GW118" s="14">
        <f t="shared" si="105"/>
        <v>110.15924322921568</v>
      </c>
      <c r="GX118" s="22">
        <f t="shared" si="82"/>
        <v>1048.4224795492523</v>
      </c>
      <c r="GY118" s="62">
        <f t="shared" si="83"/>
        <v>1329.5041850923496</v>
      </c>
      <c r="GZ118" s="62">
        <f ca="1">AVERAGE(OFFSET($GY$3,0,0,'Données projet'!$E$18+1,1))-AVERAGE(OFFSET($H$3,0,0,'Données projet'!$E$18+1,1))</f>
        <v>754.33260592777049</v>
      </c>
      <c r="HA118" s="62">
        <f t="shared" si="106"/>
        <v>250.97643915279005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9">
        <f t="shared" si="56"/>
        <v>183.33333333333334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333.99999999999966</v>
      </c>
      <c r="O119" s="14">
        <f>N119*VLOOKUP('Données projet'!$B$9,Paramètres!$A$1:$I$89,3,0)*VLOOKUP('Données projet'!$B$9,Paramètres!$A$1:$I$89,5,0)</f>
        <v>302.2031999999997</v>
      </c>
      <c r="P119" s="14">
        <f t="shared" si="87"/>
        <v>71.638141943842228</v>
      </c>
      <c r="Q119" s="22">
        <f t="shared" si="107"/>
        <v>651.1070038855247</v>
      </c>
      <c r="R119" s="62">
        <f t="shared" si="55"/>
        <v>932.40124778024619</v>
      </c>
      <c r="S119" s="62">
        <f ca="1">AVERAGE(OFFSET($R$3,0,0,'Données projet'!$E$9+1,1))-AVERAGE(OFFSET($H$3,0,0,'Données projet'!$E$9+1,1))</f>
        <v>550.39292625253665</v>
      </c>
      <c r="T119" s="62">
        <f t="shared" si="88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4.5</v>
      </c>
      <c r="AI119" s="14">
        <f>IF('Données projet'!$A$62&gt;35,AI118+AH119-AQ118,IF(A119&lt;'Données projet'!$A$62,$AF$205^A119,IF(A119='Données projet'!$A$62,'Données projet'!$B$62,AI118+AH119-AQ118)))</f>
        <v>333.99999999999966</v>
      </c>
      <c r="AJ119" s="14">
        <f>AI119*VLOOKUP('Données projet'!$B$10,Paramètres!$A$1:$I$89,3,0)*VLOOKUP('Données projet'!$B$10,Paramètres!$A$1:$I$89,5,0)</f>
        <v>338.6759999999997</v>
      </c>
      <c r="AK119" s="14">
        <f t="shared" si="89"/>
        <v>79.226337553065648</v>
      </c>
      <c r="AL119" s="22">
        <f t="shared" si="58"/>
        <v>727.84657123825548</v>
      </c>
      <c r="AM119" s="62">
        <f t="shared" si="59"/>
        <v>1009.140815132977</v>
      </c>
      <c r="AN119" s="62">
        <f ca="1">AVERAGE(OFFSET($AM$3,0,0,'Données projet'!$E$10+1,1))-AVERAGE(OFFSET($H$3,0,0,'Données projet'!$E$10+1,1))</f>
        <v>606.55142836375308</v>
      </c>
      <c r="AO119" s="62">
        <f t="shared" si="90"/>
        <v>325.72635759450861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3.3974358974359005</v>
      </c>
      <c r="BD119" s="13">
        <f>IF('Données projet'!$A$88&gt;35,BD118+BC119-BL118,IF(A119&lt;'Données projet'!$A$88,$BA$205^A119,IF(A119='Données projet'!$A$88,'Données projet'!$B$88,BD118+BC119-BL118)))</f>
        <v>385.769230769231</v>
      </c>
      <c r="BE119" s="14">
        <f>BD119*VLOOKUP('Données projet'!$B$11,Paramètres!$A$1:$I$89,3,0)*VLOOKUP('Données projet'!$B$11,Paramètres!$A$1:$I$89,5,0)</f>
        <v>403.20600000000024</v>
      </c>
      <c r="BF119" s="14">
        <f t="shared" si="91"/>
        <v>92.426330228586465</v>
      </c>
      <c r="BG119" s="22">
        <f t="shared" si="61"/>
        <v>863.22630848145525</v>
      </c>
      <c r="BH119" s="62">
        <f t="shared" si="62"/>
        <v>1144.5205523761767</v>
      </c>
      <c r="BI119" s="62">
        <f ca="1">AVERAGE(OFFSET($BH$3,0,0,'Données projet'!$E$11+1,1))-AVERAGE(OFFSET($H$3,0,0,'Données projet'!$E$11+1,1))</f>
        <v>635.13577238794812</v>
      </c>
      <c r="BJ119" s="62">
        <f t="shared" si="92"/>
        <v>374.35810525172019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-6.8212102632969618E-13</v>
      </c>
      <c r="BZ119" s="14">
        <f>BY119*VLOOKUP('Données projet'!$B$12,Paramètres!$A$1:$I$89,3,0)*VLOOKUP('Données projet'!$B$12,Paramètres!$A$1:$I$89,5,0)</f>
        <v>-3.0149749363772573E-13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580.02817743695846</v>
      </c>
      <c r="CE119" s="62">
        <f t="shared" si="94"/>
        <v>551.23515633208865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7.0884615384615346</v>
      </c>
      <c r="CT119" s="13">
        <f>IF('Données projet'!$A$140&gt;35,CT118+CS119-DB118,IF(A119&lt;'Données projet'!$A$140,$CQ$205^A119,IF(A119='Données projet'!$A$140,'Données projet'!$B$140,CT118+CS119-DB118)))</f>
        <v>382.16538461538494</v>
      </c>
      <c r="CU119" s="18">
        <f>CT119*VLOOKUP('Données projet'!$B$13,Paramètres!$A$1:$I$89,3,0)*VLOOKUP('Données projet'!$B$13,Paramètres!$A$1:$I$89,5,0)</f>
        <v>178.85340000000014</v>
      </c>
      <c r="CV119" s="14">
        <f t="shared" si="95"/>
        <v>45.06699399320177</v>
      </c>
      <c r="CW119" s="22">
        <f t="shared" si="67"/>
        <v>389.99468620482668</v>
      </c>
      <c r="CX119" s="62">
        <f t="shared" si="68"/>
        <v>671.28893009954822</v>
      </c>
      <c r="CY119" s="62">
        <f ca="1">AVERAGE(OFFSET($CX$3,0,0,'Données projet'!$E$13+1,1))-AVERAGE(OFFSET($H$3,0,0,'Données projet'!$E$13+1,1))</f>
        <v>321.05795935196863</v>
      </c>
      <c r="CZ119" s="62">
        <f t="shared" si="96"/>
        <v>209.59551322748908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4.5</v>
      </c>
      <c r="DO119" s="13">
        <f>IF('Données projet'!$A$166&gt;35,DO118+DN119-DW118,IF(A119&lt;'Données projet'!$A$166,$DL$205^A119,IF(A119='Données projet'!$A$166,'Données projet'!$B$166,DO118+DN119-DW118)))</f>
        <v>333.99999999999966</v>
      </c>
      <c r="DP119" s="18">
        <f>DO119*VLOOKUP('Données projet'!$B$14,Paramètres!$A$1:$I$89,3,0)*VLOOKUP('Données projet'!$B$14,Paramètres!$A$1:$I$89,5,0)</f>
        <v>359.51759999999962</v>
      </c>
      <c r="DQ119" s="14">
        <f t="shared" si="97"/>
        <v>83.519213249444618</v>
      </c>
      <c r="DR119" s="22">
        <f t="shared" si="70"/>
        <v>771.62244974278201</v>
      </c>
      <c r="DS119" s="62">
        <f t="shared" si="71"/>
        <v>1052.9166936375036</v>
      </c>
      <c r="DT119" s="62">
        <f ca="1">AVERAGE(OFFSET($DS$3,0,0,'Données projet'!$E$14+1,1))-AVERAGE(OFFSET($H$3,0,0,'Données projet'!$E$14+1,1))</f>
        <v>638.58602907610805</v>
      </c>
      <c r="DU119" s="62">
        <f t="shared" si="98"/>
        <v>341.9250949809848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5.6843418860808015E-14</v>
      </c>
      <c r="EK119" s="18">
        <f>EJ119*VLOOKUP('Données projet'!$B$15,Paramètres!$A$1:$I$89,3,0)*VLOOKUP('Données projet'!$B$15,Paramètres!$A$1:$I$89,5,0)</f>
        <v>3.3992364478763198E-14</v>
      </c>
      <c r="EL119" s="14">
        <f t="shared" si="99"/>
        <v>5.790027782444094E-13</v>
      </c>
      <c r="EM119" s="22">
        <f t="shared" si="73"/>
        <v>1.0676332069095257E-12</v>
      </c>
      <c r="EN119" s="62">
        <f t="shared" si="74"/>
        <v>281.29424389472257</v>
      </c>
      <c r="EO119" s="62">
        <f ca="1">AVERAGE(OFFSET($EN$3,0,0,'Données projet'!$E$15+1,1))-AVERAGE(OFFSET($H$3,0,0,'Données projet'!$E$15+1,1))</f>
        <v>223.57443551076992</v>
      </c>
      <c r="EP119" s="62">
        <f t="shared" si="100"/>
        <v>382.12751862619427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4.8464957596543803</v>
      </c>
      <c r="EW119" s="23">
        <f>EXP(-LN(2)/25)*EW118+(1-EXP(-LN(2)/25))/(LN(2)/25)*Calculateur!ER119*Calculateur!ET119*VLOOKUP('Données projet'!$B$15,Paramètres!$A$1:$I$89,3,0)*0.475*44/12</f>
        <v>1.2789388872465874</v>
      </c>
      <c r="EX119" s="23">
        <f>EXP(-LN(2)/2)*EX118+(1-EXP(-LN(2)/2))/(LN(2)/2)*ER119*EU119*VLOOKUP('Données projet'!$B$15,Paramètres!$A$1:$I$89,3,0)*0.475*44/12</f>
        <v>1.1525114000115851E-12</v>
      </c>
      <c r="EY119" s="24">
        <f t="shared" si="75"/>
        <v>6.1254346469021206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1.3150000000000006</v>
      </c>
      <c r="FE119" s="13">
        <f>IF('Données projet'!$A$218&gt;35,FE118+FD119-FM118,IF(A119&lt;'Données projet'!$A$218,$FB$205^A119,IF(A119='Données projet'!$A$218,'Données projet'!$B$218,FE118+FD119-FM118)))</f>
        <v>115.38166666666663</v>
      </c>
      <c r="FF119" s="18">
        <f>FE119*VLOOKUP('Données projet'!$B$16,Paramètres!$A$1:$I$89,3,0)*VLOOKUP('Données projet'!$B$16,Paramètres!$A$1:$I$89,5,0)</f>
        <v>132.91967999999994</v>
      </c>
      <c r="FG119" s="14">
        <f t="shared" si="101"/>
        <v>34.670137089980948</v>
      </c>
      <c r="FH119" s="22">
        <f t="shared" si="76"/>
        <v>291.88559809838341</v>
      </c>
      <c r="FI119" s="62">
        <f t="shared" si="77"/>
        <v>573.1798419931049</v>
      </c>
      <c r="FJ119" s="62">
        <f ca="1">AVERAGE(OFFSET($FI$3,0,0,'Données projet'!$E$16+1,1))-AVERAGE(OFFSET($H$3,0,0,'Données projet'!$E$16+1,1))</f>
        <v>283.95543623515323</v>
      </c>
      <c r="FK119" s="62">
        <f t="shared" si="102"/>
        <v>196.96883829830929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5.6843418860808015E-14</v>
      </c>
      <c r="GA119" s="18">
        <f>FZ119*VLOOKUP('Données projet'!$B$17,Paramètres!$A$1:$I$89,3,0)*VLOOKUP('Données projet'!$B$17,Paramètres!$A$1:$I$89,5,0)</f>
        <v>3.3992364478763198E-14</v>
      </c>
      <c r="GB119" s="14">
        <f t="shared" si="103"/>
        <v>5.790027782444094E-13</v>
      </c>
      <c r="GC119" s="22">
        <f t="shared" si="79"/>
        <v>1.0676332069095257E-12</v>
      </c>
      <c r="GD119" s="62">
        <f t="shared" si="80"/>
        <v>281.29424389472257</v>
      </c>
      <c r="GE119" s="62">
        <f ca="1">AVERAGE(OFFSET($GD$3,0,0,'Données projet'!$E$17+1,1))-AVERAGE(OFFSET($H$3,0,0,'Données projet'!$E$17+1,1))</f>
        <v>223.57443551076992</v>
      </c>
      <c r="GF119" s="62">
        <f t="shared" si="104"/>
        <v>382.12751862619427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4.8464957596543803</v>
      </c>
      <c r="GM119" s="23">
        <f>EXP(-LN(2)/25)*GM118+(1-EXP(-LN(2)/25))/(LN(2)/25)*Calculateur!GH119*Calculateur!GJ119*VLOOKUP('Données projet'!$B$17,Paramètres!$A$1:$I$89,3,0)*0.475*44/12</f>
        <v>1.2789388872465874</v>
      </c>
      <c r="GN119" s="23">
        <f>EXP(-LN(2)/2)*GN118+(1-EXP(-LN(2)/2))/(LN(2)/2)*GH119*GK119*VLOOKUP('Données projet'!$B$17,Paramètres!$A$1:$I$89,3,0)*0.475*44/12</f>
        <v>1.1525114000115851E-12</v>
      </c>
      <c r="GO119" s="23">
        <f t="shared" si="81"/>
        <v>6.1254346469021206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6.4273627122339976</v>
      </c>
      <c r="GU119" s="13">
        <f>IF('Données projet'!$A$270&gt;35,GU118+GT119-HC118,IF(A119&lt;'Données projet'!$A$270,$GR$205^A119,IF(A119='Données projet'!$A$270,'Données projet'!$B$270,GU118+GT119-HC118)))</f>
        <v>456.79898981760323</v>
      </c>
      <c r="GV119" s="18">
        <f>GU119*VLOOKUP('Données projet'!$B$18,Paramètres!$A$1:$I$89,3,0)*VLOOKUP('Données projet'!$B$18,Paramètres!$A$1:$I$89,5,0)</f>
        <v>498.82449688082272</v>
      </c>
      <c r="GW119" s="14">
        <f t="shared" si="105"/>
        <v>111.54721128604655</v>
      </c>
      <c r="GX119" s="22">
        <f t="shared" si="82"/>
        <v>1063.0640583906304</v>
      </c>
      <c r="GY119" s="62">
        <f t="shared" si="83"/>
        <v>1344.3583022853518</v>
      </c>
      <c r="GZ119" s="62">
        <f ca="1">AVERAGE(OFFSET($GY$3,0,0,'Données projet'!$E$18+1,1))-AVERAGE(OFFSET($H$3,0,0,'Données projet'!$E$18+1,1))</f>
        <v>754.33260592777049</v>
      </c>
      <c r="HA119" s="62">
        <f t="shared" si="106"/>
        <v>250.97643915279005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9">
        <f t="shared" si="56"/>
        <v>183.33333333333334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338.49999999999966</v>
      </c>
      <c r="O120" s="14">
        <f>N120*VLOOKUP('Données projet'!$B$9,Paramètres!$A$1:$I$89,3,0)*VLOOKUP('Données projet'!$B$9,Paramètres!$A$1:$I$89,5,0)</f>
        <v>306.27479999999969</v>
      </c>
      <c r="P120" s="14">
        <f t="shared" si="87"/>
        <v>72.490313602282981</v>
      </c>
      <c r="Q120" s="22">
        <f t="shared" si="107"/>
        <v>659.68257285730897</v>
      </c>
      <c r="R120" s="62">
        <f t="shared" si="55"/>
        <v>941.18566803841861</v>
      </c>
      <c r="S120" s="62">
        <f ca="1">AVERAGE(OFFSET($R$3,0,0,'Données projet'!$E$9+1,1))-AVERAGE(OFFSET($H$3,0,0,'Données projet'!$E$9+1,1))</f>
        <v>550.39292625253665</v>
      </c>
      <c r="T120" s="62">
        <f t="shared" si="88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4.5</v>
      </c>
      <c r="AI120" s="14">
        <f>IF('Données projet'!$A$62&gt;35,AI119+AH120-AQ119,IF(A120&lt;'Données projet'!$A$62,$AF$205^A120,IF(A120='Données projet'!$A$62,'Données projet'!$B$62,AI119+AH120-AQ119)))</f>
        <v>338.49999999999966</v>
      </c>
      <c r="AJ120" s="14">
        <f>AI120*VLOOKUP('Données projet'!$B$10,Paramètres!$A$1:$I$89,3,0)*VLOOKUP('Données projet'!$B$10,Paramètres!$A$1:$I$89,5,0)</f>
        <v>343.23899999999969</v>
      </c>
      <c r="AK120" s="14">
        <f t="shared" si="89"/>
        <v>80.168774607305735</v>
      </c>
      <c r="AL120" s="22">
        <f t="shared" si="58"/>
        <v>737.43520744105683</v>
      </c>
      <c r="AM120" s="62">
        <f t="shared" si="59"/>
        <v>1018.9383026221665</v>
      </c>
      <c r="AN120" s="62">
        <f ca="1">AVERAGE(OFFSET($AM$3,0,0,'Données projet'!$E$10+1,1))-AVERAGE(OFFSET($H$3,0,0,'Données projet'!$E$10+1,1))</f>
        <v>606.55142836375308</v>
      </c>
      <c r="AO120" s="62">
        <f t="shared" si="90"/>
        <v>325.72635759450861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3.3974358974359005</v>
      </c>
      <c r="BD120" s="13">
        <f>IF('Données projet'!$A$88&gt;35,BD119+BC120-BL119,IF(A120&lt;'Données projet'!$A$88,$BA$205^A120,IF(A120='Données projet'!$A$88,'Données projet'!$B$88,BD119+BC120-BL119)))</f>
        <v>389.16666666666691</v>
      </c>
      <c r="BE120" s="14">
        <f>BD120*VLOOKUP('Données projet'!$B$11,Paramètres!$A$1:$I$89,3,0)*VLOOKUP('Données projet'!$B$11,Paramètres!$A$1:$I$89,5,0)</f>
        <v>406.75700000000029</v>
      </c>
      <c r="BF120" s="14">
        <f t="shared" si="91"/>
        <v>93.145204879435809</v>
      </c>
      <c r="BG120" s="22">
        <f t="shared" si="61"/>
        <v>870.66300683168447</v>
      </c>
      <c r="BH120" s="62">
        <f t="shared" si="62"/>
        <v>1152.166102012794</v>
      </c>
      <c r="BI120" s="62">
        <f ca="1">AVERAGE(OFFSET($BH$3,0,0,'Données projet'!$E$11+1,1))-AVERAGE(OFFSET($H$3,0,0,'Données projet'!$E$11+1,1))</f>
        <v>635.13577238794812</v>
      </c>
      <c r="BJ120" s="62">
        <f t="shared" si="92"/>
        <v>374.35810525172019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-6.8212102632969618E-13</v>
      </c>
      <c r="BZ120" s="14">
        <f>BY120*VLOOKUP('Données projet'!$B$12,Paramètres!$A$1:$I$89,3,0)*VLOOKUP('Données projet'!$B$12,Paramètres!$A$1:$I$89,5,0)</f>
        <v>-3.0149749363772573E-13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580.02817743695846</v>
      </c>
      <c r="CE120" s="62">
        <f t="shared" si="94"/>
        <v>551.23515633208865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7.0884615384615346</v>
      </c>
      <c r="CT120" s="13">
        <f>IF('Données projet'!$A$140&gt;35,CT119+CS120-DB119,IF(A120&lt;'Données projet'!$A$140,$CQ$205^A120,IF(A120='Données projet'!$A$140,'Données projet'!$B$140,CT119+CS120-DB119)))</f>
        <v>389.2538461538465</v>
      </c>
      <c r="CU120" s="18">
        <f>CT120*VLOOKUP('Données projet'!$B$13,Paramètres!$A$1:$I$89,3,0)*VLOOKUP('Données projet'!$B$13,Paramètres!$A$1:$I$89,5,0)</f>
        <v>182.17080000000018</v>
      </c>
      <c r="CV120" s="14">
        <f t="shared" si="95"/>
        <v>45.804811695795266</v>
      </c>
      <c r="CW120" s="22">
        <f t="shared" si="67"/>
        <v>397.05752370351041</v>
      </c>
      <c r="CX120" s="62">
        <f t="shared" si="68"/>
        <v>678.56061888462</v>
      </c>
      <c r="CY120" s="62">
        <f ca="1">AVERAGE(OFFSET($CX$3,0,0,'Données projet'!$E$13+1,1))-AVERAGE(OFFSET($H$3,0,0,'Données projet'!$E$13+1,1))</f>
        <v>321.05795935196863</v>
      </c>
      <c r="CZ120" s="62">
        <f t="shared" si="96"/>
        <v>209.59551322748908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4.5</v>
      </c>
      <c r="DO120" s="13">
        <f>IF('Données projet'!$A$166&gt;35,DO119+DN120-DW119,IF(A120&lt;'Données projet'!$A$166,$DL$205^A120,IF(A120='Données projet'!$A$166,'Données projet'!$B$166,DO119+DN120-DW119)))</f>
        <v>338.49999999999966</v>
      </c>
      <c r="DP120" s="18">
        <f>DO120*VLOOKUP('Données projet'!$B$14,Paramètres!$A$1:$I$89,3,0)*VLOOKUP('Données projet'!$B$14,Paramètres!$A$1:$I$89,5,0)</f>
        <v>364.36139999999961</v>
      </c>
      <c r="DQ120" s="14">
        <f t="shared" si="97"/>
        <v>84.512716214977203</v>
      </c>
      <c r="DR120" s="22">
        <f t="shared" si="70"/>
        <v>781.7890857410847</v>
      </c>
      <c r="DS120" s="62">
        <f t="shared" si="71"/>
        <v>1063.2921809221943</v>
      </c>
      <c r="DT120" s="62">
        <f ca="1">AVERAGE(OFFSET($DS$3,0,0,'Données projet'!$E$14+1,1))-AVERAGE(OFFSET($H$3,0,0,'Données projet'!$E$14+1,1))</f>
        <v>638.58602907610805</v>
      </c>
      <c r="DU120" s="62">
        <f t="shared" si="98"/>
        <v>341.9250949809848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5.6843418860808015E-14</v>
      </c>
      <c r="EK120" s="18">
        <f>EJ120*VLOOKUP('Données projet'!$B$15,Paramètres!$A$1:$I$89,3,0)*VLOOKUP('Données projet'!$B$15,Paramètres!$A$1:$I$89,5,0)</f>
        <v>3.3992364478763198E-14</v>
      </c>
      <c r="EL120" s="14">
        <f t="shared" si="99"/>
        <v>5.790027782444094E-13</v>
      </c>
      <c r="EM120" s="22">
        <f t="shared" si="73"/>
        <v>1.0676332069095257E-12</v>
      </c>
      <c r="EN120" s="62">
        <f t="shared" si="74"/>
        <v>281.50309518111072</v>
      </c>
      <c r="EO120" s="62">
        <f ca="1">AVERAGE(OFFSET($EN$3,0,0,'Données projet'!$E$15+1,1))-AVERAGE(OFFSET($H$3,0,0,'Données projet'!$E$15+1,1))</f>
        <v>223.57443551076992</v>
      </c>
      <c r="EP120" s="62">
        <f t="shared" si="100"/>
        <v>382.12751862619427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4.7514589338780837</v>
      </c>
      <c r="EW120" s="23">
        <f>EXP(-LN(2)/25)*EW119+(1-EXP(-LN(2)/25))/(LN(2)/25)*Calculateur!ER120*Calculateur!ET120*VLOOKUP('Données projet'!$B$15,Paramètres!$A$1:$I$89,3,0)*0.475*44/12</f>
        <v>1.2439662361183565</v>
      </c>
      <c r="EX120" s="23">
        <f>EXP(-LN(2)/2)*EX119+(1-EXP(-LN(2)/2))/(LN(2)/2)*ER120*EU120*VLOOKUP('Données projet'!$B$15,Paramètres!$A$1:$I$89,3,0)*0.475*44/12</f>
        <v>8.1494862634299345E-13</v>
      </c>
      <c r="EY120" s="24">
        <f t="shared" si="75"/>
        <v>5.9954251699972554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1.3150000000000006</v>
      </c>
      <c r="FE120" s="13">
        <f>IF('Données projet'!$A$218&gt;35,FE119+FD120-FM119,IF(A120&lt;'Données projet'!$A$218,$FB$205^A120,IF(A120='Données projet'!$A$218,'Données projet'!$B$218,FE119+FD120-FM119)))</f>
        <v>116.69666666666663</v>
      </c>
      <c r="FF120" s="18">
        <f>FE120*VLOOKUP('Données projet'!$B$16,Paramètres!$A$1:$I$89,3,0)*VLOOKUP('Données projet'!$B$16,Paramètres!$A$1:$I$89,5,0)</f>
        <v>134.43455999999995</v>
      </c>
      <c r="FG120" s="14">
        <f t="shared" si="101"/>
        <v>35.019046965466664</v>
      </c>
      <c r="FH120" s="22">
        <f t="shared" si="76"/>
        <v>295.13169879818764</v>
      </c>
      <c r="FI120" s="62">
        <f t="shared" si="77"/>
        <v>576.63479397929723</v>
      </c>
      <c r="FJ120" s="62">
        <f ca="1">AVERAGE(OFFSET($FI$3,0,0,'Données projet'!$E$16+1,1))-AVERAGE(OFFSET($H$3,0,0,'Données projet'!$E$16+1,1))</f>
        <v>283.95543623515323</v>
      </c>
      <c r="FK120" s="62">
        <f t="shared" si="102"/>
        <v>196.96883829830929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5.6843418860808015E-14</v>
      </c>
      <c r="GA120" s="18">
        <f>FZ120*VLOOKUP('Données projet'!$B$17,Paramètres!$A$1:$I$89,3,0)*VLOOKUP('Données projet'!$B$17,Paramètres!$A$1:$I$89,5,0)</f>
        <v>3.3992364478763198E-14</v>
      </c>
      <c r="GB120" s="14">
        <f t="shared" si="103"/>
        <v>5.790027782444094E-13</v>
      </c>
      <c r="GC120" s="22">
        <f t="shared" si="79"/>
        <v>1.0676332069095257E-12</v>
      </c>
      <c r="GD120" s="62">
        <f t="shared" si="80"/>
        <v>281.50309518111072</v>
      </c>
      <c r="GE120" s="62">
        <f ca="1">AVERAGE(OFFSET($GD$3,0,0,'Données projet'!$E$17+1,1))-AVERAGE(OFFSET($H$3,0,0,'Données projet'!$E$17+1,1))</f>
        <v>223.57443551076992</v>
      </c>
      <c r="GF120" s="62">
        <f t="shared" si="104"/>
        <v>382.12751862619427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4.7514589338780837</v>
      </c>
      <c r="GM120" s="23">
        <f>EXP(-LN(2)/25)*GM119+(1-EXP(-LN(2)/25))/(LN(2)/25)*Calculateur!GH120*Calculateur!GJ120*VLOOKUP('Données projet'!$B$17,Paramètres!$A$1:$I$89,3,0)*0.475*44/12</f>
        <v>1.2439662361183565</v>
      </c>
      <c r="GN120" s="23">
        <f>EXP(-LN(2)/2)*GN119+(1-EXP(-LN(2)/2))/(LN(2)/2)*GH120*GK120*VLOOKUP('Données projet'!$B$17,Paramètres!$A$1:$I$89,3,0)*0.475*44/12</f>
        <v>8.1494862634299345E-13</v>
      </c>
      <c r="GO120" s="23">
        <f t="shared" si="81"/>
        <v>5.9954251699972554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6.4273627122339976</v>
      </c>
      <c r="GU120" s="13">
        <f>IF('Données projet'!$A$270&gt;35,GU119+GT120-HC119,IF(A120&lt;'Données projet'!$A$270,$GR$205^A120,IF(A120='Données projet'!$A$270,'Données projet'!$B$270,GU119+GT120-HC119)))</f>
        <v>463.22635252983724</v>
      </c>
      <c r="GV120" s="18">
        <f>GU120*VLOOKUP('Données projet'!$B$18,Paramètres!$A$1:$I$89,3,0)*VLOOKUP('Données projet'!$B$18,Paramètres!$A$1:$I$89,5,0)</f>
        <v>505.84317696258228</v>
      </c>
      <c r="GW120" s="14">
        <f t="shared" si="105"/>
        <v>112.93290791117336</v>
      </c>
      <c r="GX120" s="22">
        <f t="shared" si="82"/>
        <v>1077.7016811551241</v>
      </c>
      <c r="GY120" s="62">
        <f t="shared" si="83"/>
        <v>1359.2047763362339</v>
      </c>
      <c r="GZ120" s="62">
        <f ca="1">AVERAGE(OFFSET($GY$3,0,0,'Données projet'!$E$18+1,1))-AVERAGE(OFFSET($H$3,0,0,'Données projet'!$E$18+1,1))</f>
        <v>754.33260592777049</v>
      </c>
      <c r="HA120" s="62">
        <f t="shared" si="106"/>
        <v>250.97643915279005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9">
        <f t="shared" si="56"/>
        <v>183.33333333333334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342.99999999999966</v>
      </c>
      <c r="O121" s="14">
        <f>N121*VLOOKUP('Données projet'!$B$9,Paramètres!$A$1:$I$89,3,0)*VLOOKUP('Données projet'!$B$9,Paramètres!$A$1:$I$89,5,0)</f>
        <v>310.34639999999968</v>
      </c>
      <c r="P121" s="14">
        <f t="shared" si="87"/>
        <v>73.341167576152998</v>
      </c>
      <c r="Q121" s="22">
        <f t="shared" si="107"/>
        <v>668.25584686179923</v>
      </c>
      <c r="R121" s="62">
        <f t="shared" si="55"/>
        <v>949.96417022639957</v>
      </c>
      <c r="S121" s="62">
        <f ca="1">AVERAGE(OFFSET($R$3,0,0,'Données projet'!$E$9+1,1))-AVERAGE(OFFSET($H$3,0,0,'Données projet'!$E$9+1,1))</f>
        <v>550.39292625253665</v>
      </c>
      <c r="T121" s="62">
        <f t="shared" si="88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4.5</v>
      </c>
      <c r="AI121" s="14">
        <f>IF('Données projet'!$A$62&gt;35,AI120+AH121-AQ120,IF(A121&lt;'Données projet'!$A$62,$AF$205^A121,IF(A121='Données projet'!$A$62,'Données projet'!$B$62,AI120+AH121-AQ120)))</f>
        <v>342.99999999999966</v>
      </c>
      <c r="AJ121" s="14">
        <f>AI121*VLOOKUP('Données projet'!$B$10,Paramètres!$A$1:$I$89,3,0)*VLOOKUP('Données projet'!$B$10,Paramètres!$A$1:$I$89,5,0)</f>
        <v>347.80199999999968</v>
      </c>
      <c r="AK121" s="14">
        <f t="shared" si="89"/>
        <v>81.109754402608502</v>
      </c>
      <c r="AL121" s="22">
        <f t="shared" si="58"/>
        <v>747.02130558454246</v>
      </c>
      <c r="AM121" s="62">
        <f t="shared" si="59"/>
        <v>1028.7296289491428</v>
      </c>
      <c r="AN121" s="62">
        <f ca="1">AVERAGE(OFFSET($AM$3,0,0,'Données projet'!$E$10+1,1))-AVERAGE(OFFSET($H$3,0,0,'Données projet'!$E$10+1,1))</f>
        <v>606.55142836375308</v>
      </c>
      <c r="AO121" s="62">
        <f t="shared" si="90"/>
        <v>325.72635759450861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3.3974358974359005</v>
      </c>
      <c r="BD121" s="13">
        <f>IF('Données projet'!$A$88&gt;35,BD120+BC121-BL120,IF(A121&lt;'Données projet'!$A$88,$BA$205^A121,IF(A121='Données projet'!$A$88,'Données projet'!$B$88,BD120+BC121-BL120)))</f>
        <v>392.56410256410282</v>
      </c>
      <c r="BE121" s="14">
        <f>BD121*VLOOKUP('Données projet'!$B$11,Paramètres!$A$1:$I$89,3,0)*VLOOKUP('Données projet'!$B$11,Paramètres!$A$1:$I$89,5,0)</f>
        <v>410.30800000000033</v>
      </c>
      <c r="BF121" s="14">
        <f t="shared" si="91"/>
        <v>93.863349388874639</v>
      </c>
      <c r="BG121" s="22">
        <f t="shared" si="61"/>
        <v>878.09843351895722</v>
      </c>
      <c r="BH121" s="62">
        <f t="shared" si="62"/>
        <v>1159.8067568835577</v>
      </c>
      <c r="BI121" s="62">
        <f ca="1">AVERAGE(OFFSET($BH$3,0,0,'Données projet'!$E$11+1,1))-AVERAGE(OFFSET($H$3,0,0,'Données projet'!$E$11+1,1))</f>
        <v>635.13577238794812</v>
      </c>
      <c r="BJ121" s="62">
        <f t="shared" si="92"/>
        <v>374.35810525172019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-6.8212102632969618E-13</v>
      </c>
      <c r="BZ121" s="14">
        <f>BY121*VLOOKUP('Données projet'!$B$12,Paramètres!$A$1:$I$89,3,0)*VLOOKUP('Données projet'!$B$12,Paramètres!$A$1:$I$89,5,0)</f>
        <v>-3.0149749363772573E-13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580.02817743695846</v>
      </c>
      <c r="CE121" s="62">
        <f t="shared" si="94"/>
        <v>551.23515633208865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7.0884615384615346</v>
      </c>
      <c r="CT121" s="13">
        <f>IF('Données projet'!$A$140&gt;35,CT120+CS121-DB120,IF(A121&lt;'Données projet'!$A$140,$CQ$205^A121,IF(A121='Données projet'!$A$140,'Données projet'!$B$140,CT120+CS121-DB120)))</f>
        <v>396.34230769230805</v>
      </c>
      <c r="CU121" s="18">
        <f>CT121*VLOOKUP('Données projet'!$B$13,Paramètres!$A$1:$I$89,3,0)*VLOOKUP('Données projet'!$B$13,Paramètres!$A$1:$I$89,5,0)</f>
        <v>185.48820000000018</v>
      </c>
      <c r="CV121" s="14">
        <f t="shared" si="95"/>
        <v>46.541067019726007</v>
      </c>
      <c r="CW121" s="22">
        <f t="shared" si="67"/>
        <v>404.11764005935646</v>
      </c>
      <c r="CX121" s="62">
        <f t="shared" si="68"/>
        <v>685.82596342395686</v>
      </c>
      <c r="CY121" s="62">
        <f ca="1">AVERAGE(OFFSET($CX$3,0,0,'Données projet'!$E$13+1,1))-AVERAGE(OFFSET($H$3,0,0,'Données projet'!$E$13+1,1))</f>
        <v>321.05795935196863</v>
      </c>
      <c r="CZ121" s="62">
        <f t="shared" si="96"/>
        <v>209.59551322748908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4.5</v>
      </c>
      <c r="DO121" s="13">
        <f>IF('Données projet'!$A$166&gt;35,DO120+DN121-DW120,IF(A121&lt;'Données projet'!$A$166,$DL$205^A121,IF(A121='Données projet'!$A$166,'Données projet'!$B$166,DO120+DN121-DW120)))</f>
        <v>342.99999999999966</v>
      </c>
      <c r="DP121" s="18">
        <f>DO121*VLOOKUP('Données projet'!$B$14,Paramètres!$A$1:$I$89,3,0)*VLOOKUP('Données projet'!$B$14,Paramètres!$A$1:$I$89,5,0)</f>
        <v>369.20519999999965</v>
      </c>
      <c r="DQ121" s="14">
        <f t="shared" si="97"/>
        <v>85.504682960059569</v>
      </c>
      <c r="DR121" s="22">
        <f t="shared" si="70"/>
        <v>791.95304615543637</v>
      </c>
      <c r="DS121" s="62">
        <f t="shared" si="71"/>
        <v>1073.6613695200367</v>
      </c>
      <c r="DT121" s="62">
        <f ca="1">AVERAGE(OFFSET($DS$3,0,0,'Données projet'!$E$14+1,1))-AVERAGE(OFFSET($H$3,0,0,'Données projet'!$E$14+1,1))</f>
        <v>638.58602907610805</v>
      </c>
      <c r="DU121" s="62">
        <f t="shared" si="98"/>
        <v>341.9250949809848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5.6843418860808015E-14</v>
      </c>
      <c r="EK121" s="18">
        <f>EJ121*VLOOKUP('Données projet'!$B$15,Paramètres!$A$1:$I$89,3,0)*VLOOKUP('Données projet'!$B$15,Paramètres!$A$1:$I$89,5,0)</f>
        <v>3.3992364478763198E-14</v>
      </c>
      <c r="EL121" s="14">
        <f t="shared" si="99"/>
        <v>5.790027782444094E-13</v>
      </c>
      <c r="EM121" s="22">
        <f t="shared" si="73"/>
        <v>1.0676332069095257E-12</v>
      </c>
      <c r="EN121" s="62">
        <f t="shared" si="74"/>
        <v>281.70832336460148</v>
      </c>
      <c r="EO121" s="62">
        <f ca="1">AVERAGE(OFFSET($EN$3,0,0,'Données projet'!$E$15+1,1))-AVERAGE(OFFSET($H$3,0,0,'Données projet'!$E$15+1,1))</f>
        <v>223.57443551076992</v>
      </c>
      <c r="EP121" s="62">
        <f t="shared" si="100"/>
        <v>382.12751862619427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4.6582857222885199</v>
      </c>
      <c r="EW121" s="23">
        <f>EXP(-LN(2)/25)*EW120+(1-EXP(-LN(2)/25))/(LN(2)/25)*Calculateur!ER121*Calculateur!ET121*VLOOKUP('Données projet'!$B$15,Paramètres!$A$1:$I$89,3,0)*0.475*44/12</f>
        <v>1.2099499139743588</v>
      </c>
      <c r="EX121" s="23">
        <f>EXP(-LN(2)/2)*EX120+(1-EXP(-LN(2)/2))/(LN(2)/2)*ER121*EU121*VLOOKUP('Données projet'!$B$15,Paramètres!$A$1:$I$89,3,0)*0.475*44/12</f>
        <v>5.7625570000579254E-13</v>
      </c>
      <c r="EY121" s="24">
        <f t="shared" si="75"/>
        <v>5.8682356362634556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1.3150000000000006</v>
      </c>
      <c r="FE121" s="13">
        <f>IF('Données projet'!$A$218&gt;35,FE120+FD121-FM120,IF(A121&lt;'Données projet'!$A$218,$FB$205^A121,IF(A121='Données projet'!$A$218,'Données projet'!$B$218,FE120+FD121-FM120)))</f>
        <v>118.01166666666663</v>
      </c>
      <c r="FF121" s="18">
        <f>FE121*VLOOKUP('Données projet'!$B$16,Paramètres!$A$1:$I$89,3,0)*VLOOKUP('Données projet'!$B$16,Paramètres!$A$1:$I$89,5,0)</f>
        <v>135.94943999999995</v>
      </c>
      <c r="FG121" s="14">
        <f t="shared" si="101"/>
        <v>35.367499480643595</v>
      </c>
      <c r="FH121" s="22">
        <f t="shared" si="76"/>
        <v>298.37700292878753</v>
      </c>
      <c r="FI121" s="62">
        <f t="shared" si="77"/>
        <v>580.08532629338788</v>
      </c>
      <c r="FJ121" s="62">
        <f ca="1">AVERAGE(OFFSET($FI$3,0,0,'Données projet'!$E$16+1,1))-AVERAGE(OFFSET($H$3,0,0,'Données projet'!$E$16+1,1))</f>
        <v>283.95543623515323</v>
      </c>
      <c r="FK121" s="62">
        <f t="shared" si="102"/>
        <v>196.96883829830929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5.6843418860808015E-14</v>
      </c>
      <c r="GA121" s="18">
        <f>FZ121*VLOOKUP('Données projet'!$B$17,Paramètres!$A$1:$I$89,3,0)*VLOOKUP('Données projet'!$B$17,Paramètres!$A$1:$I$89,5,0)</f>
        <v>3.3992364478763198E-14</v>
      </c>
      <c r="GB121" s="14">
        <f t="shared" si="103"/>
        <v>5.790027782444094E-13</v>
      </c>
      <c r="GC121" s="22">
        <f t="shared" si="79"/>
        <v>1.0676332069095257E-12</v>
      </c>
      <c r="GD121" s="62">
        <f t="shared" si="80"/>
        <v>281.70832336460148</v>
      </c>
      <c r="GE121" s="62">
        <f ca="1">AVERAGE(OFFSET($GD$3,0,0,'Données projet'!$E$17+1,1))-AVERAGE(OFFSET($H$3,0,0,'Données projet'!$E$17+1,1))</f>
        <v>223.57443551076992</v>
      </c>
      <c r="GF121" s="62">
        <f t="shared" si="104"/>
        <v>382.12751862619427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4.6582857222885199</v>
      </c>
      <c r="GM121" s="23">
        <f>EXP(-LN(2)/25)*GM120+(1-EXP(-LN(2)/25))/(LN(2)/25)*Calculateur!GH121*Calculateur!GJ121*VLOOKUP('Données projet'!$B$17,Paramètres!$A$1:$I$89,3,0)*0.475*44/12</f>
        <v>1.2099499139743588</v>
      </c>
      <c r="GN121" s="23">
        <f>EXP(-LN(2)/2)*GN120+(1-EXP(-LN(2)/2))/(LN(2)/2)*GH121*GK121*VLOOKUP('Données projet'!$B$17,Paramètres!$A$1:$I$89,3,0)*0.475*44/12</f>
        <v>5.7625570000579254E-13</v>
      </c>
      <c r="GO121" s="23">
        <f t="shared" si="81"/>
        <v>5.8682356362634556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6.4273627122339976</v>
      </c>
      <c r="GU121" s="13">
        <f>IF('Données projet'!$A$270&gt;35,GU120+GT121-HC120,IF(A121&lt;'Données projet'!$A$270,$GR$205^A121,IF(A121='Données projet'!$A$270,'Données projet'!$B$270,GU120+GT121-HC120)))</f>
        <v>469.65371524207126</v>
      </c>
      <c r="GV121" s="18">
        <f>GU121*VLOOKUP('Données projet'!$B$18,Paramètres!$A$1:$I$89,3,0)*VLOOKUP('Données projet'!$B$18,Paramètres!$A$1:$I$89,5,0)</f>
        <v>512.86185704434183</v>
      </c>
      <c r="GW121" s="14">
        <f t="shared" si="105"/>
        <v>114.31636826359055</v>
      </c>
      <c r="GX121" s="22">
        <f t="shared" si="82"/>
        <v>1092.3354090779824</v>
      </c>
      <c r="GY121" s="62">
        <f t="shared" si="83"/>
        <v>1374.0437324425827</v>
      </c>
      <c r="GZ121" s="62">
        <f ca="1">AVERAGE(OFFSET($GY$3,0,0,'Données projet'!$E$18+1,1))-AVERAGE(OFFSET($H$3,0,0,'Données projet'!$E$18+1,1))</f>
        <v>754.33260592777049</v>
      </c>
      <c r="HA121" s="62">
        <f t="shared" si="106"/>
        <v>250.97643915279005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9">
        <f t="shared" si="56"/>
        <v>183.33333333333334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347.49999999999966</v>
      </c>
      <c r="O122" s="14">
        <f>N122*VLOOKUP('Données projet'!$B$9,Paramètres!$A$1:$I$89,3,0)*VLOOKUP('Données projet'!$B$9,Paramètres!$A$1:$I$89,5,0)</f>
        <v>314.41799999999967</v>
      </c>
      <c r="P122" s="14">
        <f t="shared" si="87"/>
        <v>74.190723151497266</v>
      </c>
      <c r="Q122" s="22">
        <f t="shared" si="107"/>
        <v>676.82685948885705</v>
      </c>
      <c r="R122" s="62">
        <f t="shared" si="55"/>
        <v>958.73685078678614</v>
      </c>
      <c r="S122" s="62">
        <f ca="1">AVERAGE(OFFSET($R$3,0,0,'Données projet'!$E$9+1,1))-AVERAGE(OFFSET($H$3,0,0,'Données projet'!$E$9+1,1))</f>
        <v>550.39292625253665</v>
      </c>
      <c r="T122" s="62">
        <f t="shared" si="88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4.5</v>
      </c>
      <c r="AI122" s="14">
        <f>IF('Données projet'!$A$62&gt;35,AI121+AH122-AQ121,IF(A122&lt;'Données projet'!$A$62,$AF$205^A122,IF(A122='Données projet'!$A$62,'Données projet'!$B$62,AI121+AH122-AQ121)))</f>
        <v>347.49999999999966</v>
      </c>
      <c r="AJ122" s="14">
        <f>AI122*VLOOKUP('Données projet'!$B$10,Paramètres!$A$1:$I$89,3,0)*VLOOKUP('Données projet'!$B$10,Paramètres!$A$1:$I$89,5,0)</f>
        <v>352.36499999999967</v>
      </c>
      <c r="AK122" s="14">
        <f t="shared" si="89"/>
        <v>82.049298267873496</v>
      </c>
      <c r="AL122" s="22">
        <f t="shared" si="58"/>
        <v>756.60490281654575</v>
      </c>
      <c r="AM122" s="62">
        <f t="shared" si="59"/>
        <v>1038.5148941144748</v>
      </c>
      <c r="AN122" s="62">
        <f ca="1">AVERAGE(OFFSET($AM$3,0,0,'Données projet'!$E$10+1,1))-AVERAGE(OFFSET($H$3,0,0,'Données projet'!$E$10+1,1))</f>
        <v>606.55142836375308</v>
      </c>
      <c r="AO122" s="62">
        <f t="shared" si="90"/>
        <v>325.72635759450861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3.3974358974359005</v>
      </c>
      <c r="BD122" s="13">
        <f>IF('Données projet'!$A$88&gt;35,BD121+BC122-BL121,IF(A122&lt;'Données projet'!$A$88,$BA$205^A122,IF(A122='Données projet'!$A$88,'Données projet'!$B$88,BD121+BC122-BL121)))</f>
        <v>395.96153846153874</v>
      </c>
      <c r="BE122" s="14">
        <f>BD122*VLOOKUP('Données projet'!$B$11,Paramètres!$A$1:$I$89,3,0)*VLOOKUP('Données projet'!$B$11,Paramètres!$A$1:$I$89,5,0)</f>
        <v>413.85900000000032</v>
      </c>
      <c r="BF122" s="14">
        <f t="shared" si="91"/>
        <v>94.580770808047944</v>
      </c>
      <c r="BG122" s="22">
        <f t="shared" si="61"/>
        <v>885.53260082401732</v>
      </c>
      <c r="BH122" s="62">
        <f t="shared" si="62"/>
        <v>1167.4425921219465</v>
      </c>
      <c r="BI122" s="62">
        <f ca="1">AVERAGE(OFFSET($BH$3,0,0,'Données projet'!$E$11+1,1))-AVERAGE(OFFSET($H$3,0,0,'Données projet'!$E$11+1,1))</f>
        <v>635.13577238794812</v>
      </c>
      <c r="BJ122" s="62">
        <f t="shared" si="92"/>
        <v>374.35810525172019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-6.8212102632969618E-13</v>
      </c>
      <c r="BZ122" s="14">
        <f>BY122*VLOOKUP('Données projet'!$B$12,Paramètres!$A$1:$I$89,3,0)*VLOOKUP('Données projet'!$B$12,Paramètres!$A$1:$I$89,5,0)</f>
        <v>-3.0149749363772573E-13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580.02817743695846</v>
      </c>
      <c r="CE122" s="62">
        <f t="shared" si="94"/>
        <v>551.23515633208865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7.0884615384615346</v>
      </c>
      <c r="CT122" s="13">
        <f>IF('Données projet'!$A$140&gt;35,CT121+CS122-DB121,IF(A122&lt;'Données projet'!$A$140,$CQ$205^A122,IF(A122='Données projet'!$A$140,'Données projet'!$B$140,CT121+CS122-DB121)))</f>
        <v>403.43076923076961</v>
      </c>
      <c r="CU122" s="18">
        <f>CT122*VLOOKUP('Données projet'!$B$13,Paramètres!$A$1:$I$89,3,0)*VLOOKUP('Données projet'!$B$13,Paramètres!$A$1:$I$89,5,0)</f>
        <v>188.8056000000002</v>
      </c>
      <c r="CV122" s="14">
        <f t="shared" si="95"/>
        <v>47.275791131089093</v>
      </c>
      <c r="CW122" s="22">
        <f t="shared" si="67"/>
        <v>411.17508955331374</v>
      </c>
      <c r="CX122" s="62">
        <f t="shared" si="68"/>
        <v>693.08508085124288</v>
      </c>
      <c r="CY122" s="62">
        <f ca="1">AVERAGE(OFFSET($CX$3,0,0,'Données projet'!$E$13+1,1))-AVERAGE(OFFSET($H$3,0,0,'Données projet'!$E$13+1,1))</f>
        <v>321.05795935196863</v>
      </c>
      <c r="CZ122" s="62">
        <f t="shared" si="96"/>
        <v>209.59551322748908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4.5</v>
      </c>
      <c r="DO122" s="13">
        <f>IF('Données projet'!$A$166&gt;35,DO121+DN122-DW121,IF(A122&lt;'Données projet'!$A$166,$DL$205^A122,IF(A122='Données projet'!$A$166,'Données projet'!$B$166,DO121+DN122-DW121)))</f>
        <v>347.49999999999966</v>
      </c>
      <c r="DP122" s="18">
        <f>DO122*VLOOKUP('Données projet'!$B$14,Paramètres!$A$1:$I$89,3,0)*VLOOKUP('Données projet'!$B$14,Paramètres!$A$1:$I$89,5,0)</f>
        <v>374.04899999999964</v>
      </c>
      <c r="DQ122" s="14">
        <f t="shared" si="97"/>
        <v>86.495135969296754</v>
      </c>
      <c r="DR122" s="22">
        <f t="shared" si="70"/>
        <v>802.11437014652449</v>
      </c>
      <c r="DS122" s="62">
        <f t="shared" si="71"/>
        <v>1084.0243614444537</v>
      </c>
      <c r="DT122" s="62">
        <f ca="1">AVERAGE(OFFSET($DS$3,0,0,'Données projet'!$E$14+1,1))-AVERAGE(OFFSET($H$3,0,0,'Données projet'!$E$14+1,1))</f>
        <v>638.58602907610805</v>
      </c>
      <c r="DU122" s="62">
        <f t="shared" si="98"/>
        <v>341.9250949809848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5.6843418860808015E-14</v>
      </c>
      <c r="EK122" s="18">
        <f>EJ122*VLOOKUP('Données projet'!$B$15,Paramètres!$A$1:$I$89,3,0)*VLOOKUP('Données projet'!$B$15,Paramètres!$A$1:$I$89,5,0)</f>
        <v>3.3992364478763198E-14</v>
      </c>
      <c r="EL122" s="14">
        <f t="shared" si="99"/>
        <v>5.790027782444094E-13</v>
      </c>
      <c r="EM122" s="22">
        <f t="shared" si="73"/>
        <v>1.0676332069095257E-12</v>
      </c>
      <c r="EN122" s="62">
        <f t="shared" si="74"/>
        <v>281.90999129793022</v>
      </c>
      <c r="EO122" s="62">
        <f ca="1">AVERAGE(OFFSET($EN$3,0,0,'Données projet'!$E$15+1,1))-AVERAGE(OFFSET($H$3,0,0,'Données projet'!$E$15+1,1))</f>
        <v>223.57443551076992</v>
      </c>
      <c r="EP122" s="62">
        <f t="shared" si="100"/>
        <v>382.12751862619427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4.5669395805481798</v>
      </c>
      <c r="EW122" s="23">
        <f>EXP(-LN(2)/25)*EW121+(1-EXP(-LN(2)/25))/(LN(2)/25)*Calculateur!ER122*Calculateur!ET122*VLOOKUP('Données projet'!$B$15,Paramètres!$A$1:$I$89,3,0)*0.475*44/12</f>
        <v>1.1768637699482294</v>
      </c>
      <c r="EX122" s="23">
        <f>EXP(-LN(2)/2)*EX121+(1-EXP(-LN(2)/2))/(LN(2)/2)*ER122*EU122*VLOOKUP('Données projet'!$B$15,Paramètres!$A$1:$I$89,3,0)*0.475*44/12</f>
        <v>4.0747431317149672E-13</v>
      </c>
      <c r="EY122" s="24">
        <f t="shared" si="75"/>
        <v>5.7438033504968171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1.3150000000000006</v>
      </c>
      <c r="FE122" s="13">
        <f>IF('Données projet'!$A$218&gt;35,FE121+FD122-FM121,IF(A122&lt;'Données projet'!$A$218,$FB$205^A122,IF(A122='Données projet'!$A$218,'Données projet'!$B$218,FE121+FD122-FM121)))</f>
        <v>119.32666666666663</v>
      </c>
      <c r="FF122" s="18">
        <f>FE122*VLOOKUP('Données projet'!$B$16,Paramètres!$A$1:$I$89,3,0)*VLOOKUP('Données projet'!$B$16,Paramètres!$A$1:$I$89,5,0)</f>
        <v>137.46431999999996</v>
      </c>
      <c r="FG122" s="14">
        <f t="shared" si="101"/>
        <v>35.715500321625576</v>
      </c>
      <c r="FH122" s="22">
        <f t="shared" si="76"/>
        <v>301.6215203934978</v>
      </c>
      <c r="FI122" s="62">
        <f t="shared" si="77"/>
        <v>583.53151169142689</v>
      </c>
      <c r="FJ122" s="62">
        <f ca="1">AVERAGE(OFFSET($FI$3,0,0,'Données projet'!$E$16+1,1))-AVERAGE(OFFSET($H$3,0,0,'Données projet'!$E$16+1,1))</f>
        <v>283.95543623515323</v>
      </c>
      <c r="FK122" s="62">
        <f t="shared" si="102"/>
        <v>196.96883829830929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5.6843418860808015E-14</v>
      </c>
      <c r="GA122" s="18">
        <f>FZ122*VLOOKUP('Données projet'!$B$17,Paramètres!$A$1:$I$89,3,0)*VLOOKUP('Données projet'!$B$17,Paramètres!$A$1:$I$89,5,0)</f>
        <v>3.3992364478763198E-14</v>
      </c>
      <c r="GB122" s="14">
        <f t="shared" si="103"/>
        <v>5.790027782444094E-13</v>
      </c>
      <c r="GC122" s="22">
        <f t="shared" si="79"/>
        <v>1.0676332069095257E-12</v>
      </c>
      <c r="GD122" s="62">
        <f t="shared" si="80"/>
        <v>281.90999129793022</v>
      </c>
      <c r="GE122" s="62">
        <f ca="1">AVERAGE(OFFSET($GD$3,0,0,'Données projet'!$E$17+1,1))-AVERAGE(OFFSET($H$3,0,0,'Données projet'!$E$17+1,1))</f>
        <v>223.57443551076992</v>
      </c>
      <c r="GF122" s="62">
        <f t="shared" si="104"/>
        <v>382.12751862619427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4.5669395805481798</v>
      </c>
      <c r="GM122" s="23">
        <f>EXP(-LN(2)/25)*GM121+(1-EXP(-LN(2)/25))/(LN(2)/25)*Calculateur!GH122*Calculateur!GJ122*VLOOKUP('Données projet'!$B$17,Paramètres!$A$1:$I$89,3,0)*0.475*44/12</f>
        <v>1.1768637699482294</v>
      </c>
      <c r="GN122" s="23">
        <f>EXP(-LN(2)/2)*GN121+(1-EXP(-LN(2)/2))/(LN(2)/2)*GH122*GK122*VLOOKUP('Données projet'!$B$17,Paramètres!$A$1:$I$89,3,0)*0.475*44/12</f>
        <v>4.0747431317149672E-13</v>
      </c>
      <c r="GO122" s="23">
        <f t="shared" si="81"/>
        <v>5.7438033504968171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6.4273627122339976</v>
      </c>
      <c r="GU122" s="13">
        <f>IF('Données projet'!$A$270&gt;35,GU121+GT122-HC121,IF(A122&lt;'Données projet'!$A$270,$GR$205^A122,IF(A122='Données projet'!$A$270,'Données projet'!$B$270,GU121+GT122-HC121)))</f>
        <v>476.08107795430527</v>
      </c>
      <c r="GV122" s="18">
        <f>GU122*VLOOKUP('Données projet'!$B$18,Paramètres!$A$1:$I$89,3,0)*VLOOKUP('Données projet'!$B$18,Paramètres!$A$1:$I$89,5,0)</f>
        <v>519.88053712610133</v>
      </c>
      <c r="GW122" s="14">
        <f t="shared" si="105"/>
        <v>115.69762648467666</v>
      </c>
      <c r="GX122" s="22">
        <f t="shared" si="82"/>
        <v>1106.965301622105</v>
      </c>
      <c r="GY122" s="62">
        <f t="shared" si="83"/>
        <v>1388.8752929200341</v>
      </c>
      <c r="GZ122" s="62">
        <f ca="1">AVERAGE(OFFSET($GY$3,0,0,'Données projet'!$E$18+1,1))-AVERAGE(OFFSET($H$3,0,0,'Données projet'!$E$18+1,1))</f>
        <v>754.33260592777049</v>
      </c>
      <c r="HA122" s="62">
        <f t="shared" si="106"/>
        <v>250.97643915279005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9">
        <f t="shared" si="56"/>
        <v>183.33333333333334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351.99999999999966</v>
      </c>
      <c r="O123" s="14">
        <f>N123*VLOOKUP('Données projet'!$B$9,Paramètres!$A$1:$I$89,3,0)*VLOOKUP('Données projet'!$B$9,Paramètres!$A$1:$I$89,5,0)</f>
        <v>318.48959999999971</v>
      </c>
      <c r="P123" s="14">
        <f t="shared" si="87"/>
        <v>75.038999086150227</v>
      </c>
      <c r="Q123" s="22">
        <f t="shared" si="107"/>
        <v>685.39564340837785</v>
      </c>
      <c r="R123" s="62">
        <f t="shared" si="55"/>
        <v>967.50380415185441</v>
      </c>
      <c r="S123" s="62">
        <f ca="1">AVERAGE(OFFSET($R$3,0,0,'Données projet'!$E$9+1,1))-AVERAGE(OFFSET($H$3,0,0,'Données projet'!$E$9+1,1))</f>
        <v>550.39292625253665</v>
      </c>
      <c r="T123" s="62">
        <f t="shared" si="88"/>
        <v>297.32483725004136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47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352</v>
      </c>
      <c r="AG123" s="13">
        <f>VLOOKUP(A123,'Données projet'!$A$61:$I$81,9,0)</f>
        <v>4.5</v>
      </c>
      <c r="AH123" s="13">
        <f t="array" ref="AH123">INDEX(AG:AG,MIN(IF(ISNUMBER(AG123:AG319),ROW(AG123:AG319),"")))</f>
        <v>4.5</v>
      </c>
      <c r="AI123" s="14">
        <f>IF('Données projet'!$A$62&gt;35,AI122+AH123-AQ122,IF(A123&lt;'Données projet'!$A$62,$AF$205^A123,IF(A123='Données projet'!$A$62,'Données projet'!$B$62,AI122+AH123-AQ122)))</f>
        <v>351.99999999999966</v>
      </c>
      <c r="AJ123" s="14">
        <f>AI123*VLOOKUP('Données projet'!$B$10,Paramètres!$A$1:$I$89,3,0)*VLOOKUP('Données projet'!$B$10,Paramètres!$A$1:$I$89,5,0)</f>
        <v>356.92799999999966</v>
      </c>
      <c r="AK123" s="14">
        <f t="shared" si="89"/>
        <v>82.987426947838912</v>
      </c>
      <c r="AL123" s="22">
        <f t="shared" si="58"/>
        <v>766.18603526748541</v>
      </c>
      <c r="AM123" s="62">
        <f t="shared" si="59"/>
        <v>1048.294196010962</v>
      </c>
      <c r="AN123" s="62">
        <f ca="1">AVERAGE(OFFSET($AM$3,0,0,'Données projet'!$E$10+1,1))-AVERAGE(OFFSET($H$3,0,0,'Données projet'!$E$10+1,1))</f>
        <v>606.55142836375308</v>
      </c>
      <c r="AO123" s="62">
        <f t="shared" si="90"/>
        <v>325.72635759450861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47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399.35897435897436</v>
      </c>
      <c r="BB123" s="13">
        <f>VLOOKUP(A123,'Données projet'!$A$87:$I$107,9,0)</f>
        <v>3.3974358974359005</v>
      </c>
      <c r="BC123" s="13">
        <f t="array" ref="BC123">INDEX(BB:BB,MIN(IF(ISNUMBER(BB123:BB319),ROW(BB123:BB319),"")))</f>
        <v>3.3974358974359005</v>
      </c>
      <c r="BD123" s="13">
        <f>IF('Données projet'!$A$88&gt;35,BD122+BC123-BL122,IF(A123&lt;'Données projet'!$A$88,$BA$205^A123,IF(A123='Données projet'!$A$88,'Données projet'!$B$88,BD122+BC123-BL122)))</f>
        <v>399.35897435897465</v>
      </c>
      <c r="BE123" s="14">
        <f>BD123*VLOOKUP('Données projet'!$B$11,Paramètres!$A$1:$I$89,3,0)*VLOOKUP('Données projet'!$B$11,Paramètres!$A$1:$I$89,5,0)</f>
        <v>417.41000000000037</v>
      </c>
      <c r="BF123" s="14">
        <f t="shared" si="91"/>
        <v>95.297476060117091</v>
      </c>
      <c r="BG123" s="22">
        <f t="shared" si="61"/>
        <v>892.9655208047044</v>
      </c>
      <c r="BH123" s="62">
        <f t="shared" si="62"/>
        <v>1175.073681548181</v>
      </c>
      <c r="BI123" s="62">
        <f ca="1">AVERAGE(OFFSET($BH$3,0,0,'Données projet'!$E$11+1,1))-AVERAGE(OFFSET($H$3,0,0,'Données projet'!$E$11+1,1))</f>
        <v>635.13577238794812</v>
      </c>
      <c r="BJ123" s="62">
        <f t="shared" si="92"/>
        <v>374.35810525172019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21.153846153846153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-6.8212102632969618E-13</v>
      </c>
      <c r="BZ123" s="14">
        <f>BY123*VLOOKUP('Données projet'!$B$12,Paramètres!$A$1:$I$89,3,0)*VLOOKUP('Données projet'!$B$12,Paramètres!$A$1:$I$89,5,0)</f>
        <v>-3.0149749363772573E-13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580.02817743695846</v>
      </c>
      <c r="CE123" s="62">
        <f t="shared" si="94"/>
        <v>551.23515633208865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7.0884615384615346</v>
      </c>
      <c r="CT123" s="13">
        <f>IF('Données projet'!$A$140&gt;35,CT122+CS123-DB122,IF(A123&lt;'Données projet'!$A$140,$CQ$205^A123,IF(A123='Données projet'!$A$140,'Données projet'!$B$140,CT122+CS123-DB122)))</f>
        <v>410.51923076923117</v>
      </c>
      <c r="CU123" s="18">
        <f>CT123*VLOOKUP('Données projet'!$B$13,Paramètres!$A$1:$I$89,3,0)*VLOOKUP('Données projet'!$B$13,Paramètres!$A$1:$I$89,5,0)</f>
        <v>192.12300000000019</v>
      </c>
      <c r="CV123" s="14">
        <f t="shared" si="95"/>
        <v>48.009014038039723</v>
      </c>
      <c r="CW123" s="22">
        <f t="shared" si="67"/>
        <v>418.22992444958618</v>
      </c>
      <c r="CX123" s="62">
        <f t="shared" si="68"/>
        <v>700.33808519306285</v>
      </c>
      <c r="CY123" s="62">
        <f ca="1">AVERAGE(OFFSET($CX$3,0,0,'Données projet'!$E$13+1,1))-AVERAGE(OFFSET($H$3,0,0,'Données projet'!$E$13+1,1))</f>
        <v>321.05795935196863</v>
      </c>
      <c r="CZ123" s="62">
        <f t="shared" si="96"/>
        <v>209.59551322748908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352</v>
      </c>
      <c r="DM123" s="13">
        <f>VLOOKUP(A123,'Données projet'!$A$165:$I$185,9,0)</f>
        <v>4.5</v>
      </c>
      <c r="DN123" s="13">
        <f t="array" ref="DN123">INDEX(DM:DM,MIN(IF(ISNUMBER(DM123:DM319),ROW(DM123:DM319),"")))</f>
        <v>4.5</v>
      </c>
      <c r="DO123" s="13">
        <f>IF('Données projet'!$A$166&gt;35,DO122+DN123-DW122,IF(A123&lt;'Données projet'!$A$166,$DL$205^A123,IF(A123='Données projet'!$A$166,'Données projet'!$B$166,DO122+DN123-DW122)))</f>
        <v>351.99999999999966</v>
      </c>
      <c r="DP123" s="18">
        <f>DO123*VLOOKUP('Données projet'!$B$14,Paramètres!$A$1:$I$89,3,0)*VLOOKUP('Données projet'!$B$14,Paramètres!$A$1:$I$89,5,0)</f>
        <v>378.89279999999962</v>
      </c>
      <c r="DQ123" s="14">
        <f t="shared" si="97"/>
        <v>87.484097111479699</v>
      </c>
      <c r="DR123" s="22">
        <f t="shared" si="70"/>
        <v>812.27309580249312</v>
      </c>
      <c r="DS123" s="62">
        <f t="shared" si="71"/>
        <v>1094.3812565459698</v>
      </c>
      <c r="DT123" s="62">
        <f ca="1">AVERAGE(OFFSET($DS$3,0,0,'Données projet'!$E$14+1,1))-AVERAGE(OFFSET($H$3,0,0,'Données projet'!$E$14+1,1))</f>
        <v>638.58602907610805</v>
      </c>
      <c r="DU123" s="62">
        <f t="shared" si="98"/>
        <v>341.9250949809848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47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5.6843418860808015E-14</v>
      </c>
      <c r="EK123" s="18">
        <f>EJ123*VLOOKUP('Données projet'!$B$15,Paramètres!$A$1:$I$89,3,0)*VLOOKUP('Données projet'!$B$15,Paramètres!$A$1:$I$89,5,0)</f>
        <v>3.3992364478763198E-14</v>
      </c>
      <c r="EL123" s="14">
        <f t="shared" si="99"/>
        <v>5.790027782444094E-13</v>
      </c>
      <c r="EM123" s="22">
        <f t="shared" si="73"/>
        <v>1.0676332069095257E-12</v>
      </c>
      <c r="EN123" s="62">
        <f t="shared" si="74"/>
        <v>282.1081607434777</v>
      </c>
      <c r="EO123" s="62">
        <f ca="1">AVERAGE(OFFSET($EN$3,0,0,'Données projet'!$E$15+1,1))-AVERAGE(OFFSET($H$3,0,0,'Données projet'!$E$15+1,1))</f>
        <v>223.57443551076992</v>
      </c>
      <c r="EP123" s="62">
        <f t="shared" si="100"/>
        <v>382.12751862619427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4.4773846809317233</v>
      </c>
      <c r="EW123" s="23">
        <f>EXP(-LN(2)/25)*EW122+(1-EXP(-LN(2)/25))/(LN(2)/25)*Calculateur!ER123*Calculateur!ET123*VLOOKUP('Données projet'!$B$15,Paramètres!$A$1:$I$89,3,0)*0.475*44/12</f>
        <v>1.1446823682704192</v>
      </c>
      <c r="EX123" s="23">
        <f>EXP(-LN(2)/2)*EX122+(1-EXP(-LN(2)/2))/(LN(2)/2)*ER123*EU123*VLOOKUP('Données projet'!$B$15,Paramètres!$A$1:$I$89,3,0)*0.475*44/12</f>
        <v>2.8812785000289627E-13</v>
      </c>
      <c r="EY123" s="24">
        <f t="shared" si="75"/>
        <v>5.6220670492024301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120.64166666666668</v>
      </c>
      <c r="FC123" s="13">
        <f>VLOOKUP(A123,'Données projet'!$A$217:$I$237,9,0)</f>
        <v>1.3150000000000006</v>
      </c>
      <c r="FD123" s="13">
        <f t="array" ref="FD123">INDEX(FC:FC,MIN(IF(ISNUMBER(FC123:FC319),ROW(FC123:FC319),"")))</f>
        <v>1.3150000000000006</v>
      </c>
      <c r="FE123" s="13">
        <f>IF('Données projet'!$A$218&gt;35,FE122+FD123-FM122,IF(A123&lt;'Données projet'!$A$218,$FB$205^A123,IF(A123='Données projet'!$A$218,'Données projet'!$B$218,FE122+FD123-FM122)))</f>
        <v>120.64166666666662</v>
      </c>
      <c r="FF123" s="18">
        <f>FE123*VLOOKUP('Données projet'!$B$16,Paramètres!$A$1:$I$89,3,0)*VLOOKUP('Données projet'!$B$16,Paramètres!$A$1:$I$89,5,0)</f>
        <v>138.97919999999993</v>
      </c>
      <c r="FG123" s="14">
        <f t="shared" si="101"/>
        <v>36.063055041985905</v>
      </c>
      <c r="FH123" s="22">
        <f t="shared" si="76"/>
        <v>304.86526086479199</v>
      </c>
      <c r="FI123" s="62">
        <f t="shared" si="77"/>
        <v>586.97342160826861</v>
      </c>
      <c r="FJ123" s="62">
        <f ca="1">AVERAGE(OFFSET($FI$3,0,0,'Données projet'!$E$16+1,1))-AVERAGE(OFFSET($H$3,0,0,'Données projet'!$E$16+1,1))</f>
        <v>283.95543623515323</v>
      </c>
      <c r="FK123" s="62">
        <f t="shared" si="102"/>
        <v>196.96883829830929</v>
      </c>
      <c r="FL123" s="16">
        <f>IF(ISNA(VLOOKUP(A123,'Données projet'!$A$217:$I$237,3,0)),0,VLOOKUP(A123,'Données projet'!$A$217:$I$237,3,0))</f>
        <v>10</v>
      </c>
      <c r="FM123" s="16">
        <f>IF(ISNA(VLOOKUP(A123,'Données projet'!$A$217:$I$237,4,0)),0,VLOOKUP(A123,'Données projet'!$A$217:$I$237,4,0))</f>
        <v>8.875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5.6843418860808015E-14</v>
      </c>
      <c r="GA123" s="18">
        <f>FZ123*VLOOKUP('Données projet'!$B$17,Paramètres!$A$1:$I$89,3,0)*VLOOKUP('Données projet'!$B$17,Paramètres!$A$1:$I$89,5,0)</f>
        <v>3.3992364478763198E-14</v>
      </c>
      <c r="GB123" s="14">
        <f t="shared" si="103"/>
        <v>5.790027782444094E-13</v>
      </c>
      <c r="GC123" s="22">
        <f t="shared" si="79"/>
        <v>1.0676332069095257E-12</v>
      </c>
      <c r="GD123" s="62">
        <f t="shared" si="80"/>
        <v>282.1081607434777</v>
      </c>
      <c r="GE123" s="62">
        <f ca="1">AVERAGE(OFFSET($GD$3,0,0,'Données projet'!$E$17+1,1))-AVERAGE(OFFSET($H$3,0,0,'Données projet'!$E$17+1,1))</f>
        <v>223.57443551076992</v>
      </c>
      <c r="GF123" s="62">
        <f t="shared" si="104"/>
        <v>382.12751862619427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4.4773846809317233</v>
      </c>
      <c r="GM123" s="23">
        <f>EXP(-LN(2)/25)*GM122+(1-EXP(-LN(2)/25))/(LN(2)/25)*Calculateur!GH123*Calculateur!GJ123*VLOOKUP('Données projet'!$B$17,Paramètres!$A$1:$I$89,3,0)*0.475*44/12</f>
        <v>1.1446823682704192</v>
      </c>
      <c r="GN123" s="23">
        <f>EXP(-LN(2)/2)*GN122+(1-EXP(-LN(2)/2))/(LN(2)/2)*GH123*GK123*VLOOKUP('Données projet'!$B$17,Paramètres!$A$1:$I$89,3,0)*0.475*44/12</f>
        <v>2.8812785000289627E-13</v>
      </c>
      <c r="GO123" s="23">
        <f t="shared" si="81"/>
        <v>5.6220670492024301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6.4273627122339976</v>
      </c>
      <c r="GU123" s="13">
        <f>IF('Données projet'!$A$270&gt;35,GU122+GT123-HC122,IF(A123&lt;'Données projet'!$A$270,$GR$205^A123,IF(A123='Données projet'!$A$270,'Données projet'!$B$270,GU122+GT123-HC122)))</f>
        <v>482.50844066653929</v>
      </c>
      <c r="GV123" s="18">
        <f>GU123*VLOOKUP('Données projet'!$B$18,Paramètres!$A$1:$I$89,3,0)*VLOOKUP('Données projet'!$B$18,Paramètres!$A$1:$I$89,5,0)</f>
        <v>526.89921720786083</v>
      </c>
      <c r="GW123" s="14">
        <f t="shared" si="105"/>
        <v>117.07671574098099</v>
      </c>
      <c r="GX123" s="22">
        <f t="shared" si="82"/>
        <v>1121.591416552566</v>
      </c>
      <c r="GY123" s="62">
        <f t="shared" si="83"/>
        <v>1403.6995772960427</v>
      </c>
      <c r="GZ123" s="62">
        <f ca="1">AVERAGE(OFFSET($GY$3,0,0,'Données projet'!$E$18+1,1))-AVERAGE(OFFSET($H$3,0,0,'Données projet'!$E$18+1,1))</f>
        <v>754.33260592777049</v>
      </c>
      <c r="HA123" s="62">
        <f t="shared" si="106"/>
        <v>250.97643915279005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9">
        <f t="shared" si="56"/>
        <v>183.33333333333334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309.19999999999965</v>
      </c>
      <c r="O124" s="14">
        <f>N124*VLOOKUP('Données projet'!$B$9,Paramètres!$A$1:$I$89,3,0)*VLOOKUP('Données projet'!$B$9,Paramètres!$A$1:$I$89,5,0)</f>
        <v>279.76415999999966</v>
      </c>
      <c r="P124" s="14">
        <f t="shared" si="87"/>
        <v>66.917166665547271</v>
      </c>
      <c r="Q124" s="22">
        <f t="shared" si="107"/>
        <v>603.8033106091608</v>
      </c>
      <c r="R124" s="62">
        <f t="shared" si="55"/>
        <v>886.10620300134519</v>
      </c>
      <c r="S124" s="62">
        <f ca="1">AVERAGE(OFFSET($R$3,0,0,'Données projet'!$E$9+1,1))-AVERAGE(OFFSET($H$3,0,0,'Données projet'!$E$9+1,1))</f>
        <v>550.39292625253665</v>
      </c>
      <c r="T124" s="62">
        <f t="shared" si="88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IF('Données projet'!$A$62&gt;35,AI123+AH124-AQ123,IF(A124&lt;'Données projet'!$A$62,$AF$205^A124,IF(A124='Données projet'!$A$62,'Données projet'!$B$62,AI123+AH124-AQ123)))</f>
        <v>309.19999999999965</v>
      </c>
      <c r="AJ124" s="14">
        <f>AI124*VLOOKUP('Données projet'!$B$10,Paramètres!$A$1:$I$89,3,0)*VLOOKUP('Données projet'!$B$10,Paramètres!$A$1:$I$89,5,0)</f>
        <v>313.52879999999971</v>
      </c>
      <c r="AK124" s="14">
        <f t="shared" si="89"/>
        <v>74.005297883010172</v>
      </c>
      <c r="AL124" s="22">
        <f t="shared" si="58"/>
        <v>674.95522047957547</v>
      </c>
      <c r="AM124" s="62">
        <f t="shared" si="59"/>
        <v>957.25811287175986</v>
      </c>
      <c r="AN124" s="62">
        <f ca="1">AVERAGE(OFFSET($AM$3,0,0,'Données projet'!$E$10+1,1))-AVERAGE(OFFSET($H$3,0,0,'Données projet'!$E$10+1,1))</f>
        <v>606.55142836375308</v>
      </c>
      <c r="AO124" s="62">
        <f t="shared" si="90"/>
        <v>325.72635759450861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3.0769230769230718</v>
      </c>
      <c r="BD124" s="13">
        <f>IF('Données projet'!$A$88&gt;35,BD123+BC124-BL123,IF(A124&lt;'Données projet'!$A$88,$BA$205^A124,IF(A124='Données projet'!$A$88,'Données projet'!$B$88,BD123+BC124-BL123)))</f>
        <v>381.28205128205161</v>
      </c>
      <c r="BE124" s="14">
        <f>BD124*VLOOKUP('Données projet'!$B$11,Paramètres!$A$1:$I$89,3,0)*VLOOKUP('Données projet'!$B$11,Paramètres!$A$1:$I$89,5,0)</f>
        <v>398.51600000000036</v>
      </c>
      <c r="BF124" s="14">
        <f t="shared" si="91"/>
        <v>91.475741943717054</v>
      </c>
      <c r="BG124" s="22">
        <f t="shared" si="61"/>
        <v>853.40228388530784</v>
      </c>
      <c r="BH124" s="62">
        <f t="shared" si="62"/>
        <v>1135.7051762774922</v>
      </c>
      <c r="BI124" s="62">
        <f ca="1">AVERAGE(OFFSET($BH$3,0,0,'Données projet'!$E$11+1,1))-AVERAGE(OFFSET($H$3,0,0,'Données projet'!$E$11+1,1))</f>
        <v>635.13577238794812</v>
      </c>
      <c r="BJ124" s="62">
        <f t="shared" si="92"/>
        <v>374.35810525172019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-6.8212102632969618E-13</v>
      </c>
      <c r="BZ124" s="14">
        <f>BY124*VLOOKUP('Données projet'!$B$12,Paramètres!$A$1:$I$89,3,0)*VLOOKUP('Données projet'!$B$12,Paramètres!$A$1:$I$89,5,0)</f>
        <v>-3.0149749363772573E-13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580.02817743695846</v>
      </c>
      <c r="CE124" s="62">
        <f t="shared" si="94"/>
        <v>551.23515633208865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>
        <f>VLOOKUP(A124,'Données projet'!$A$139:$I$159,2,0)</f>
        <v>417.60769230769228</v>
      </c>
      <c r="CR124" s="13">
        <f>VLOOKUP(A124,'Données projet'!$A$139:$I$159,9,0)</f>
        <v>7.0884615384615346</v>
      </c>
      <c r="CS124" s="13">
        <f t="array" ref="CS124">INDEX(CR:CR,MIN(IF(ISNUMBER(CR124:CR320),ROW(CR124:CR320),"")))</f>
        <v>7.0884615384615346</v>
      </c>
      <c r="CT124" s="13">
        <f>IF('Données projet'!$A$140&gt;35,CT123+CS124-DB123,IF(A124&lt;'Données projet'!$A$140,$CQ$205^A124,IF(A124='Données projet'!$A$140,'Données projet'!$B$140,CT123+CS124-DB123)))</f>
        <v>417.60769230769273</v>
      </c>
      <c r="CU124" s="18">
        <f>CT124*VLOOKUP('Données projet'!$B$13,Paramètres!$A$1:$I$89,3,0)*VLOOKUP('Données projet'!$B$13,Paramètres!$A$1:$I$89,5,0)</f>
        <v>195.44040000000018</v>
      </c>
      <c r="CV124" s="14">
        <f t="shared" si="95"/>
        <v>48.740764653053319</v>
      </c>
      <c r="CW124" s="22">
        <f t="shared" si="67"/>
        <v>425.28219510406808</v>
      </c>
      <c r="CX124" s="62">
        <f t="shared" si="68"/>
        <v>707.58508749625253</v>
      </c>
      <c r="CY124" s="62">
        <f ca="1">AVERAGE(OFFSET($CX$3,0,0,'Données projet'!$E$13+1,1))-AVERAGE(OFFSET($H$3,0,0,'Données projet'!$E$13+1,1))</f>
        <v>321.05795935196863</v>
      </c>
      <c r="CZ124" s="62">
        <f t="shared" si="96"/>
        <v>209.59551322748908</v>
      </c>
      <c r="DA124" s="16">
        <f>IF(ISNA(VLOOKUP(A124,'Données projet'!$A$139:$I$159,3,0)),0,VLOOKUP(A124,'Données projet'!$A$139:$I$159,3,0))</f>
        <v>7</v>
      </c>
      <c r="DB124" s="16">
        <f>IF(ISNA(VLOOKUP(A124,'Données projet'!$A$139:$I$159,4,0)),0,VLOOKUP(A124,'Données projet'!$A$139:$I$159,4,0))</f>
        <v>207.07692307692307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4.2</v>
      </c>
      <c r="DO124" s="13">
        <f>IF('Données projet'!$A$166&gt;35,DO123+DN124-DW123,IF(A124&lt;'Données projet'!$A$166,$DL$205^A124,IF(A124='Données projet'!$A$166,'Données projet'!$B$166,DO123+DN124-DW123)))</f>
        <v>309.19999999999965</v>
      </c>
      <c r="DP124" s="18">
        <f>DO124*VLOOKUP('Données projet'!$B$14,Paramètres!$A$1:$I$89,3,0)*VLOOKUP('Données projet'!$B$14,Paramètres!$A$1:$I$89,5,0)</f>
        <v>332.8228799999996</v>
      </c>
      <c r="DQ124" s="14">
        <f t="shared" si="97"/>
        <v>78.015271769187407</v>
      </c>
      <c r="DR124" s="22">
        <f t="shared" si="70"/>
        <v>715.54311433133398</v>
      </c>
      <c r="DS124" s="62">
        <f t="shared" si="71"/>
        <v>997.84600672351837</v>
      </c>
      <c r="DT124" s="62">
        <f ca="1">AVERAGE(OFFSET($DS$3,0,0,'Données projet'!$E$14+1,1))-AVERAGE(OFFSET($H$3,0,0,'Données projet'!$E$14+1,1))</f>
        <v>638.58602907610805</v>
      </c>
      <c r="DU124" s="62">
        <f t="shared" si="98"/>
        <v>341.9250949809848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3.3992364478763198E-14</v>
      </c>
      <c r="EL124" s="14">
        <f t="shared" si="99"/>
        <v>5.790027782444094E-13</v>
      </c>
      <c r="EM124" s="22">
        <f t="shared" si="73"/>
        <v>1.0676332069095257E-12</v>
      </c>
      <c r="EN124" s="62">
        <f t="shared" si="74"/>
        <v>282.30289239218547</v>
      </c>
      <c r="EO124" s="62">
        <f ca="1">AVERAGE(OFFSET($EN$3,0,0,'Données projet'!$E$15+1,1))-AVERAGE(OFFSET($H$3,0,0,'Données projet'!$E$15+1,1))</f>
        <v>223.57443551076992</v>
      </c>
      <c r="EP124" s="62">
        <f t="shared" si="100"/>
        <v>382.12751862619427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4.3895858982736504</v>
      </c>
      <c r="EW124" s="23">
        <f>EXP(-LN(2)/25)*EW123+(1-EXP(-LN(2)/25))/(LN(2)/25)*Calculateur!ER124*Calculateur!ET124*VLOOKUP('Données projet'!$B$15,Paramètres!$A$1:$I$89,3,0)*0.475*44/12</f>
        <v>1.1133809687138352</v>
      </c>
      <c r="EX124" s="23">
        <f>EXP(-LN(2)/2)*EX123+(1-EXP(-LN(2)/2))/(LN(2)/2)*ER124*EU124*VLOOKUP('Données projet'!$B$15,Paramètres!$A$1:$I$89,3,0)*0.475*44/12</f>
        <v>2.0373715658574836E-13</v>
      </c>
      <c r="EY124" s="24">
        <f t="shared" si="75"/>
        <v>5.5029668669876886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1.2474999999999994</v>
      </c>
      <c r="FE124" s="13">
        <f>IF('Données projet'!$A$218&gt;35,FE123+FD124-FM123,IF(A124&lt;'Données projet'!$A$218,$FB$205^A124,IF(A124='Données projet'!$A$218,'Données projet'!$B$218,FE123+FD124-FM123)))</f>
        <v>113.01416666666663</v>
      </c>
      <c r="FF124" s="18">
        <f>FE124*VLOOKUP('Données projet'!$B$16,Paramètres!$A$1:$I$89,3,0)*VLOOKUP('Données projet'!$B$16,Paramètres!$A$1:$I$89,5,0)</f>
        <v>130.19231999999994</v>
      </c>
      <c r="FG124" s="14">
        <f t="shared" si="101"/>
        <v>34.040795013550785</v>
      </c>
      <c r="FH124" s="22">
        <f t="shared" si="76"/>
        <v>286.03934198193417</v>
      </c>
      <c r="FI124" s="62">
        <f t="shared" si="77"/>
        <v>568.34223437411856</v>
      </c>
      <c r="FJ124" s="62">
        <f ca="1">AVERAGE(OFFSET($FI$3,0,0,'Données projet'!$E$16+1,1))-AVERAGE(OFFSET($H$3,0,0,'Données projet'!$E$16+1,1))</f>
        <v>283.95543623515323</v>
      </c>
      <c r="FK124" s="62">
        <f t="shared" si="102"/>
        <v>196.96883829830929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5.6843418860808015E-14</v>
      </c>
      <c r="GA124" s="18">
        <f>FZ124*VLOOKUP('Données projet'!$B$17,Paramètres!$A$1:$I$89,3,0)*VLOOKUP('Données projet'!$B$17,Paramètres!$A$1:$I$89,5,0)</f>
        <v>3.3992364478763198E-14</v>
      </c>
      <c r="GB124" s="14">
        <f t="shared" si="103"/>
        <v>5.790027782444094E-13</v>
      </c>
      <c r="GC124" s="22">
        <f t="shared" si="79"/>
        <v>1.0676332069095257E-12</v>
      </c>
      <c r="GD124" s="62">
        <f t="shared" si="80"/>
        <v>282.30289239218547</v>
      </c>
      <c r="GE124" s="62">
        <f ca="1">AVERAGE(OFFSET($GD$3,0,0,'Données projet'!$E$17+1,1))-AVERAGE(OFFSET($H$3,0,0,'Données projet'!$E$17+1,1))</f>
        <v>223.57443551076992</v>
      </c>
      <c r="GF124" s="62">
        <f t="shared" si="104"/>
        <v>382.12751862619427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4.3895858982736504</v>
      </c>
      <c r="GM124" s="23">
        <f>EXP(-LN(2)/25)*GM123+(1-EXP(-LN(2)/25))/(LN(2)/25)*Calculateur!GH124*Calculateur!GJ124*VLOOKUP('Données projet'!$B$17,Paramètres!$A$1:$I$89,3,0)*0.475*44/12</f>
        <v>1.1133809687138352</v>
      </c>
      <c r="GN124" s="23">
        <f>EXP(-LN(2)/2)*GN123+(1-EXP(-LN(2)/2))/(LN(2)/2)*GH124*GK124*VLOOKUP('Données projet'!$B$17,Paramètres!$A$1:$I$89,3,0)*0.475*44/12</f>
        <v>2.0373715658574836E-13</v>
      </c>
      <c r="GO124" s="23">
        <f t="shared" si="81"/>
        <v>5.5029668669876886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6.4273627122339976</v>
      </c>
      <c r="GU124" s="13">
        <f>IF('Données projet'!$A$270&gt;35,GU123+GT124-HC123,IF(A124&lt;'Données projet'!$A$270,$GR$205^A124,IF(A124='Données projet'!$A$270,'Données projet'!$B$270,GU123+GT124-HC123)))</f>
        <v>488.9358033787733</v>
      </c>
      <c r="GV124" s="18">
        <f>GU124*VLOOKUP('Données projet'!$B$18,Paramètres!$A$1:$I$89,3,0)*VLOOKUP('Données projet'!$B$18,Paramètres!$A$1:$I$89,5,0)</f>
        <v>533.91789728962044</v>
      </c>
      <c r="GW124" s="14">
        <f t="shared" si="105"/>
        <v>118.45366826466355</v>
      </c>
      <c r="GX124" s="22">
        <f t="shared" si="82"/>
        <v>1136.2138100070445</v>
      </c>
      <c r="GY124" s="62">
        <f t="shared" si="83"/>
        <v>1418.516702399229</v>
      </c>
      <c r="GZ124" s="62">
        <f ca="1">AVERAGE(OFFSET($GY$3,0,0,'Données projet'!$E$18+1,1))-AVERAGE(OFFSET($H$3,0,0,'Données projet'!$E$18+1,1))</f>
        <v>754.33260592777049</v>
      </c>
      <c r="HA124" s="62">
        <f t="shared" si="106"/>
        <v>250.97643915279005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9">
        <f t="shared" si="56"/>
        <v>183.33333333333334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313.39999999999964</v>
      </c>
      <c r="O125" s="14">
        <f>N125*VLOOKUP('Données projet'!$B$9,Paramètres!$A$1:$I$89,3,0)*VLOOKUP('Données projet'!$B$9,Paramètres!$A$1:$I$89,5,0)</f>
        <v>283.56431999999967</v>
      </c>
      <c r="P125" s="14">
        <f t="shared" si="87"/>
        <v>67.71969673023186</v>
      </c>
      <c r="Q125" s="22">
        <f t="shared" si="107"/>
        <v>611.81966247181992</v>
      </c>
      <c r="R125" s="62">
        <f t="shared" si="55"/>
        <v>894.31390835396178</v>
      </c>
      <c r="S125" s="62">
        <f ca="1">AVERAGE(OFFSET($R$3,0,0,'Données projet'!$E$9+1,1))-AVERAGE(OFFSET($H$3,0,0,'Données projet'!$E$9+1,1))</f>
        <v>550.39292625253665</v>
      </c>
      <c r="T125" s="62">
        <f t="shared" si="88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IF('Données projet'!$A$62&gt;35,AI124+AH125-AQ124,IF(A125&lt;'Données projet'!$A$62,$AF$205^A125,IF(A125='Données projet'!$A$62,'Données projet'!$B$62,AI124+AH125-AQ124)))</f>
        <v>313.39999999999964</v>
      </c>
      <c r="AJ125" s="14">
        <f>AI125*VLOOKUP('Données projet'!$B$10,Paramètres!$A$1:$I$89,3,0)*VLOOKUP('Données projet'!$B$10,Paramètres!$A$1:$I$89,5,0)</f>
        <v>317.78759999999966</v>
      </c>
      <c r="AK125" s="14">
        <f t="shared" si="89"/>
        <v>74.892835109352845</v>
      </c>
      <c r="AL125" s="22">
        <f t="shared" si="58"/>
        <v>683.9184244821223</v>
      </c>
      <c r="AM125" s="62">
        <f t="shared" si="59"/>
        <v>966.41267036426416</v>
      </c>
      <c r="AN125" s="62">
        <f ca="1">AVERAGE(OFFSET($AM$3,0,0,'Données projet'!$E$10+1,1))-AVERAGE(OFFSET($H$3,0,0,'Données projet'!$E$10+1,1))</f>
        <v>606.55142836375308</v>
      </c>
      <c r="AO125" s="62">
        <f t="shared" si="90"/>
        <v>325.72635759450861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3.0769230769230718</v>
      </c>
      <c r="BD125" s="13">
        <f>IF('Données projet'!$A$88&gt;35,BD124+BC125-BL124,IF(A125&lt;'Données projet'!$A$88,$BA$205^A125,IF(A125='Données projet'!$A$88,'Données projet'!$B$88,BD124+BC125-BL124)))</f>
        <v>384.35897435897471</v>
      </c>
      <c r="BE125" s="14">
        <f>BD125*VLOOKUP('Données projet'!$B$11,Paramètres!$A$1:$I$89,3,0)*VLOOKUP('Données projet'!$B$11,Paramètres!$A$1:$I$89,5,0)</f>
        <v>401.73200000000043</v>
      </c>
      <c r="BF125" s="14">
        <f t="shared" si="91"/>
        <v>92.127713294836596</v>
      </c>
      <c r="BG125" s="22">
        <f t="shared" si="61"/>
        <v>860.13900065517453</v>
      </c>
      <c r="BH125" s="62">
        <f t="shared" si="62"/>
        <v>1142.6332465373164</v>
      </c>
      <c r="BI125" s="62">
        <f ca="1">AVERAGE(OFFSET($BH$3,0,0,'Données projet'!$E$11+1,1))-AVERAGE(OFFSET($H$3,0,0,'Données projet'!$E$11+1,1))</f>
        <v>635.13577238794812</v>
      </c>
      <c r="BJ125" s="62">
        <f t="shared" si="92"/>
        <v>374.35810525172019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-6.8212102632969618E-13</v>
      </c>
      <c r="BZ125" s="14">
        <f>BY125*VLOOKUP('Données projet'!$B$12,Paramètres!$A$1:$I$89,3,0)*VLOOKUP('Données projet'!$B$12,Paramètres!$A$1:$I$89,5,0)</f>
        <v>-3.0149749363772573E-13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580.02817743695846</v>
      </c>
      <c r="CE125" s="62">
        <f t="shared" si="94"/>
        <v>551.23515633208865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0.581538461538463</v>
      </c>
      <c r="CT125" s="13">
        <f>IF('Données projet'!$A$140&gt;35,CT124+CS125-DB124,IF(A125&lt;'Données projet'!$A$140,$CQ$205^A125,IF(A125='Données projet'!$A$140,'Données projet'!$B$140,CT124+CS125-DB124)))</f>
        <v>211.11230769230812</v>
      </c>
      <c r="CU125" s="18">
        <f>CT125*VLOOKUP('Données projet'!$B$13,Paramètres!$A$1:$I$89,3,0)*VLOOKUP('Données projet'!$B$13,Paramètres!$A$1:$I$89,5,0)</f>
        <v>98.800560000000189</v>
      </c>
      <c r="CV125" s="14">
        <f t="shared" si="95"/>
        <v>26.67604713747626</v>
      </c>
      <c r="CW125" s="22">
        <f t="shared" si="67"/>
        <v>218.53842409777147</v>
      </c>
      <c r="CX125" s="62">
        <f t="shared" si="68"/>
        <v>501.03266997991329</v>
      </c>
      <c r="CY125" s="62">
        <f ca="1">AVERAGE(OFFSET($CX$3,0,0,'Données projet'!$E$13+1,1))-AVERAGE(OFFSET($H$3,0,0,'Données projet'!$E$13+1,1))</f>
        <v>321.05795935196863</v>
      </c>
      <c r="CZ125" s="62">
        <f t="shared" si="96"/>
        <v>209.59551322748908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4.2</v>
      </c>
      <c r="DO125" s="13">
        <f>IF('Données projet'!$A$166&gt;35,DO124+DN125-DW124,IF(A125&lt;'Données projet'!$A$166,$DL$205^A125,IF(A125='Données projet'!$A$166,'Données projet'!$B$166,DO124+DN125-DW124)))</f>
        <v>313.39999999999964</v>
      </c>
      <c r="DP125" s="18">
        <f>DO125*VLOOKUP('Données projet'!$B$14,Paramètres!$A$1:$I$89,3,0)*VLOOKUP('Données projet'!$B$14,Paramètres!$A$1:$I$89,5,0)</f>
        <v>337.34375999999958</v>
      </c>
      <c r="DQ125" s="14">
        <f t="shared" si="97"/>
        <v>78.95090016200669</v>
      </c>
      <c r="DR125" s="22">
        <f t="shared" si="70"/>
        <v>725.04653311549419</v>
      </c>
      <c r="DS125" s="62">
        <f t="shared" si="71"/>
        <v>1007.5407789976359</v>
      </c>
      <c r="DT125" s="62">
        <f ca="1">AVERAGE(OFFSET($DS$3,0,0,'Données projet'!$E$14+1,1))-AVERAGE(OFFSET($H$3,0,0,'Données projet'!$E$14+1,1))</f>
        <v>638.58602907610805</v>
      </c>
      <c r="DU125" s="62">
        <f t="shared" si="98"/>
        <v>341.9250949809848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3.3992364478763198E-14</v>
      </c>
      <c r="EL125" s="14">
        <f t="shared" si="99"/>
        <v>5.790027782444094E-13</v>
      </c>
      <c r="EM125" s="22">
        <f t="shared" si="73"/>
        <v>1.0676332069095257E-12</v>
      </c>
      <c r="EN125" s="62">
        <f t="shared" si="74"/>
        <v>282.49424588214288</v>
      </c>
      <c r="EO125" s="62">
        <f ca="1">AVERAGE(OFFSET($EN$3,0,0,'Données projet'!$E$15+1,1))-AVERAGE(OFFSET($H$3,0,0,'Données projet'!$E$15+1,1))</f>
        <v>223.57443551076992</v>
      </c>
      <c r="EP125" s="62">
        <f t="shared" si="100"/>
        <v>382.12751862619427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4.3035087961915321</v>
      </c>
      <c r="EW125" s="23">
        <f>EXP(-LN(2)/25)*EW124+(1-EXP(-LN(2)/25))/(LN(2)/25)*Calculateur!ER125*Calculateur!ET125*VLOOKUP('Données projet'!$B$15,Paramètres!$A$1:$I$89,3,0)*0.475*44/12</f>
        <v>1.0829355075741949</v>
      </c>
      <c r="EX125" s="23">
        <f>EXP(-LN(2)/2)*EX124+(1-EXP(-LN(2)/2))/(LN(2)/2)*ER125*EU125*VLOOKUP('Données projet'!$B$15,Paramètres!$A$1:$I$89,3,0)*0.475*44/12</f>
        <v>1.4406392500144813E-13</v>
      </c>
      <c r="EY125" s="24">
        <f t="shared" si="75"/>
        <v>5.3864443037658711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1.2474999999999994</v>
      </c>
      <c r="FE125" s="13">
        <f>IF('Données projet'!$A$218&gt;35,FE124+FD125-FM124,IF(A125&lt;'Données projet'!$A$218,$FB$205^A125,IF(A125='Données projet'!$A$218,'Données projet'!$B$218,FE124+FD125-FM124)))</f>
        <v>114.26166666666663</v>
      </c>
      <c r="FF125" s="18">
        <f>FE125*VLOOKUP('Données projet'!$B$16,Paramètres!$A$1:$I$89,3,0)*VLOOKUP('Données projet'!$B$16,Paramètres!$A$1:$I$89,5,0)</f>
        <v>131.62943999999993</v>
      </c>
      <c r="FG125" s="14">
        <f t="shared" si="101"/>
        <v>34.372601683894764</v>
      </c>
      <c r="FH125" s="22">
        <f t="shared" si="76"/>
        <v>289.1202225994499</v>
      </c>
      <c r="FI125" s="62">
        <f t="shared" si="77"/>
        <v>571.61446848159176</v>
      </c>
      <c r="FJ125" s="62">
        <f ca="1">AVERAGE(OFFSET($FI$3,0,0,'Données projet'!$E$16+1,1))-AVERAGE(OFFSET($H$3,0,0,'Données projet'!$E$16+1,1))</f>
        <v>283.95543623515323</v>
      </c>
      <c r="FK125" s="62">
        <f t="shared" si="102"/>
        <v>196.96883829830929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5.6843418860808015E-14</v>
      </c>
      <c r="GA125" s="18">
        <f>FZ125*VLOOKUP('Données projet'!$B$17,Paramètres!$A$1:$I$89,3,0)*VLOOKUP('Données projet'!$B$17,Paramètres!$A$1:$I$89,5,0)</f>
        <v>3.3992364478763198E-14</v>
      </c>
      <c r="GB125" s="14">
        <f t="shared" si="103"/>
        <v>5.790027782444094E-13</v>
      </c>
      <c r="GC125" s="22">
        <f t="shared" si="79"/>
        <v>1.0676332069095257E-12</v>
      </c>
      <c r="GD125" s="62">
        <f t="shared" si="80"/>
        <v>282.49424588214288</v>
      </c>
      <c r="GE125" s="62">
        <f ca="1">AVERAGE(OFFSET($GD$3,0,0,'Données projet'!$E$17+1,1))-AVERAGE(OFFSET($H$3,0,0,'Données projet'!$E$17+1,1))</f>
        <v>223.57443551076992</v>
      </c>
      <c r="GF125" s="62">
        <f t="shared" si="104"/>
        <v>382.12751862619427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4.3035087961915321</v>
      </c>
      <c r="GM125" s="23">
        <f>EXP(-LN(2)/25)*GM124+(1-EXP(-LN(2)/25))/(LN(2)/25)*Calculateur!GH125*Calculateur!GJ125*VLOOKUP('Données projet'!$B$17,Paramètres!$A$1:$I$89,3,0)*0.475*44/12</f>
        <v>1.0829355075741949</v>
      </c>
      <c r="GN125" s="23">
        <f>EXP(-LN(2)/2)*GN124+(1-EXP(-LN(2)/2))/(LN(2)/2)*GH125*GK125*VLOOKUP('Données projet'!$B$17,Paramètres!$A$1:$I$89,3,0)*0.475*44/12</f>
        <v>1.4406392500144813E-13</v>
      </c>
      <c r="GO125" s="23">
        <f t="shared" si="81"/>
        <v>5.3864443037658711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6.4273627122339976</v>
      </c>
      <c r="GU125" s="13">
        <f>IF('Données projet'!$A$270&gt;35,GU124+GT125-HC124,IF(A125&lt;'Données projet'!$A$270,$GR$205^A125,IF(A125='Données projet'!$A$270,'Données projet'!$B$270,GU124+GT125-HC124)))</f>
        <v>495.36316609100732</v>
      </c>
      <c r="GV125" s="18">
        <f>GU125*VLOOKUP('Données projet'!$B$18,Paramètres!$A$1:$I$89,3,0)*VLOOKUP('Données projet'!$B$18,Paramètres!$A$1:$I$89,5,0)</f>
        <v>540.93657737137994</v>
      </c>
      <c r="GW125" s="14">
        <f t="shared" si="105"/>
        <v>119.82851539175029</v>
      </c>
      <c r="GX125" s="22">
        <f t="shared" si="82"/>
        <v>1150.8325365624517</v>
      </c>
      <c r="GY125" s="62">
        <f t="shared" si="83"/>
        <v>1433.3267824445934</v>
      </c>
      <c r="GZ125" s="62">
        <f ca="1">AVERAGE(OFFSET($GY$3,0,0,'Données projet'!$E$18+1,1))-AVERAGE(OFFSET($H$3,0,0,'Données projet'!$E$18+1,1))</f>
        <v>754.33260592777049</v>
      </c>
      <c r="HA125" s="62">
        <f t="shared" si="106"/>
        <v>250.97643915279005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9">
        <f t="shared" si="56"/>
        <v>183.33333333333334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317.59999999999962</v>
      </c>
      <c r="O126" s="14">
        <f>N126*VLOOKUP('Données projet'!$B$9,Paramètres!$A$1:$I$89,3,0)*VLOOKUP('Données projet'!$B$9,Paramètres!$A$1:$I$89,5,0)</f>
        <v>287.36447999999967</v>
      </c>
      <c r="P126" s="14">
        <f t="shared" si="87"/>
        <v>68.52097584579333</v>
      </c>
      <c r="Q126" s="22">
        <f t="shared" si="107"/>
        <v>619.83383559808942</v>
      </c>
      <c r="R126" s="62">
        <f t="shared" si="55"/>
        <v>902.51611541494003</v>
      </c>
      <c r="S126" s="62">
        <f ca="1">AVERAGE(OFFSET($R$3,0,0,'Données projet'!$E$9+1,1))-AVERAGE(OFFSET($H$3,0,0,'Données projet'!$E$9+1,1))</f>
        <v>550.39292625253665</v>
      </c>
      <c r="T126" s="62">
        <f t="shared" si="88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IF('Données projet'!$A$62&gt;35,AI125+AH126-AQ125,IF(A126&lt;'Données projet'!$A$62,$AF$205^A126,IF(A126='Données projet'!$A$62,'Données projet'!$B$62,AI125+AH126-AQ125)))</f>
        <v>317.59999999999962</v>
      </c>
      <c r="AJ126" s="14">
        <f>AI126*VLOOKUP('Données projet'!$B$10,Paramètres!$A$1:$I$89,3,0)*VLOOKUP('Données projet'!$B$10,Paramètres!$A$1:$I$89,5,0)</f>
        <v>322.04639999999966</v>
      </c>
      <c r="AK126" s="14">
        <f t="shared" si="89"/>
        <v>75.77898888108885</v>
      </c>
      <c r="AL126" s="22">
        <f t="shared" si="58"/>
        <v>692.87921896789578</v>
      </c>
      <c r="AM126" s="62">
        <f t="shared" si="59"/>
        <v>975.56149878474639</v>
      </c>
      <c r="AN126" s="62">
        <f ca="1">AVERAGE(OFFSET($AM$3,0,0,'Données projet'!$E$10+1,1))-AVERAGE(OFFSET($H$3,0,0,'Données projet'!$E$10+1,1))</f>
        <v>606.55142836375308</v>
      </c>
      <c r="AO126" s="62">
        <f t="shared" si="90"/>
        <v>325.72635759450861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3.0769230769230718</v>
      </c>
      <c r="BD126" s="13">
        <f>IF('Données projet'!$A$88&gt;35,BD125+BC126-BL125,IF(A126&lt;'Données projet'!$A$88,$BA$205^A126,IF(A126='Données projet'!$A$88,'Données projet'!$B$88,BD125+BC126-BL125)))</f>
        <v>387.4358974358978</v>
      </c>
      <c r="BE126" s="14">
        <f>BD126*VLOOKUP('Données projet'!$B$11,Paramètres!$A$1:$I$89,3,0)*VLOOKUP('Données projet'!$B$11,Paramètres!$A$1:$I$89,5,0)</f>
        <v>404.94800000000043</v>
      </c>
      <c r="BF126" s="14">
        <f t="shared" si="91"/>
        <v>92.779077401322354</v>
      </c>
      <c r="BG126" s="22">
        <f t="shared" si="61"/>
        <v>866.87465980730383</v>
      </c>
      <c r="BH126" s="62">
        <f t="shared" si="62"/>
        <v>1149.5569396241544</v>
      </c>
      <c r="BI126" s="62">
        <f ca="1">AVERAGE(OFFSET($BH$3,0,0,'Données projet'!$E$11+1,1))-AVERAGE(OFFSET($H$3,0,0,'Données projet'!$E$11+1,1))</f>
        <v>635.13577238794812</v>
      </c>
      <c r="BJ126" s="62">
        <f t="shared" si="92"/>
        <v>374.35810525172019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-6.8212102632969618E-13</v>
      </c>
      <c r="BZ126" s="14">
        <f>BY126*VLOOKUP('Données projet'!$B$12,Paramètres!$A$1:$I$89,3,0)*VLOOKUP('Données projet'!$B$12,Paramètres!$A$1:$I$89,5,0)</f>
        <v>-3.0149749363772573E-13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580.02817743695846</v>
      </c>
      <c r="CE126" s="62">
        <f t="shared" si="94"/>
        <v>551.23515633208865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0.581538461538463</v>
      </c>
      <c r="CT126" s="13">
        <f>IF('Données projet'!$A$140&gt;35,CT125+CS126-DB125,IF(A126&lt;'Données projet'!$A$140,$CQ$205^A126,IF(A126='Données projet'!$A$140,'Données projet'!$B$140,CT125+CS126-DB125)))</f>
        <v>211.69384615384658</v>
      </c>
      <c r="CU126" s="18">
        <f>CT126*VLOOKUP('Données projet'!$B$13,Paramètres!$A$1:$I$89,3,0)*VLOOKUP('Données projet'!$B$13,Paramètres!$A$1:$I$89,5,0)</f>
        <v>99.072720000000189</v>
      </c>
      <c r="CV126" s="14">
        <f t="shared" si="95"/>
        <v>26.740966240861358</v>
      </c>
      <c r="CW126" s="22">
        <f t="shared" si="67"/>
        <v>219.1255035361672</v>
      </c>
      <c r="CX126" s="62">
        <f t="shared" si="68"/>
        <v>501.80778335301784</v>
      </c>
      <c r="CY126" s="62">
        <f ca="1">AVERAGE(OFFSET($CX$3,0,0,'Données projet'!$E$13+1,1))-AVERAGE(OFFSET($H$3,0,0,'Données projet'!$E$13+1,1))</f>
        <v>321.05795935196863</v>
      </c>
      <c r="CZ126" s="62">
        <f t="shared" si="96"/>
        <v>209.59551322748908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4.2</v>
      </c>
      <c r="DO126" s="13">
        <f>IF('Données projet'!$A$166&gt;35,DO125+DN126-DW125,IF(A126&lt;'Données projet'!$A$166,$DL$205^A126,IF(A126='Données projet'!$A$166,'Données projet'!$B$166,DO125+DN126-DW125)))</f>
        <v>317.59999999999962</v>
      </c>
      <c r="DP126" s="18">
        <f>DO126*VLOOKUP('Données projet'!$B$14,Paramètres!$A$1:$I$89,3,0)*VLOOKUP('Données projet'!$B$14,Paramètres!$A$1:$I$89,5,0)</f>
        <v>341.86463999999955</v>
      </c>
      <c r="DQ126" s="14">
        <f t="shared" si="97"/>
        <v>79.885070137790976</v>
      </c>
      <c r="DR126" s="22">
        <f t="shared" si="70"/>
        <v>734.54741182331838</v>
      </c>
      <c r="DS126" s="62">
        <f t="shared" si="71"/>
        <v>1017.229691640169</v>
      </c>
      <c r="DT126" s="62">
        <f ca="1">AVERAGE(OFFSET($DS$3,0,0,'Données projet'!$E$14+1,1))-AVERAGE(OFFSET($H$3,0,0,'Données projet'!$E$14+1,1))</f>
        <v>638.58602907610805</v>
      </c>
      <c r="DU126" s="62">
        <f t="shared" si="98"/>
        <v>341.9250949809848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3.3992364478763198E-14</v>
      </c>
      <c r="EL126" s="14">
        <f t="shared" si="99"/>
        <v>5.790027782444094E-13</v>
      </c>
      <c r="EM126" s="22">
        <f t="shared" si="73"/>
        <v>1.0676332069095257E-12</v>
      </c>
      <c r="EN126" s="62">
        <f t="shared" si="74"/>
        <v>282.68227981685175</v>
      </c>
      <c r="EO126" s="62">
        <f ca="1">AVERAGE(OFFSET($EN$3,0,0,'Données projet'!$E$15+1,1))-AVERAGE(OFFSET($H$3,0,0,'Données projet'!$E$15+1,1))</f>
        <v>223.57443551076992</v>
      </c>
      <c r="EP126" s="62">
        <f t="shared" si="100"/>
        <v>382.12751862619427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4.2191196135793962</v>
      </c>
      <c r="EW126" s="23">
        <f>EXP(-LN(2)/25)*EW125+(1-EXP(-LN(2)/25))/(LN(2)/25)*Calculateur!ER126*Calculateur!ET126*VLOOKUP('Données projet'!$B$15,Paramètres!$A$1:$I$89,3,0)*0.475*44/12</f>
        <v>1.0533225791704752</v>
      </c>
      <c r="EX126" s="23">
        <f>EXP(-LN(2)/2)*EX125+(1-EXP(-LN(2)/2))/(LN(2)/2)*ER126*EU126*VLOOKUP('Données projet'!$B$15,Paramètres!$A$1:$I$89,3,0)*0.475*44/12</f>
        <v>1.0186857829287418E-13</v>
      </c>
      <c r="EY126" s="24">
        <f t="shared" si="75"/>
        <v>5.2724421927499732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1.2474999999999994</v>
      </c>
      <c r="FE126" s="13">
        <f>IF('Données projet'!$A$218&gt;35,FE125+FD126-FM125,IF(A126&lt;'Données projet'!$A$218,$FB$205^A126,IF(A126='Données projet'!$A$218,'Données projet'!$B$218,FE125+FD126-FM125)))</f>
        <v>115.50916666666663</v>
      </c>
      <c r="FF126" s="18">
        <f>FE126*VLOOKUP('Données projet'!$B$16,Paramètres!$A$1:$I$89,3,0)*VLOOKUP('Données projet'!$B$16,Paramètres!$A$1:$I$89,5,0)</f>
        <v>133.06655999999995</v>
      </c>
      <c r="FG126" s="14">
        <f t="shared" si="101"/>
        <v>34.703986937981455</v>
      </c>
      <c r="FH126" s="22">
        <f t="shared" si="76"/>
        <v>292.20036925031758</v>
      </c>
      <c r="FI126" s="62">
        <f t="shared" si="77"/>
        <v>574.88264906716824</v>
      </c>
      <c r="FJ126" s="62">
        <f ca="1">AVERAGE(OFFSET($FI$3,0,0,'Données projet'!$E$16+1,1))-AVERAGE(OFFSET($H$3,0,0,'Données projet'!$E$16+1,1))</f>
        <v>283.95543623515323</v>
      </c>
      <c r="FK126" s="62">
        <f t="shared" si="102"/>
        <v>196.96883829830929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5.6843418860808015E-14</v>
      </c>
      <c r="GA126" s="18">
        <f>FZ126*VLOOKUP('Données projet'!$B$17,Paramètres!$A$1:$I$89,3,0)*VLOOKUP('Données projet'!$B$17,Paramètres!$A$1:$I$89,5,0)</f>
        <v>3.3992364478763198E-14</v>
      </c>
      <c r="GB126" s="14">
        <f t="shared" si="103"/>
        <v>5.790027782444094E-13</v>
      </c>
      <c r="GC126" s="22">
        <f t="shared" si="79"/>
        <v>1.0676332069095257E-12</v>
      </c>
      <c r="GD126" s="62">
        <f t="shared" si="80"/>
        <v>282.68227981685175</v>
      </c>
      <c r="GE126" s="62">
        <f ca="1">AVERAGE(OFFSET($GD$3,0,0,'Données projet'!$E$17+1,1))-AVERAGE(OFFSET($H$3,0,0,'Données projet'!$E$17+1,1))</f>
        <v>223.57443551076992</v>
      </c>
      <c r="GF126" s="62">
        <f t="shared" si="104"/>
        <v>382.12751862619427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4.2191196135793962</v>
      </c>
      <c r="GM126" s="23">
        <f>EXP(-LN(2)/25)*GM125+(1-EXP(-LN(2)/25))/(LN(2)/25)*Calculateur!GH126*Calculateur!GJ126*VLOOKUP('Données projet'!$B$17,Paramètres!$A$1:$I$89,3,0)*0.475*44/12</f>
        <v>1.0533225791704752</v>
      </c>
      <c r="GN126" s="23">
        <f>EXP(-LN(2)/2)*GN125+(1-EXP(-LN(2)/2))/(LN(2)/2)*GH126*GK126*VLOOKUP('Données projet'!$B$17,Paramètres!$A$1:$I$89,3,0)*0.475*44/12</f>
        <v>1.0186857829287418E-13</v>
      </c>
      <c r="GO126" s="23">
        <f t="shared" si="81"/>
        <v>5.2724421927499732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6.4273627122339976</v>
      </c>
      <c r="GU126" s="13">
        <f>IF('Données projet'!$A$270&gt;35,GU125+GT126-HC125,IF(A126&lt;'Données projet'!$A$270,$GR$205^A126,IF(A126='Données projet'!$A$270,'Données projet'!$B$270,GU125+GT126-HC125)))</f>
        <v>501.79052880324133</v>
      </c>
      <c r="GV126" s="18">
        <f>GU126*VLOOKUP('Données projet'!$B$18,Paramètres!$A$1:$I$89,3,0)*VLOOKUP('Données projet'!$B$18,Paramètres!$A$1:$I$89,5,0)</f>
        <v>547.95525745313955</v>
      </c>
      <c r="GW126" s="14">
        <f t="shared" si="105"/>
        <v>121.20128759834483</v>
      </c>
      <c r="GX126" s="22">
        <f t="shared" si="82"/>
        <v>1165.4476492980018</v>
      </c>
      <c r="GY126" s="62">
        <f t="shared" si="83"/>
        <v>1448.1299291148525</v>
      </c>
      <c r="GZ126" s="62">
        <f ca="1">AVERAGE(OFFSET($GY$3,0,0,'Données projet'!$E$18+1,1))-AVERAGE(OFFSET($H$3,0,0,'Données projet'!$E$18+1,1))</f>
        <v>754.33260592777049</v>
      </c>
      <c r="HA126" s="62">
        <f t="shared" si="106"/>
        <v>250.97643915279005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9">
        <f t="shared" si="56"/>
        <v>183.33333333333334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321.79999999999961</v>
      </c>
      <c r="O127" s="14">
        <f>N127*VLOOKUP('Données projet'!$B$9,Paramètres!$A$1:$I$89,3,0)*VLOOKUP('Données projet'!$B$9,Paramètres!$A$1:$I$89,5,0)</f>
        <v>291.16463999999962</v>
      </c>
      <c r="P127" s="14">
        <f t="shared" si="87"/>
        <v>69.321022467464573</v>
      </c>
      <c r="Q127" s="22">
        <f t="shared" si="107"/>
        <v>627.84586213083344</v>
      </c>
      <c r="R127" s="62">
        <f t="shared" si="55"/>
        <v>910.71291391400678</v>
      </c>
      <c r="S127" s="62">
        <f ca="1">AVERAGE(OFFSET($R$3,0,0,'Données projet'!$E$9+1,1))-AVERAGE(OFFSET($H$3,0,0,'Données projet'!$E$9+1,1))</f>
        <v>550.39292625253665</v>
      </c>
      <c r="T127" s="62">
        <f t="shared" si="88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IF('Données projet'!$A$62&gt;35,AI126+AH127-AQ126,IF(A127&lt;'Données projet'!$A$62,$AF$205^A127,IF(A127='Données projet'!$A$62,'Données projet'!$B$62,AI126+AH127-AQ126)))</f>
        <v>321.79999999999961</v>
      </c>
      <c r="AJ127" s="14">
        <f>AI127*VLOOKUP('Données projet'!$B$10,Paramètres!$A$1:$I$89,3,0)*VLOOKUP('Données projet'!$B$10,Paramètres!$A$1:$I$89,5,0)</f>
        <v>326.30519999999962</v>
      </c>
      <c r="AK127" s="14">
        <f t="shared" si="89"/>
        <v>76.663779608302278</v>
      </c>
      <c r="AL127" s="22">
        <f t="shared" si="58"/>
        <v>701.83763948445903</v>
      </c>
      <c r="AM127" s="62">
        <f t="shared" si="59"/>
        <v>984.70469126763237</v>
      </c>
      <c r="AN127" s="62">
        <f ca="1">AVERAGE(OFFSET($AM$3,0,0,'Données projet'!$E$10+1,1))-AVERAGE(OFFSET($H$3,0,0,'Données projet'!$E$10+1,1))</f>
        <v>606.55142836375308</v>
      </c>
      <c r="AO127" s="62">
        <f t="shared" si="90"/>
        <v>325.72635759450861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3.0769230769230718</v>
      </c>
      <c r="BD127" s="13">
        <f>IF('Données projet'!$A$88&gt;35,BD126+BC127-BL126,IF(A127&lt;'Données projet'!$A$88,$BA$205^A127,IF(A127='Données projet'!$A$88,'Données projet'!$B$88,BD126+BC127-BL126)))</f>
        <v>390.51282051282089</v>
      </c>
      <c r="BE127" s="14">
        <f>BD127*VLOOKUP('Données projet'!$B$11,Paramètres!$A$1:$I$89,3,0)*VLOOKUP('Données projet'!$B$11,Paramètres!$A$1:$I$89,5,0)</f>
        <v>408.1640000000005</v>
      </c>
      <c r="BF127" s="14">
        <f t="shared" si="91"/>
        <v>93.429839644741037</v>
      </c>
      <c r="BG127" s="22">
        <f t="shared" si="61"/>
        <v>873.60927071459139</v>
      </c>
      <c r="BH127" s="62">
        <f t="shared" si="62"/>
        <v>1156.4763224977646</v>
      </c>
      <c r="BI127" s="62">
        <f ca="1">AVERAGE(OFFSET($BH$3,0,0,'Données projet'!$E$11+1,1))-AVERAGE(OFFSET($H$3,0,0,'Données projet'!$E$11+1,1))</f>
        <v>635.13577238794812</v>
      </c>
      <c r="BJ127" s="62">
        <f t="shared" si="92"/>
        <v>374.35810525172019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-6.8212102632969618E-13</v>
      </c>
      <c r="BZ127" s="14">
        <f>BY127*VLOOKUP('Données projet'!$B$12,Paramètres!$A$1:$I$89,3,0)*VLOOKUP('Données projet'!$B$12,Paramètres!$A$1:$I$89,5,0)</f>
        <v>-3.0149749363772573E-13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580.02817743695846</v>
      </c>
      <c r="CE127" s="62">
        <f t="shared" si="94"/>
        <v>551.23515633208865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0.581538461538463</v>
      </c>
      <c r="CT127" s="13">
        <f>IF('Données projet'!$A$140&gt;35,CT126+CS127-DB126,IF(A127&lt;'Données projet'!$A$140,$CQ$205^A127,IF(A127='Données projet'!$A$140,'Données projet'!$B$140,CT126+CS127-DB126)))</f>
        <v>212.27538461538504</v>
      </c>
      <c r="CU127" s="18">
        <f>CT127*VLOOKUP('Données projet'!$B$13,Paramètres!$A$1:$I$89,3,0)*VLOOKUP('Données projet'!$B$13,Paramètres!$A$1:$I$89,5,0)</f>
        <v>99.344880000000188</v>
      </c>
      <c r="CV127" s="14">
        <f t="shared" si="95"/>
        <v>26.805864589050017</v>
      </c>
      <c r="CW127" s="22">
        <f t="shared" si="67"/>
        <v>219.71254682592908</v>
      </c>
      <c r="CX127" s="62">
        <f t="shared" si="68"/>
        <v>502.57959860910239</v>
      </c>
      <c r="CY127" s="62">
        <f ca="1">AVERAGE(OFFSET($CX$3,0,0,'Données projet'!$E$13+1,1))-AVERAGE(OFFSET($H$3,0,0,'Données projet'!$E$13+1,1))</f>
        <v>321.05795935196863</v>
      </c>
      <c r="CZ127" s="62">
        <f t="shared" si="96"/>
        <v>209.59551322748908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4.2</v>
      </c>
      <c r="DO127" s="13">
        <f>IF('Données projet'!$A$166&gt;35,DO126+DN127-DW126,IF(A127&lt;'Données projet'!$A$166,$DL$205^A127,IF(A127='Données projet'!$A$166,'Données projet'!$B$166,DO126+DN127-DW126)))</f>
        <v>321.79999999999961</v>
      </c>
      <c r="DP127" s="18">
        <f>DO127*VLOOKUP('Données projet'!$B$14,Paramètres!$A$1:$I$89,3,0)*VLOOKUP('Données projet'!$B$14,Paramètres!$A$1:$I$89,5,0)</f>
        <v>346.38551999999959</v>
      </c>
      <c r="DQ127" s="14">
        <f t="shared" si="97"/>
        <v>80.817803212543723</v>
      </c>
      <c r="DR127" s="22">
        <f t="shared" si="70"/>
        <v>744.04578792851282</v>
      </c>
      <c r="DS127" s="62">
        <f t="shared" si="71"/>
        <v>1026.912839711686</v>
      </c>
      <c r="DT127" s="62">
        <f ca="1">AVERAGE(OFFSET($DS$3,0,0,'Données projet'!$E$14+1,1))-AVERAGE(OFFSET($H$3,0,0,'Données projet'!$E$14+1,1))</f>
        <v>638.58602907610805</v>
      </c>
      <c r="DU127" s="62">
        <f t="shared" si="98"/>
        <v>341.9250949809848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3.3992364478763198E-14</v>
      </c>
      <c r="EL127" s="14">
        <f t="shared" si="99"/>
        <v>5.790027782444094E-13</v>
      </c>
      <c r="EM127" s="22">
        <f t="shared" si="73"/>
        <v>1.0676332069095257E-12</v>
      </c>
      <c r="EN127" s="62">
        <f t="shared" si="74"/>
        <v>282.86705178317442</v>
      </c>
      <c r="EO127" s="62">
        <f ca="1">AVERAGE(OFFSET($EN$3,0,0,'Données projet'!$E$15+1,1))-AVERAGE(OFFSET($H$3,0,0,'Données projet'!$E$15+1,1))</f>
        <v>223.57443551076992</v>
      </c>
      <c r="EP127" s="62">
        <f t="shared" si="100"/>
        <v>382.12751862619427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4.1363852513659651</v>
      </c>
      <c r="EW127" s="23">
        <f>EXP(-LN(2)/25)*EW126+(1-EXP(-LN(2)/25))/(LN(2)/25)*Calculateur!ER127*Calculateur!ET127*VLOOKUP('Données projet'!$B$15,Paramètres!$A$1:$I$89,3,0)*0.475*44/12</f>
        <v>1.0245194178512316</v>
      </c>
      <c r="EX127" s="23">
        <f>EXP(-LN(2)/2)*EX126+(1-EXP(-LN(2)/2))/(LN(2)/2)*ER127*EU127*VLOOKUP('Données projet'!$B$15,Paramètres!$A$1:$I$89,3,0)*0.475*44/12</f>
        <v>7.2031962500724067E-14</v>
      </c>
      <c r="EY127" s="24">
        <f t="shared" si="75"/>
        <v>5.1609046692172686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1.2474999999999994</v>
      </c>
      <c r="FE127" s="13">
        <f>IF('Données projet'!$A$218&gt;35,FE126+FD127-FM126,IF(A127&lt;'Données projet'!$A$218,$FB$205^A127,IF(A127='Données projet'!$A$218,'Données projet'!$B$218,FE126+FD127-FM126)))</f>
        <v>116.75666666666663</v>
      </c>
      <c r="FF127" s="18">
        <f>FE127*VLOOKUP('Données projet'!$B$16,Paramètres!$A$1:$I$89,3,0)*VLOOKUP('Données projet'!$B$16,Paramètres!$A$1:$I$89,5,0)</f>
        <v>134.50367999999995</v>
      </c>
      <c r="FG127" s="14">
        <f t="shared" si="101"/>
        <v>35.034955853887169</v>
      </c>
      <c r="FH127" s="22">
        <f t="shared" si="76"/>
        <v>295.2797907788534</v>
      </c>
      <c r="FI127" s="62">
        <f t="shared" si="77"/>
        <v>578.14684256202668</v>
      </c>
      <c r="FJ127" s="62">
        <f ca="1">AVERAGE(OFFSET($FI$3,0,0,'Données projet'!$E$16+1,1))-AVERAGE(OFFSET($H$3,0,0,'Données projet'!$E$16+1,1))</f>
        <v>283.95543623515323</v>
      </c>
      <c r="FK127" s="62">
        <f t="shared" si="102"/>
        <v>196.96883829830929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5.6843418860808015E-14</v>
      </c>
      <c r="GA127" s="18">
        <f>FZ127*VLOOKUP('Données projet'!$B$17,Paramètres!$A$1:$I$89,3,0)*VLOOKUP('Données projet'!$B$17,Paramètres!$A$1:$I$89,5,0)</f>
        <v>3.3992364478763198E-14</v>
      </c>
      <c r="GB127" s="14">
        <f t="shared" si="103"/>
        <v>5.790027782444094E-13</v>
      </c>
      <c r="GC127" s="22">
        <f t="shared" si="79"/>
        <v>1.0676332069095257E-12</v>
      </c>
      <c r="GD127" s="62">
        <f t="shared" si="80"/>
        <v>282.86705178317442</v>
      </c>
      <c r="GE127" s="62">
        <f ca="1">AVERAGE(OFFSET($GD$3,0,0,'Données projet'!$E$17+1,1))-AVERAGE(OFFSET($H$3,0,0,'Données projet'!$E$17+1,1))</f>
        <v>223.57443551076992</v>
      </c>
      <c r="GF127" s="62">
        <f t="shared" si="104"/>
        <v>382.12751862619427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4.1363852513659651</v>
      </c>
      <c r="GM127" s="23">
        <f>EXP(-LN(2)/25)*GM126+(1-EXP(-LN(2)/25))/(LN(2)/25)*Calculateur!GH127*Calculateur!GJ127*VLOOKUP('Données projet'!$B$17,Paramètres!$A$1:$I$89,3,0)*0.475*44/12</f>
        <v>1.0245194178512316</v>
      </c>
      <c r="GN127" s="23">
        <f>EXP(-LN(2)/2)*GN126+(1-EXP(-LN(2)/2))/(LN(2)/2)*GH127*GK127*VLOOKUP('Données projet'!$B$17,Paramètres!$A$1:$I$89,3,0)*0.475*44/12</f>
        <v>7.2031962500724067E-14</v>
      </c>
      <c r="GO127" s="23">
        <f t="shared" si="81"/>
        <v>5.1609046692172686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6.4273627122339976</v>
      </c>
      <c r="GU127" s="13">
        <f>IF('Données projet'!$A$270&gt;35,GU126+GT127-HC126,IF(A127&lt;'Données projet'!$A$270,$GR$205^A127,IF(A127='Données projet'!$A$270,'Données projet'!$B$270,GU126+GT127-HC126)))</f>
        <v>508.21789151547534</v>
      </c>
      <c r="GV127" s="18">
        <f>GU127*VLOOKUP('Données projet'!$B$18,Paramètres!$A$1:$I$89,3,0)*VLOOKUP('Données projet'!$B$18,Paramètres!$A$1:$I$89,5,0)</f>
        <v>554.97393753489905</v>
      </c>
      <c r="GW127" s="14">
        <f t="shared" si="105"/>
        <v>122.5720145349328</v>
      </c>
      <c r="GX127" s="22">
        <f t="shared" si="82"/>
        <v>1180.0591998549571</v>
      </c>
      <c r="GY127" s="62">
        <f t="shared" si="83"/>
        <v>1462.9262516381305</v>
      </c>
      <c r="GZ127" s="62">
        <f ca="1">AVERAGE(OFFSET($GY$3,0,0,'Données projet'!$E$18+1,1))-AVERAGE(OFFSET($H$3,0,0,'Données projet'!$E$18+1,1))</f>
        <v>754.33260592777049</v>
      </c>
      <c r="HA127" s="62">
        <f t="shared" si="106"/>
        <v>250.97643915279005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9">
        <f t="shared" si="56"/>
        <v>183.33333333333334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325.9999999999996</v>
      </c>
      <c r="O128" s="14">
        <f>N128*VLOOKUP('Données projet'!$B$9,Paramètres!$A$1:$I$89,3,0)*VLOOKUP('Données projet'!$B$9,Paramètres!$A$1:$I$89,5,0)</f>
        <v>294.96479999999963</v>
      </c>
      <c r="P128" s="14">
        <f t="shared" si="87"/>
        <v>70.119854541045001</v>
      </c>
      <c r="Q128" s="22">
        <f t="shared" si="107"/>
        <v>635.85577332565276</v>
      </c>
      <c r="R128" s="62">
        <f t="shared" si="55"/>
        <v>918.90439169462127</v>
      </c>
      <c r="S128" s="62">
        <f ca="1">AVERAGE(OFFSET($R$3,0,0,'Données projet'!$E$9+1,1))-AVERAGE(OFFSET($H$3,0,0,'Données projet'!$E$9+1,1))</f>
        <v>550.39292625253665</v>
      </c>
      <c r="T128" s="62">
        <f t="shared" si="88"/>
        <v>297.32483725004136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4.2</v>
      </c>
      <c r="AI128" s="14">
        <f>IF('Données projet'!$A$62&gt;35,AI127+AH128-AQ127,IF(A128&lt;'Données projet'!$A$62,$AF$205^A128,IF(A128='Données projet'!$A$62,'Données projet'!$B$62,AI127+AH128-AQ127)))</f>
        <v>325.9999999999996</v>
      </c>
      <c r="AJ128" s="14">
        <f>AI128*VLOOKUP('Données projet'!$B$10,Paramètres!$A$1:$I$89,3,0)*VLOOKUP('Données projet'!$B$10,Paramètres!$A$1:$I$89,5,0)</f>
        <v>330.56399999999962</v>
      </c>
      <c r="AK128" s="14">
        <f t="shared" si="89"/>
        <v>77.547227137682782</v>
      </c>
      <c r="AL128" s="22">
        <f t="shared" si="58"/>
        <v>710.79372059813011</v>
      </c>
      <c r="AM128" s="62">
        <f t="shared" si="59"/>
        <v>993.84233896709861</v>
      </c>
      <c r="AN128" s="62">
        <f ca="1">AVERAGE(OFFSET($AM$3,0,0,'Données projet'!$E$10+1,1))-AVERAGE(OFFSET($H$3,0,0,'Données projet'!$E$10+1,1))</f>
        <v>606.55142836375308</v>
      </c>
      <c r="AO128" s="62">
        <f t="shared" si="90"/>
        <v>325.72635759450861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3.0769230769230718</v>
      </c>
      <c r="BD128" s="13">
        <f>IF('Données projet'!$A$88&gt;35,BD127+BC128-BL127,IF(A128&lt;'Données projet'!$A$88,$BA$205^A128,IF(A128='Données projet'!$A$88,'Données projet'!$B$88,BD127+BC128-BL127)))</f>
        <v>393.58974358974399</v>
      </c>
      <c r="BE128" s="14">
        <f>BD128*VLOOKUP('Données projet'!$B$11,Paramètres!$A$1:$I$89,3,0)*VLOOKUP('Données projet'!$B$11,Paramètres!$A$1:$I$89,5,0)</f>
        <v>411.38000000000039</v>
      </c>
      <c r="BF128" s="14">
        <f t="shared" si="91"/>
        <v>94.080005316957639</v>
      </c>
      <c r="BG128" s="22">
        <f t="shared" si="61"/>
        <v>880.34284259370179</v>
      </c>
      <c r="BH128" s="62">
        <f t="shared" si="62"/>
        <v>1163.3914609626704</v>
      </c>
      <c r="BI128" s="62">
        <f ca="1">AVERAGE(OFFSET($BH$3,0,0,'Données projet'!$E$11+1,1))-AVERAGE(OFFSET($H$3,0,0,'Données projet'!$E$11+1,1))</f>
        <v>635.13577238794812</v>
      </c>
      <c r="BJ128" s="62">
        <f t="shared" si="92"/>
        <v>374.35810525172019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-6.8212102632969618E-13</v>
      </c>
      <c r="BZ128" s="14">
        <f>BY128*VLOOKUP('Données projet'!$B$12,Paramètres!$A$1:$I$89,3,0)*VLOOKUP('Données projet'!$B$12,Paramètres!$A$1:$I$89,5,0)</f>
        <v>-3.0149749363772573E-13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580.02817743695846</v>
      </c>
      <c r="CE128" s="62">
        <f t="shared" si="94"/>
        <v>551.23515633208865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0.581538461538463</v>
      </c>
      <c r="CT128" s="13">
        <f>IF('Données projet'!$A$140&gt;35,CT127+CS128-DB127,IF(A128&lt;'Données projet'!$A$140,$CQ$205^A128,IF(A128='Données projet'!$A$140,'Données projet'!$B$140,CT127+CS128-DB127)))</f>
        <v>212.85692307692349</v>
      </c>
      <c r="CU128" s="18">
        <f>CT128*VLOOKUP('Données projet'!$B$13,Paramètres!$A$1:$I$89,3,0)*VLOOKUP('Données projet'!$B$13,Paramètres!$A$1:$I$89,5,0)</f>
        <v>99.617040000000188</v>
      </c>
      <c r="CV128" s="14">
        <f t="shared" si="95"/>
        <v>26.870742245510641</v>
      </c>
      <c r="CW128" s="22">
        <f t="shared" si="67"/>
        <v>220.29955407759803</v>
      </c>
      <c r="CX128" s="62">
        <f t="shared" si="68"/>
        <v>503.34817244656654</v>
      </c>
      <c r="CY128" s="62">
        <f ca="1">AVERAGE(OFFSET($CX$3,0,0,'Données projet'!$E$13+1,1))-AVERAGE(OFFSET($H$3,0,0,'Données projet'!$E$13+1,1))</f>
        <v>321.05795935196863</v>
      </c>
      <c r="CZ128" s="62">
        <f t="shared" si="96"/>
        <v>209.59551322748908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4.2</v>
      </c>
      <c r="DO128" s="13">
        <f>IF('Données projet'!$A$166&gt;35,DO127+DN128-DW127,IF(A128&lt;'Données projet'!$A$166,$DL$205^A128,IF(A128='Données projet'!$A$166,'Données projet'!$B$166,DO127+DN128-DW127)))</f>
        <v>325.9999999999996</v>
      </c>
      <c r="DP128" s="18">
        <f>DO128*VLOOKUP('Données projet'!$B$14,Paramètres!$A$1:$I$89,3,0)*VLOOKUP('Données projet'!$B$14,Paramètres!$A$1:$I$89,5,0)</f>
        <v>350.90639999999956</v>
      </c>
      <c r="DQ128" s="14">
        <f t="shared" si="97"/>
        <v>81.749120308346676</v>
      </c>
      <c r="DR128" s="22">
        <f t="shared" si="70"/>
        <v>753.54169787036972</v>
      </c>
      <c r="DS128" s="62">
        <f t="shared" si="71"/>
        <v>1036.5903162393383</v>
      </c>
      <c r="DT128" s="62">
        <f ca="1">AVERAGE(OFFSET($DS$3,0,0,'Données projet'!$E$14+1,1))-AVERAGE(OFFSET($H$3,0,0,'Données projet'!$E$14+1,1))</f>
        <v>638.58602907610805</v>
      </c>
      <c r="DU128" s="62">
        <f t="shared" si="98"/>
        <v>341.9250949809848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3.3992364478763198E-14</v>
      </c>
      <c r="EL128" s="14">
        <f t="shared" si="99"/>
        <v>5.790027782444094E-13</v>
      </c>
      <c r="EM128" s="22">
        <f t="shared" si="73"/>
        <v>1.0676332069095257E-12</v>
      </c>
      <c r="EN128" s="62">
        <f t="shared" si="74"/>
        <v>283.04861836896958</v>
      </c>
      <c r="EO128" s="62">
        <f ca="1">AVERAGE(OFFSET($EN$3,0,0,'Données projet'!$E$15+1,1))-AVERAGE(OFFSET($H$3,0,0,'Données projet'!$E$15+1,1))</f>
        <v>223.57443551076992</v>
      </c>
      <c r="EP128" s="62">
        <f t="shared" si="100"/>
        <v>382.12751862619427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4.0552732595325613</v>
      </c>
      <c r="EW128" s="23">
        <f>EXP(-LN(2)/25)*EW127+(1-EXP(-LN(2)/25))/(LN(2)/25)*Calculateur!ER128*Calculateur!ET128*VLOOKUP('Données projet'!$B$15,Paramètres!$A$1:$I$89,3,0)*0.475*44/12</f>
        <v>0.99650388049295502</v>
      </c>
      <c r="EX128" s="23">
        <f>EXP(-LN(2)/2)*EX127+(1-EXP(-LN(2)/2))/(LN(2)/2)*ER128*EU128*VLOOKUP('Données projet'!$B$15,Paramètres!$A$1:$I$89,3,0)*0.475*44/12</f>
        <v>5.0934289146437091E-14</v>
      </c>
      <c r="EY128" s="24">
        <f t="shared" si="75"/>
        <v>5.0517771400255667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1.2474999999999994</v>
      </c>
      <c r="FE128" s="13">
        <f>IF('Données projet'!$A$218&gt;35,FE127+FD128-FM127,IF(A128&lt;'Données projet'!$A$218,$FB$205^A128,IF(A128='Données projet'!$A$218,'Données projet'!$B$218,FE127+FD128-FM127)))</f>
        <v>118.00416666666663</v>
      </c>
      <c r="FF128" s="18">
        <f>FE128*VLOOKUP('Données projet'!$B$16,Paramètres!$A$1:$I$89,3,0)*VLOOKUP('Données projet'!$B$16,Paramètres!$A$1:$I$89,5,0)</f>
        <v>135.94079999999994</v>
      </c>
      <c r="FG128" s="14">
        <f t="shared" si="101"/>
        <v>35.365513394923219</v>
      </c>
      <c r="FH128" s="22">
        <f t="shared" si="76"/>
        <v>298.35849582949118</v>
      </c>
      <c r="FI128" s="62">
        <f t="shared" si="77"/>
        <v>581.40711419845968</v>
      </c>
      <c r="FJ128" s="62">
        <f ca="1">AVERAGE(OFFSET($FI$3,0,0,'Données projet'!$E$16+1,1))-AVERAGE(OFFSET($H$3,0,0,'Données projet'!$E$16+1,1))</f>
        <v>283.95543623515323</v>
      </c>
      <c r="FK128" s="62">
        <f t="shared" si="102"/>
        <v>196.96883829830929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5.6843418860808015E-14</v>
      </c>
      <c r="GA128" s="18">
        <f>FZ128*VLOOKUP('Données projet'!$B$17,Paramètres!$A$1:$I$89,3,0)*VLOOKUP('Données projet'!$B$17,Paramètres!$A$1:$I$89,5,0)</f>
        <v>3.3992364478763198E-14</v>
      </c>
      <c r="GB128" s="14">
        <f t="shared" si="103"/>
        <v>5.790027782444094E-13</v>
      </c>
      <c r="GC128" s="22">
        <f t="shared" si="79"/>
        <v>1.0676332069095257E-12</v>
      </c>
      <c r="GD128" s="62">
        <f t="shared" si="80"/>
        <v>283.04861836896958</v>
      </c>
      <c r="GE128" s="62">
        <f ca="1">AVERAGE(OFFSET($GD$3,0,0,'Données projet'!$E$17+1,1))-AVERAGE(OFFSET($H$3,0,0,'Données projet'!$E$17+1,1))</f>
        <v>223.57443551076992</v>
      </c>
      <c r="GF128" s="62">
        <f t="shared" si="104"/>
        <v>382.12751862619427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4.0552732595325613</v>
      </c>
      <c r="GM128" s="23">
        <f>EXP(-LN(2)/25)*GM127+(1-EXP(-LN(2)/25))/(LN(2)/25)*Calculateur!GH128*Calculateur!GJ128*VLOOKUP('Données projet'!$B$17,Paramètres!$A$1:$I$89,3,0)*0.475*44/12</f>
        <v>0.99650388049295502</v>
      </c>
      <c r="GN128" s="23">
        <f>EXP(-LN(2)/2)*GN127+(1-EXP(-LN(2)/2))/(LN(2)/2)*GH128*GK128*VLOOKUP('Données projet'!$B$17,Paramètres!$A$1:$I$89,3,0)*0.475*44/12</f>
        <v>5.0934289146437091E-14</v>
      </c>
      <c r="GO128" s="23">
        <f t="shared" si="81"/>
        <v>5.0517771400255667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6.4273627122339976</v>
      </c>
      <c r="GU128" s="13">
        <f>IF('Données projet'!$A$270&gt;35,GU127+GT128-HC127,IF(A128&lt;'Données projet'!$A$270,$GR$205^A128,IF(A128='Données projet'!$A$270,'Données projet'!$B$270,GU127+GT128-HC127)))</f>
        <v>514.6452542277093</v>
      </c>
      <c r="GV128" s="18">
        <f>GU128*VLOOKUP('Données projet'!$B$18,Paramètres!$A$1:$I$89,3,0)*VLOOKUP('Données projet'!$B$18,Paramètres!$A$1:$I$89,5,0)</f>
        <v>561.99261761665855</v>
      </c>
      <c r="GW128" s="14">
        <f t="shared" si="105"/>
        <v>123.9407250589009</v>
      </c>
      <c r="GX128" s="22">
        <f t="shared" si="82"/>
        <v>1194.667238493266</v>
      </c>
      <c r="GY128" s="62">
        <f t="shared" si="83"/>
        <v>1477.7158568622344</v>
      </c>
      <c r="GZ128" s="62">
        <f ca="1">AVERAGE(OFFSET($GY$3,0,0,'Données projet'!$E$18+1,1))-AVERAGE(OFFSET($H$3,0,0,'Données projet'!$E$18+1,1))</f>
        <v>754.33260592777049</v>
      </c>
      <c r="HA128" s="62">
        <f t="shared" si="106"/>
        <v>250.97643915279005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9">
        <f t="shared" si="56"/>
        <v>183.33333333333334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330.19999999999959</v>
      </c>
      <c r="O129" s="14">
        <f>N129*VLOOKUP('Données projet'!$B$9,Paramètres!$A$1:$I$89,3,0)*VLOOKUP('Données projet'!$B$9,Paramètres!$A$1:$I$89,5,0)</f>
        <v>298.76495999999958</v>
      </c>
      <c r="P129" s="14">
        <f t="shared" si="87"/>
        <v>70.917489523341189</v>
      </c>
      <c r="Q129" s="22">
        <f t="shared" si="107"/>
        <v>643.86359958648518</v>
      </c>
      <c r="R129" s="62">
        <f t="shared" si="55"/>
        <v>927.09063476690744</v>
      </c>
      <c r="S129" s="62">
        <f ca="1">AVERAGE(OFFSET($R$3,0,0,'Données projet'!$E$9+1,1))-AVERAGE(OFFSET($H$3,0,0,'Données projet'!$E$9+1,1))</f>
        <v>550.39292625253665</v>
      </c>
      <c r="T129" s="62">
        <f t="shared" si="88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4.2</v>
      </c>
      <c r="AI129" s="14">
        <f>IF('Données projet'!$A$62&gt;35,AI128+AH129-AQ128,IF(A129&lt;'Données projet'!$A$62,$AF$205^A129,IF(A129='Données projet'!$A$62,'Données projet'!$B$62,AI128+AH129-AQ128)))</f>
        <v>330.19999999999959</v>
      </c>
      <c r="AJ129" s="14">
        <f>AI129*VLOOKUP('Données projet'!$B$10,Paramètres!$A$1:$I$89,3,0)*VLOOKUP('Données projet'!$B$10,Paramètres!$A$1:$I$89,5,0)</f>
        <v>334.82279999999963</v>
      </c>
      <c r="AK129" s="14">
        <f t="shared" si="89"/>
        <v>78.429350775131056</v>
      </c>
      <c r="AL129" s="22">
        <f t="shared" si="58"/>
        <v>719.74749593335264</v>
      </c>
      <c r="AM129" s="62">
        <f t="shared" si="59"/>
        <v>1002.9745311137749</v>
      </c>
      <c r="AN129" s="62">
        <f ca="1">AVERAGE(OFFSET($AM$3,0,0,'Données projet'!$E$10+1,1))-AVERAGE(OFFSET($H$3,0,0,'Données projet'!$E$10+1,1))</f>
        <v>606.55142836375308</v>
      </c>
      <c r="AO129" s="62">
        <f t="shared" si="90"/>
        <v>325.72635759450861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3.0769230769230718</v>
      </c>
      <c r="BD129" s="13">
        <f>IF('Données projet'!$A$88&gt;35,BD128+BC129-BL128,IF(A129&lt;'Données projet'!$A$88,$BA$205^A129,IF(A129='Données projet'!$A$88,'Données projet'!$B$88,BD128+BC129-BL128)))</f>
        <v>396.66666666666708</v>
      </c>
      <c r="BE129" s="14">
        <f>BD129*VLOOKUP('Données projet'!$B$11,Paramètres!$A$1:$I$89,3,0)*VLOOKUP('Données projet'!$B$11,Paramètres!$A$1:$I$89,5,0)</f>
        <v>414.59600000000046</v>
      </c>
      <c r="BF129" s="14">
        <f t="shared" si="91"/>
        <v>94.729579622319406</v>
      </c>
      <c r="BG129" s="22">
        <f t="shared" si="61"/>
        <v>887.07538450887375</v>
      </c>
      <c r="BH129" s="62">
        <f t="shared" si="62"/>
        <v>1170.3024196892959</v>
      </c>
      <c r="BI129" s="62">
        <f ca="1">AVERAGE(OFFSET($BH$3,0,0,'Données projet'!$E$11+1,1))-AVERAGE(OFFSET($H$3,0,0,'Données projet'!$E$11+1,1))</f>
        <v>635.13577238794812</v>
      </c>
      <c r="BJ129" s="62">
        <f t="shared" si="92"/>
        <v>374.35810525172019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-6.8212102632969618E-13</v>
      </c>
      <c r="BZ129" s="14">
        <f>BY129*VLOOKUP('Données projet'!$B$12,Paramètres!$A$1:$I$89,3,0)*VLOOKUP('Données projet'!$B$12,Paramètres!$A$1:$I$89,5,0)</f>
        <v>-3.0149749363772573E-13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580.02817743695846</v>
      </c>
      <c r="CE129" s="62">
        <f t="shared" si="94"/>
        <v>551.23515633208865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0.581538461538463</v>
      </c>
      <c r="CT129" s="13">
        <f>IF('Données projet'!$A$140&gt;35,CT128+CS129-DB128,IF(A129&lt;'Données projet'!$A$140,$CQ$205^A129,IF(A129='Données projet'!$A$140,'Données projet'!$B$140,CT128+CS129-DB128)))</f>
        <v>213.43846153846195</v>
      </c>
      <c r="CU129" s="18">
        <f>CT129*VLOOKUP('Données projet'!$B$13,Paramètres!$A$1:$I$89,3,0)*VLOOKUP('Données projet'!$B$13,Paramètres!$A$1:$I$89,5,0)</f>
        <v>99.889200000000187</v>
      </c>
      <c r="CV129" s="14">
        <f t="shared" si="95"/>
        <v>26.935599273344604</v>
      </c>
      <c r="CW129" s="22">
        <f t="shared" si="67"/>
        <v>220.88652540107549</v>
      </c>
      <c r="CX129" s="62">
        <f t="shared" si="68"/>
        <v>504.11356058149772</v>
      </c>
      <c r="CY129" s="62">
        <f ca="1">AVERAGE(OFFSET($CX$3,0,0,'Données projet'!$E$13+1,1))-AVERAGE(OFFSET($H$3,0,0,'Données projet'!$E$13+1,1))</f>
        <v>321.05795935196863</v>
      </c>
      <c r="CZ129" s="62">
        <f t="shared" si="96"/>
        <v>209.59551322748908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4.2</v>
      </c>
      <c r="DO129" s="13">
        <f>IF('Données projet'!$A$166&gt;35,DO128+DN129-DW128,IF(A129&lt;'Données projet'!$A$166,$DL$205^A129,IF(A129='Données projet'!$A$166,'Données projet'!$B$166,DO128+DN129-DW128)))</f>
        <v>330.19999999999959</v>
      </c>
      <c r="DP129" s="18">
        <f>DO129*VLOOKUP('Données projet'!$B$14,Paramètres!$A$1:$I$89,3,0)*VLOOKUP('Données projet'!$B$14,Paramètres!$A$1:$I$89,5,0)</f>
        <v>355.42727999999954</v>
      </c>
      <c r="DQ129" s="14">
        <f t="shared" si="97"/>
        <v>82.679041777189923</v>
      </c>
      <c r="DR129" s="22">
        <f t="shared" si="70"/>
        <v>763.03517709527159</v>
      </c>
      <c r="DS129" s="62">
        <f t="shared" si="71"/>
        <v>1046.2622122756939</v>
      </c>
      <c r="DT129" s="62">
        <f ca="1">AVERAGE(OFFSET($DS$3,0,0,'Données projet'!$E$14+1,1))-AVERAGE(OFFSET($H$3,0,0,'Données projet'!$E$14+1,1))</f>
        <v>638.58602907610805</v>
      </c>
      <c r="DU129" s="62">
        <f t="shared" si="98"/>
        <v>341.9250949809848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3.3992364478763198E-14</v>
      </c>
      <c r="EL129" s="14">
        <f t="shared" si="99"/>
        <v>5.790027782444094E-13</v>
      </c>
      <c r="EM129" s="22">
        <f t="shared" si="73"/>
        <v>1.0676332069095257E-12</v>
      </c>
      <c r="EN129" s="62">
        <f t="shared" si="74"/>
        <v>283.22703518042329</v>
      </c>
      <c r="EO129" s="62">
        <f ca="1">AVERAGE(OFFSET($EN$3,0,0,'Données projet'!$E$15+1,1))-AVERAGE(OFFSET($H$3,0,0,'Données projet'!$E$15+1,1))</f>
        <v>223.57443551076992</v>
      </c>
      <c r="EP129" s="62">
        <f t="shared" si="100"/>
        <v>382.12751862619427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3.9757518243855809</v>
      </c>
      <c r="EW129" s="23">
        <f>EXP(-LN(2)/25)*EW128+(1-EXP(-LN(2)/25))/(LN(2)/25)*Calculateur!ER129*Calculateur!ET129*VLOOKUP('Données projet'!$B$15,Paramètres!$A$1:$I$89,3,0)*0.475*44/12</f>
        <v>0.96925442947701368</v>
      </c>
      <c r="EX129" s="23">
        <f>EXP(-LN(2)/2)*EX128+(1-EXP(-LN(2)/2))/(LN(2)/2)*ER129*EU129*VLOOKUP('Données projet'!$B$15,Paramètres!$A$1:$I$89,3,0)*0.475*44/12</f>
        <v>3.6015981250362034E-14</v>
      </c>
      <c r="EY129" s="24">
        <f t="shared" si="75"/>
        <v>4.9450062538626307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1.2474999999999994</v>
      </c>
      <c r="FE129" s="13">
        <f>IF('Données projet'!$A$218&gt;35,FE128+FD129-FM128,IF(A129&lt;'Données projet'!$A$218,$FB$205^A129,IF(A129='Données projet'!$A$218,'Données projet'!$B$218,FE128+FD129-FM128)))</f>
        <v>119.25166666666664</v>
      </c>
      <c r="FF129" s="18">
        <f>FE129*VLOOKUP('Données projet'!$B$16,Paramètres!$A$1:$I$89,3,0)*VLOOKUP('Données projet'!$B$16,Paramètres!$A$1:$I$89,5,0)</f>
        <v>137.37791999999996</v>
      </c>
      <c r="FG129" s="14">
        <f t="shared" si="101"/>
        <v>35.695664413414427</v>
      </c>
      <c r="FH129" s="22">
        <f t="shared" si="76"/>
        <v>301.43649285336335</v>
      </c>
      <c r="FI129" s="62">
        <f t="shared" si="77"/>
        <v>584.6635280337855</v>
      </c>
      <c r="FJ129" s="62">
        <f ca="1">AVERAGE(OFFSET($FI$3,0,0,'Données projet'!$E$16+1,1))-AVERAGE(OFFSET($H$3,0,0,'Données projet'!$E$16+1,1))</f>
        <v>283.95543623515323</v>
      </c>
      <c r="FK129" s="62">
        <f t="shared" si="102"/>
        <v>196.96883829830929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5.6843418860808015E-14</v>
      </c>
      <c r="GA129" s="18">
        <f>FZ129*VLOOKUP('Données projet'!$B$17,Paramètres!$A$1:$I$89,3,0)*VLOOKUP('Données projet'!$B$17,Paramètres!$A$1:$I$89,5,0)</f>
        <v>3.3992364478763198E-14</v>
      </c>
      <c r="GB129" s="14">
        <f t="shared" si="103"/>
        <v>5.790027782444094E-13</v>
      </c>
      <c r="GC129" s="22">
        <f t="shared" si="79"/>
        <v>1.0676332069095257E-12</v>
      </c>
      <c r="GD129" s="62">
        <f t="shared" si="80"/>
        <v>283.22703518042329</v>
      </c>
      <c r="GE129" s="62">
        <f ca="1">AVERAGE(OFFSET($GD$3,0,0,'Données projet'!$E$17+1,1))-AVERAGE(OFFSET($H$3,0,0,'Données projet'!$E$17+1,1))</f>
        <v>223.57443551076992</v>
      </c>
      <c r="GF129" s="62">
        <f t="shared" si="104"/>
        <v>382.12751862619427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3.9757518243855809</v>
      </c>
      <c r="GM129" s="23">
        <f>EXP(-LN(2)/25)*GM128+(1-EXP(-LN(2)/25))/(LN(2)/25)*Calculateur!GH129*Calculateur!GJ129*VLOOKUP('Données projet'!$B$17,Paramètres!$A$1:$I$89,3,0)*0.475*44/12</f>
        <v>0.96925442947701368</v>
      </c>
      <c r="GN129" s="23">
        <f>EXP(-LN(2)/2)*GN128+(1-EXP(-LN(2)/2))/(LN(2)/2)*GH129*GK129*VLOOKUP('Données projet'!$B$17,Paramètres!$A$1:$I$89,3,0)*0.475*44/12</f>
        <v>3.6015981250362034E-14</v>
      </c>
      <c r="GO129" s="23">
        <f t="shared" si="81"/>
        <v>4.9450062538626307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6.4273627122339976</v>
      </c>
      <c r="GU129" s="13">
        <f>IF('Données projet'!$A$270&gt;35,GU128+GT129-HC128,IF(A129&lt;'Données projet'!$A$270,$GR$205^A129,IF(A129='Données projet'!$A$270,'Données projet'!$B$270,GU128+GT129-HC128)))</f>
        <v>521.07261693994326</v>
      </c>
      <c r="GV129" s="18">
        <f>GU129*VLOOKUP('Données projet'!$B$18,Paramètres!$A$1:$I$89,3,0)*VLOOKUP('Données projet'!$B$18,Paramètres!$A$1:$I$89,5,0)</f>
        <v>569.01129769841793</v>
      </c>
      <c r="GW129" s="14">
        <f t="shared" si="105"/>
        <v>125.30744726538575</v>
      </c>
      <c r="GX129" s="22">
        <f t="shared" si="82"/>
        <v>1209.2718141452913</v>
      </c>
      <c r="GY129" s="62">
        <f t="shared" si="83"/>
        <v>1492.4988493257135</v>
      </c>
      <c r="GZ129" s="62">
        <f ca="1">AVERAGE(OFFSET($GY$3,0,0,'Données projet'!$E$18+1,1))-AVERAGE(OFFSET($H$3,0,0,'Données projet'!$E$18+1,1))</f>
        <v>754.33260592777049</v>
      </c>
      <c r="HA129" s="62">
        <f t="shared" si="106"/>
        <v>250.97643915279005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9">
        <f t="shared" si="56"/>
        <v>183.33333333333334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334.39999999999958</v>
      </c>
      <c r="O130" s="14">
        <f>N130*VLOOKUP('Données projet'!$B$9,Paramètres!$A$1:$I$89,3,0)*VLOOKUP('Données projet'!$B$9,Paramètres!$A$1:$I$89,5,0)</f>
        <v>302.56511999999958</v>
      </c>
      <c r="P130" s="14">
        <f t="shared" si="87"/>
        <v>71.713944401538271</v>
      </c>
      <c r="Q130" s="22">
        <f t="shared" si="107"/>
        <v>651.86937049934511</v>
      </c>
      <c r="R130" s="62">
        <f t="shared" si="55"/>
        <v>935.27172735842259</v>
      </c>
      <c r="S130" s="62">
        <f ca="1">AVERAGE(OFFSET($R$3,0,0,'Données projet'!$E$9+1,1))-AVERAGE(OFFSET($H$3,0,0,'Données projet'!$E$9+1,1))</f>
        <v>550.39292625253665</v>
      </c>
      <c r="T130" s="62">
        <f t="shared" si="88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4.2</v>
      </c>
      <c r="AI130" s="14">
        <f>IF('Données projet'!$A$62&gt;35,AI129+AH130-AQ129,IF(A130&lt;'Données projet'!$A$62,$AF$205^A130,IF(A130='Données projet'!$A$62,'Données projet'!$B$62,AI129+AH130-AQ129)))</f>
        <v>334.39999999999958</v>
      </c>
      <c r="AJ130" s="14">
        <f>AI130*VLOOKUP('Données projet'!$B$10,Paramètres!$A$1:$I$89,3,0)*VLOOKUP('Données projet'!$B$10,Paramètres!$A$1:$I$89,5,0)</f>
        <v>339.08159999999958</v>
      </c>
      <c r="AK130" s="14">
        <f t="shared" si="89"/>
        <v>79.310169307181852</v>
      </c>
      <c r="AL130" s="22">
        <f t="shared" si="58"/>
        <v>728.69899821000763</v>
      </c>
      <c r="AM130" s="62">
        <f t="shared" si="59"/>
        <v>1012.101355069085</v>
      </c>
      <c r="AN130" s="62">
        <f ca="1">AVERAGE(OFFSET($AM$3,0,0,'Données projet'!$E$10+1,1))-AVERAGE(OFFSET($H$3,0,0,'Données projet'!$E$10+1,1))</f>
        <v>606.55142836375308</v>
      </c>
      <c r="AO130" s="62">
        <f t="shared" si="90"/>
        <v>325.72635759450861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3.0769230769230718</v>
      </c>
      <c r="BD130" s="13">
        <f>IF('Données projet'!$A$88&gt;35,BD129+BC130-BL129,IF(A130&lt;'Données projet'!$A$88,$BA$205^A130,IF(A130='Données projet'!$A$88,'Données projet'!$B$88,BD129+BC130-BL129)))</f>
        <v>399.74358974359018</v>
      </c>
      <c r="BE130" s="14">
        <f>BD130*VLOOKUP('Données projet'!$B$11,Paramètres!$A$1:$I$89,3,0)*VLOOKUP('Données projet'!$B$11,Paramètres!$A$1:$I$89,5,0)</f>
        <v>417.81200000000047</v>
      </c>
      <c r="BF130" s="14">
        <f t="shared" si="91"/>
        <v>95.378567679771081</v>
      </c>
      <c r="BG130" s="22">
        <f t="shared" si="61"/>
        <v>893.80690537560201</v>
      </c>
      <c r="BH130" s="62">
        <f t="shared" si="62"/>
        <v>1177.2092622346795</v>
      </c>
      <c r="BI130" s="62">
        <f ca="1">AVERAGE(OFFSET($BH$3,0,0,'Données projet'!$E$11+1,1))-AVERAGE(OFFSET($H$3,0,0,'Données projet'!$E$11+1,1))</f>
        <v>635.13577238794812</v>
      </c>
      <c r="BJ130" s="62">
        <f t="shared" si="92"/>
        <v>374.35810525172019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-6.8212102632969618E-13</v>
      </c>
      <c r="BZ130" s="14">
        <f>BY130*VLOOKUP('Données projet'!$B$12,Paramètres!$A$1:$I$89,3,0)*VLOOKUP('Données projet'!$B$12,Paramètres!$A$1:$I$89,5,0)</f>
        <v>-3.0149749363772573E-13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580.02817743695846</v>
      </c>
      <c r="CE130" s="62">
        <f t="shared" si="94"/>
        <v>551.23515633208865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0.581538461538463</v>
      </c>
      <c r="CT130" s="13">
        <f>IF('Données projet'!$A$140&gt;35,CT129+CS130-DB129,IF(A130&lt;'Données projet'!$A$140,$CQ$205^A130,IF(A130='Données projet'!$A$140,'Données projet'!$B$140,CT129+CS130-DB129)))</f>
        <v>214.02000000000041</v>
      </c>
      <c r="CU130" s="18">
        <f>CT130*VLOOKUP('Données projet'!$B$13,Paramètres!$A$1:$I$89,3,0)*VLOOKUP('Données projet'!$B$13,Paramètres!$A$1:$I$89,5,0)</f>
        <v>100.16136000000019</v>
      </c>
      <c r="CV130" s="14">
        <f t="shared" si="95"/>
        <v>27.000435735289592</v>
      </c>
      <c r="CW130" s="22">
        <f t="shared" si="67"/>
        <v>221.47346090562971</v>
      </c>
      <c r="CX130" s="62">
        <f t="shared" si="68"/>
        <v>504.87581776470711</v>
      </c>
      <c r="CY130" s="62">
        <f ca="1">AVERAGE(OFFSET($CX$3,0,0,'Données projet'!$E$13+1,1))-AVERAGE(OFFSET($H$3,0,0,'Données projet'!$E$13+1,1))</f>
        <v>321.05795935196863</v>
      </c>
      <c r="CZ130" s="62">
        <f t="shared" si="96"/>
        <v>209.59551322748908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4.2</v>
      </c>
      <c r="DO130" s="13">
        <f>IF('Données projet'!$A$166&gt;35,DO129+DN130-DW129,IF(A130&lt;'Données projet'!$A$166,$DL$205^A130,IF(A130='Données projet'!$A$166,'Données projet'!$B$166,DO129+DN130-DW129)))</f>
        <v>334.39999999999958</v>
      </c>
      <c r="DP130" s="18">
        <f>DO130*VLOOKUP('Données projet'!$B$14,Paramètres!$A$1:$I$89,3,0)*VLOOKUP('Données projet'!$B$14,Paramètres!$A$1:$I$89,5,0)</f>
        <v>359.94815999999958</v>
      </c>
      <c r="DQ130" s="14">
        <f t="shared" si="97"/>
        <v>83.607587423555813</v>
      </c>
      <c r="DR130" s="22">
        <f t="shared" si="70"/>
        <v>772.52626009602557</v>
      </c>
      <c r="DS130" s="62">
        <f t="shared" si="71"/>
        <v>1055.9286169551031</v>
      </c>
      <c r="DT130" s="62">
        <f ca="1">AVERAGE(OFFSET($DS$3,0,0,'Données projet'!$E$14+1,1))-AVERAGE(OFFSET($H$3,0,0,'Données projet'!$E$14+1,1))</f>
        <v>638.58602907610805</v>
      </c>
      <c r="DU130" s="62">
        <f t="shared" si="98"/>
        <v>341.9250949809848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3.3992364478763198E-14</v>
      </c>
      <c r="EL130" s="14">
        <f t="shared" si="99"/>
        <v>5.790027782444094E-13</v>
      </c>
      <c r="EM130" s="22">
        <f t="shared" si="73"/>
        <v>1.0676332069095257E-12</v>
      </c>
      <c r="EN130" s="62">
        <f t="shared" si="74"/>
        <v>283.40235685907851</v>
      </c>
      <c r="EO130" s="62">
        <f ca="1">AVERAGE(OFFSET($EN$3,0,0,'Données projet'!$E$15+1,1))-AVERAGE(OFFSET($H$3,0,0,'Données projet'!$E$15+1,1))</f>
        <v>223.57443551076992</v>
      </c>
      <c r="EP130" s="62">
        <f t="shared" si="100"/>
        <v>382.12751862619427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3.8977897560785468</v>
      </c>
      <c r="EW130" s="23">
        <f>EXP(-LN(2)/25)*EW129+(1-EXP(-LN(2)/25))/(LN(2)/25)*Calculateur!ER130*Calculateur!ET130*VLOOKUP('Données projet'!$B$15,Paramètres!$A$1:$I$89,3,0)*0.475*44/12</f>
        <v>0.94275011613208959</v>
      </c>
      <c r="EX130" s="23">
        <f>EXP(-LN(2)/2)*EX129+(1-EXP(-LN(2)/2))/(LN(2)/2)*ER130*EU130*VLOOKUP('Données projet'!$B$15,Paramètres!$A$1:$I$89,3,0)*0.475*44/12</f>
        <v>2.5467144573218545E-14</v>
      </c>
      <c r="EY130" s="24">
        <f t="shared" si="75"/>
        <v>4.8405398722106625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1.2474999999999994</v>
      </c>
      <c r="FE130" s="13">
        <f>IF('Données projet'!$A$218&gt;35,FE129+FD130-FM129,IF(A130&lt;'Données projet'!$A$218,$FB$205^A130,IF(A130='Données projet'!$A$218,'Données projet'!$B$218,FE129+FD130-FM129)))</f>
        <v>120.49916666666664</v>
      </c>
      <c r="FF130" s="18">
        <f>FE130*VLOOKUP('Données projet'!$B$16,Paramètres!$A$1:$I$89,3,0)*VLOOKUP('Données projet'!$B$16,Paramètres!$A$1:$I$89,5,0)</f>
        <v>138.81503999999995</v>
      </c>
      <c r="FG130" s="14">
        <f t="shared" si="101"/>
        <v>36.02541365431572</v>
      </c>
      <c r="FH130" s="22">
        <f t="shared" si="76"/>
        <v>304.51379011459977</v>
      </c>
      <c r="FI130" s="62">
        <f t="shared" si="77"/>
        <v>587.9161469736772</v>
      </c>
      <c r="FJ130" s="62">
        <f ca="1">AVERAGE(OFFSET($FI$3,0,0,'Données projet'!$E$16+1,1))-AVERAGE(OFFSET($H$3,0,0,'Données projet'!$E$16+1,1))</f>
        <v>283.95543623515323</v>
      </c>
      <c r="FK130" s="62">
        <f t="shared" si="102"/>
        <v>196.96883829830929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5.6843418860808015E-14</v>
      </c>
      <c r="GA130" s="18">
        <f>FZ130*VLOOKUP('Données projet'!$B$17,Paramètres!$A$1:$I$89,3,0)*VLOOKUP('Données projet'!$B$17,Paramètres!$A$1:$I$89,5,0)</f>
        <v>3.3992364478763198E-14</v>
      </c>
      <c r="GB130" s="14">
        <f t="shared" si="103"/>
        <v>5.790027782444094E-13</v>
      </c>
      <c r="GC130" s="22">
        <f t="shared" si="79"/>
        <v>1.0676332069095257E-12</v>
      </c>
      <c r="GD130" s="62">
        <f t="shared" si="80"/>
        <v>283.40235685907851</v>
      </c>
      <c r="GE130" s="62">
        <f ca="1">AVERAGE(OFFSET($GD$3,0,0,'Données projet'!$E$17+1,1))-AVERAGE(OFFSET($H$3,0,0,'Données projet'!$E$17+1,1))</f>
        <v>223.57443551076992</v>
      </c>
      <c r="GF130" s="62">
        <f t="shared" si="104"/>
        <v>382.12751862619427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3.8977897560785468</v>
      </c>
      <c r="GM130" s="23">
        <f>EXP(-LN(2)/25)*GM129+(1-EXP(-LN(2)/25))/(LN(2)/25)*Calculateur!GH130*Calculateur!GJ130*VLOOKUP('Données projet'!$B$17,Paramètres!$A$1:$I$89,3,0)*0.475*44/12</f>
        <v>0.94275011613208959</v>
      </c>
      <c r="GN130" s="23">
        <f>EXP(-LN(2)/2)*GN129+(1-EXP(-LN(2)/2))/(LN(2)/2)*GH130*GK130*VLOOKUP('Données projet'!$B$17,Paramètres!$A$1:$I$89,3,0)*0.475*44/12</f>
        <v>2.5467144573218545E-14</v>
      </c>
      <c r="GO130" s="23">
        <f t="shared" si="81"/>
        <v>4.8405398722106625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6.4273627122339976</v>
      </c>
      <c r="GU130" s="13">
        <f>IF('Données projet'!$A$270&gt;35,GU129+GT130-HC129,IF(A130&lt;'Données projet'!$A$270,$GR$205^A130,IF(A130='Données projet'!$A$270,'Données projet'!$B$270,GU129+GT130-HC129)))</f>
        <v>527.49997965217722</v>
      </c>
      <c r="GV130" s="18">
        <f>GU130*VLOOKUP('Données projet'!$B$18,Paramètres!$A$1:$I$89,3,0)*VLOOKUP('Données projet'!$B$18,Paramètres!$A$1:$I$89,5,0)</f>
        <v>576.02997778017755</v>
      </c>
      <c r="GW130" s="14">
        <f t="shared" si="105"/>
        <v>126.67220851655671</v>
      </c>
      <c r="GX130" s="22">
        <f t="shared" si="82"/>
        <v>1223.8729744668119</v>
      </c>
      <c r="GY130" s="62">
        <f t="shared" si="83"/>
        <v>1507.2753313258893</v>
      </c>
      <c r="GZ130" s="62">
        <f ca="1">AVERAGE(OFFSET($GY$3,0,0,'Données projet'!$E$18+1,1))-AVERAGE(OFFSET($H$3,0,0,'Données projet'!$E$18+1,1))</f>
        <v>754.33260592777049</v>
      </c>
      <c r="HA130" s="62">
        <f t="shared" si="106"/>
        <v>250.97643915279005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9">
        <f t="shared" si="56"/>
        <v>183.33333333333334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338.59999999999957</v>
      </c>
      <c r="O131" s="14">
        <f>N131*VLOOKUP('Données projet'!$B$9,Paramètres!$A$1:$I$89,3,0)*VLOOKUP('Données projet'!$B$9,Paramètres!$A$1:$I$89,5,0)</f>
        <v>306.36527999999964</v>
      </c>
      <c r="P131" s="14">
        <f t="shared" si="87"/>
        <v>72.509235711569417</v>
      </c>
      <c r="Q131" s="22">
        <f t="shared" ref="Q131:Q153" si="108">(O131+P131)*0.475*44/12</f>
        <v>659.87311486431611</v>
      </c>
      <c r="R131" s="62">
        <f t="shared" ref="R131:R194" si="109">Q131+(I131+J131)*44/12</f>
        <v>943.44775196288469</v>
      </c>
      <c r="S131" s="62">
        <f ca="1">AVERAGE(OFFSET($R$3,0,0,'Données projet'!$E$9+1,1))-AVERAGE(OFFSET($H$3,0,0,'Données projet'!$E$9+1,1))</f>
        <v>550.39292625253665</v>
      </c>
      <c r="T131" s="62">
        <f t="shared" si="88"/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4.2</v>
      </c>
      <c r="AI131" s="14">
        <f>IF('Données projet'!$A$62&gt;35,AI130+AH131-AQ130,IF(A131&lt;'Données projet'!$A$62,$AF$205^A131,IF(A131='Données projet'!$A$62,'Données projet'!$B$62,AI130+AH131-AQ130)))</f>
        <v>338.59999999999957</v>
      </c>
      <c r="AJ131" s="14">
        <f>AI131*VLOOKUP('Données projet'!$B$10,Paramètres!$A$1:$I$89,3,0)*VLOOKUP('Données projet'!$B$10,Paramètres!$A$1:$I$89,5,0)</f>
        <v>343.34039999999959</v>
      </c>
      <c r="AK131" s="14">
        <f t="shared" si="89"/>
        <v>80.189701021320118</v>
      </c>
      <c r="AL131" s="22">
        <f t="shared" si="58"/>
        <v>737.64825927879849</v>
      </c>
      <c r="AM131" s="62">
        <f t="shared" si="59"/>
        <v>1021.2228963773671</v>
      </c>
      <c r="AN131" s="62">
        <f ca="1">AVERAGE(OFFSET($AM$3,0,0,'Données projet'!$E$10+1,1))-AVERAGE(OFFSET($H$3,0,0,'Données projet'!$E$10+1,1))</f>
        <v>606.55142836375308</v>
      </c>
      <c r="AO131" s="62">
        <f t="shared" si="90"/>
        <v>325.72635759450861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3.0769230769230718</v>
      </c>
      <c r="BD131" s="13">
        <f>IF('Données projet'!$A$88&gt;35,BD130+BC131-BL130,IF(A131&lt;'Données projet'!$A$88,$BA$205^A131,IF(A131='Données projet'!$A$88,'Données projet'!$B$88,BD130+BC131-BL130)))</f>
        <v>402.82051282051327</v>
      </c>
      <c r="BE131" s="14">
        <f>BD131*VLOOKUP('Données projet'!$B$11,Paramètres!$A$1:$I$89,3,0)*VLOOKUP('Données projet'!$B$11,Paramètres!$A$1:$I$89,5,0)</f>
        <v>421.02800000000047</v>
      </c>
      <c r="BF131" s="14">
        <f t="shared" si="91"/>
        <v>96.026974524902116</v>
      </c>
      <c r="BG131" s="22">
        <f t="shared" si="61"/>
        <v>900.53741396420526</v>
      </c>
      <c r="BH131" s="62">
        <f t="shared" si="62"/>
        <v>1184.1120510627738</v>
      </c>
      <c r="BI131" s="62">
        <f ca="1">AVERAGE(OFFSET($BH$3,0,0,'Données projet'!$E$11+1,1))-AVERAGE(OFFSET($H$3,0,0,'Données projet'!$E$11+1,1))</f>
        <v>635.13577238794812</v>
      </c>
      <c r="BJ131" s="62">
        <f t="shared" si="92"/>
        <v>374.35810525172019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-6.8212102632969618E-13</v>
      </c>
      <c r="BZ131" s="14">
        <f>BY131*VLOOKUP('Données projet'!$B$12,Paramètres!$A$1:$I$89,3,0)*VLOOKUP('Données projet'!$B$12,Paramètres!$A$1:$I$89,5,0)</f>
        <v>-3.0149749363772573E-13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580.02817743695846</v>
      </c>
      <c r="CE131" s="62">
        <f t="shared" si="94"/>
        <v>551.23515633208865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0.581538461538463</v>
      </c>
      <c r="CT131" s="13">
        <f>IF('Données projet'!$A$140&gt;35,CT130+CS131-DB130,IF(A131&lt;'Données projet'!$A$140,$CQ$205^A131,IF(A131='Données projet'!$A$140,'Données projet'!$B$140,CT130+CS131-DB130)))</f>
        <v>214.60153846153887</v>
      </c>
      <c r="CU131" s="18">
        <f>CT131*VLOOKUP('Données projet'!$B$13,Paramètres!$A$1:$I$89,3,0)*VLOOKUP('Données projet'!$B$13,Paramètres!$A$1:$I$89,5,0)</f>
        <v>100.43352000000019</v>
      </c>
      <c r="CV131" s="14">
        <f t="shared" si="95"/>
        <v>27.065251693722484</v>
      </c>
      <c r="CW131" s="22">
        <f t="shared" si="67"/>
        <v>222.06036069990031</v>
      </c>
      <c r="CX131" s="62">
        <f t="shared" si="68"/>
        <v>505.63499779846882</v>
      </c>
      <c r="CY131" s="62">
        <f ca="1">AVERAGE(OFFSET($CX$3,0,0,'Données projet'!$E$13+1,1))-AVERAGE(OFFSET($H$3,0,0,'Données projet'!$E$13+1,1))</f>
        <v>321.05795935196863</v>
      </c>
      <c r="CZ131" s="62">
        <f t="shared" si="96"/>
        <v>209.59551322748908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4.2</v>
      </c>
      <c r="DO131" s="13">
        <f>IF('Données projet'!$A$166&gt;35,DO130+DN131-DW130,IF(A131&lt;'Données projet'!$A$166,$DL$205^A131,IF(A131='Données projet'!$A$166,'Données projet'!$B$166,DO130+DN131-DW130)))</f>
        <v>338.59999999999957</v>
      </c>
      <c r="DP131" s="18">
        <f>DO131*VLOOKUP('Données projet'!$B$14,Paramètres!$A$1:$I$89,3,0)*VLOOKUP('Données projet'!$B$14,Paramètres!$A$1:$I$89,5,0)</f>
        <v>364.4690399999995</v>
      </c>
      <c r="DQ131" s="14">
        <f t="shared" si="97"/>
        <v>84.534776525835852</v>
      </c>
      <c r="DR131" s="22">
        <f t="shared" si="70"/>
        <v>782.01498044916309</v>
      </c>
      <c r="DS131" s="62">
        <f t="shared" si="71"/>
        <v>1065.5896175477317</v>
      </c>
      <c r="DT131" s="62">
        <f ca="1">AVERAGE(OFFSET($DS$3,0,0,'Données projet'!$E$14+1,1))-AVERAGE(OFFSET($H$3,0,0,'Données projet'!$E$14+1,1))</f>
        <v>638.58602907610805</v>
      </c>
      <c r="DU131" s="62">
        <f t="shared" si="98"/>
        <v>341.9250949809848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3.3992364478763198E-14</v>
      </c>
      <c r="EL131" s="14">
        <f t="shared" si="99"/>
        <v>5.790027782444094E-13</v>
      </c>
      <c r="EM131" s="22">
        <f t="shared" si="73"/>
        <v>1.0676332069095257E-12</v>
      </c>
      <c r="EN131" s="62">
        <f t="shared" si="74"/>
        <v>283.57463709856961</v>
      </c>
      <c r="EO131" s="62">
        <f ca="1">AVERAGE(OFFSET($EN$3,0,0,'Données projet'!$E$15+1,1))-AVERAGE(OFFSET($H$3,0,0,'Données projet'!$E$15+1,1))</f>
        <v>223.57443551076992</v>
      </c>
      <c r="EP131" s="62">
        <f t="shared" si="100"/>
        <v>382.12751862619427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3.8213564763788472</v>
      </c>
      <c r="EW131" s="23">
        <f>EXP(-LN(2)/25)*EW130+(1-EXP(-LN(2)/25))/(LN(2)/25)*Calculateur!ER131*Calculateur!ET131*VLOOKUP('Données projet'!$B$15,Paramètres!$A$1:$I$89,3,0)*0.475*44/12</f>
        <v>0.91697056462938364</v>
      </c>
      <c r="EX131" s="23">
        <f>EXP(-LN(2)/2)*EX130+(1-EXP(-LN(2)/2))/(LN(2)/2)*ER131*EU131*VLOOKUP('Données projet'!$B$15,Paramètres!$A$1:$I$89,3,0)*0.475*44/12</f>
        <v>1.8007990625181017E-14</v>
      </c>
      <c r="EY131" s="24">
        <f t="shared" si="75"/>
        <v>4.7383270410082483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1.2474999999999994</v>
      </c>
      <c r="FE131" s="13">
        <f>IF('Données projet'!$A$218&gt;35,FE130+FD131-FM130,IF(A131&lt;'Données projet'!$A$218,$FB$205^A131,IF(A131='Données projet'!$A$218,'Données projet'!$B$218,FE130+FD131-FM130)))</f>
        <v>121.74666666666664</v>
      </c>
      <c r="FF131" s="18">
        <f>FE131*VLOOKUP('Données projet'!$B$16,Paramètres!$A$1:$I$89,3,0)*VLOOKUP('Données projet'!$B$16,Paramètres!$A$1:$I$89,5,0)</f>
        <v>140.25215999999998</v>
      </c>
      <c r="FG131" s="14">
        <f t="shared" si="101"/>
        <v>36.354765758674333</v>
      </c>
      <c r="FH131" s="22">
        <f t="shared" si="76"/>
        <v>307.59039569635775</v>
      </c>
      <c r="FI131" s="62">
        <f t="shared" si="77"/>
        <v>591.16503279492622</v>
      </c>
      <c r="FJ131" s="62">
        <f ca="1">AVERAGE(OFFSET($FI$3,0,0,'Données projet'!$E$16+1,1))-AVERAGE(OFFSET($H$3,0,0,'Données projet'!$E$16+1,1))</f>
        <v>283.95543623515323</v>
      </c>
      <c r="FK131" s="62">
        <f t="shared" si="102"/>
        <v>196.96883829830929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5.6843418860808015E-14</v>
      </c>
      <c r="GA131" s="18">
        <f>FZ131*VLOOKUP('Données projet'!$B$17,Paramètres!$A$1:$I$89,3,0)*VLOOKUP('Données projet'!$B$17,Paramètres!$A$1:$I$89,5,0)</f>
        <v>3.3992364478763198E-14</v>
      </c>
      <c r="GB131" s="14">
        <f t="shared" si="103"/>
        <v>5.790027782444094E-13</v>
      </c>
      <c r="GC131" s="22">
        <f t="shared" si="79"/>
        <v>1.0676332069095257E-12</v>
      </c>
      <c r="GD131" s="62">
        <f t="shared" si="80"/>
        <v>283.57463709856961</v>
      </c>
      <c r="GE131" s="62">
        <f ca="1">AVERAGE(OFFSET($GD$3,0,0,'Données projet'!$E$17+1,1))-AVERAGE(OFFSET($H$3,0,0,'Données projet'!$E$17+1,1))</f>
        <v>223.57443551076992</v>
      </c>
      <c r="GF131" s="62">
        <f t="shared" si="104"/>
        <v>382.12751862619427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3.8213564763788472</v>
      </c>
      <c r="GM131" s="23">
        <f>EXP(-LN(2)/25)*GM130+(1-EXP(-LN(2)/25))/(LN(2)/25)*Calculateur!GH131*Calculateur!GJ131*VLOOKUP('Données projet'!$B$17,Paramètres!$A$1:$I$89,3,0)*0.475*44/12</f>
        <v>0.91697056462938364</v>
      </c>
      <c r="GN131" s="23">
        <f>EXP(-LN(2)/2)*GN130+(1-EXP(-LN(2)/2))/(LN(2)/2)*GH131*GK131*VLOOKUP('Données projet'!$B$17,Paramètres!$A$1:$I$89,3,0)*0.475*44/12</f>
        <v>1.8007990625181017E-14</v>
      </c>
      <c r="GO131" s="23">
        <f t="shared" si="81"/>
        <v>4.7383270410082483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6.4273627122339976</v>
      </c>
      <c r="GU131" s="13">
        <f>IF('Données projet'!$A$270&gt;35,GU130+GT131-HC130,IF(A131&lt;'Données projet'!$A$270,$GR$205^A131,IF(A131='Données projet'!$A$270,'Données projet'!$B$270,GU130+GT131-HC130)))</f>
        <v>533.92734236441117</v>
      </c>
      <c r="GV131" s="18">
        <f>GU131*VLOOKUP('Données projet'!$B$18,Paramètres!$A$1:$I$89,3,0)*VLOOKUP('Données projet'!$B$18,Paramètres!$A$1:$I$89,5,0)</f>
        <v>583.04865786193693</v>
      </c>
      <c r="GW131" s="14">
        <f t="shared" si="105"/>
        <v>128.03503546943128</v>
      </c>
      <c r="GX131" s="22">
        <f t="shared" si="82"/>
        <v>1238.4707658854661</v>
      </c>
      <c r="GY131" s="62">
        <f t="shared" si="83"/>
        <v>1522.0454029840346</v>
      </c>
      <c r="GZ131" s="62">
        <f ca="1">AVERAGE(OFFSET($GY$3,0,0,'Données projet'!$E$18+1,1))-AVERAGE(OFFSET($H$3,0,0,'Données projet'!$E$18+1,1))</f>
        <v>754.33260592777049</v>
      </c>
      <c r="HA131" s="62">
        <f t="shared" si="106"/>
        <v>250.97643915279005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9">
        <f t="shared" ref="H132:H195" si="110">(B132+E132+F132)*44/12+(C132+D132)*0.475*44/12</f>
        <v>183.33333333333334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342.79999999999956</v>
      </c>
      <c r="O132" s="14">
        <f>N132*VLOOKUP('Données projet'!$B$9,Paramètres!$A$1:$I$89,3,0)*VLOOKUP('Données projet'!$B$9,Paramètres!$A$1:$I$89,5,0)</f>
        <v>310.16543999999959</v>
      </c>
      <c r="P132" s="14">
        <f t="shared" si="87"/>
        <v>73.303379555549043</v>
      </c>
      <c r="Q132" s="22">
        <f t="shared" si="108"/>
        <v>667.87486072591389</v>
      </c>
      <c r="R132" s="62">
        <f t="shared" si="109"/>
        <v>951.61878938697919</v>
      </c>
      <c r="S132" s="62">
        <f ca="1">AVERAGE(OFFSET($R$3,0,0,'Données projet'!$E$9+1,1))-AVERAGE(OFFSET($H$3,0,0,'Données projet'!$E$9+1,1))</f>
        <v>550.39292625253665</v>
      </c>
      <c r="T132" s="62">
        <f t="shared" si="88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4.2</v>
      </c>
      <c r="AI132" s="14">
        <f>IF('Données projet'!$A$62&gt;35,AI131+AH132-AQ131,IF(A132&lt;'Données projet'!$A$62,$AF$205^A132,IF(A132='Données projet'!$A$62,'Données projet'!$B$62,AI131+AH132-AQ131)))</f>
        <v>342.79999999999956</v>
      </c>
      <c r="AJ132" s="14">
        <f>AI132*VLOOKUP('Données projet'!$B$10,Paramètres!$A$1:$I$89,3,0)*VLOOKUP('Données projet'!$B$10,Paramètres!$A$1:$I$89,5,0)</f>
        <v>347.59919999999954</v>
      </c>
      <c r="AK132" s="14">
        <f t="shared" si="89"/>
        <v>81.067963725259872</v>
      </c>
      <c r="AL132" s="22">
        <f t="shared" ref="AL132:AL153" si="112">(AJ132+AK132)*0.475*44/12</f>
        <v>746.59531015482673</v>
      </c>
      <c r="AM132" s="62">
        <f t="shared" ref="AM132:AM195" si="113">AL132+(AD132+AE132)*44/12</f>
        <v>1030.339238815892</v>
      </c>
      <c r="AN132" s="62">
        <f ca="1">AVERAGE(OFFSET($AM$3,0,0,'Données projet'!$E$10+1,1))-AVERAGE(OFFSET($H$3,0,0,'Données projet'!$E$10+1,1))</f>
        <v>606.55142836375308</v>
      </c>
      <c r="AO132" s="62">
        <f t="shared" si="90"/>
        <v>325.72635759450861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3.0769230769230718</v>
      </c>
      <c r="BD132" s="13">
        <f>IF('Données projet'!$A$88&gt;35,BD131+BC132-BL131,IF(A132&lt;'Données projet'!$A$88,$BA$205^A132,IF(A132='Données projet'!$A$88,'Données projet'!$B$88,BD131+BC132-BL131)))</f>
        <v>405.89743589743637</v>
      </c>
      <c r="BE132" s="14">
        <f>BD132*VLOOKUP('Données projet'!$B$11,Paramètres!$A$1:$I$89,3,0)*VLOOKUP('Données projet'!$B$11,Paramètres!$A$1:$I$89,5,0)</f>
        <v>424.24400000000048</v>
      </c>
      <c r="BF132" s="14">
        <f t="shared" si="91"/>
        <v>96.674805111930851</v>
      </c>
      <c r="BG132" s="22">
        <f t="shared" ref="BG132:BG153" si="115">(BE132+BF132)*0.475*44/12</f>
        <v>907.26691890328038</v>
      </c>
      <c r="BH132" s="62">
        <f t="shared" ref="BH132:BH195" si="116">BG132+(AY132+AZ132)*44/12</f>
        <v>1191.0108475643458</v>
      </c>
      <c r="BI132" s="62">
        <f ca="1">AVERAGE(OFFSET($BH$3,0,0,'Données projet'!$E$11+1,1))-AVERAGE(OFFSET($H$3,0,0,'Données projet'!$E$11+1,1))</f>
        <v>635.13577238794812</v>
      </c>
      <c r="BJ132" s="62">
        <f t="shared" si="92"/>
        <v>374.35810525172019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-6.8212102632969618E-13</v>
      </c>
      <c r="BZ132" s="14">
        <f>BY132*VLOOKUP('Données projet'!$B$12,Paramètres!$A$1:$I$89,3,0)*VLOOKUP('Données projet'!$B$12,Paramètres!$A$1:$I$89,5,0)</f>
        <v>-3.0149749363772573E-13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580.02817743695846</v>
      </c>
      <c r="CE132" s="62">
        <f t="shared" si="94"/>
        <v>551.23515633208865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0.581538461538463</v>
      </c>
      <c r="CT132" s="13">
        <f>IF('Données projet'!$A$140&gt;35,CT131+CS132-DB131,IF(A132&lt;'Données projet'!$A$140,$CQ$205^A132,IF(A132='Données projet'!$A$140,'Données projet'!$B$140,CT131+CS132-DB131)))</f>
        <v>215.18307692307732</v>
      </c>
      <c r="CU132" s="18">
        <f>CT132*VLOOKUP('Données projet'!$B$13,Paramètres!$A$1:$I$89,3,0)*VLOOKUP('Données projet'!$B$13,Paramètres!$A$1:$I$89,5,0)</f>
        <v>100.70568000000019</v>
      </c>
      <c r="CV132" s="14">
        <f t="shared" si="95"/>
        <v>27.130047210662511</v>
      </c>
      <c r="CW132" s="22">
        <f t="shared" ref="CW132:CW153" si="121">(CU132+CV132)*0.475*44/12</f>
        <v>222.64722489190419</v>
      </c>
      <c r="CX132" s="62">
        <f t="shared" ref="CX132:CX195" si="122">CW132+(CO132+CP132)*44/12</f>
        <v>506.39115355296951</v>
      </c>
      <c r="CY132" s="62">
        <f ca="1">AVERAGE(OFFSET($CX$3,0,0,'Données projet'!$E$13+1,1))-AVERAGE(OFFSET($H$3,0,0,'Données projet'!$E$13+1,1))</f>
        <v>321.05795935196863</v>
      </c>
      <c r="CZ132" s="62">
        <f t="shared" si="96"/>
        <v>209.59551322748908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4.2</v>
      </c>
      <c r="DO132" s="13">
        <f>IF('Données projet'!$A$166&gt;35,DO131+DN132-DW131,IF(A132&lt;'Données projet'!$A$166,$DL$205^A132,IF(A132='Données projet'!$A$166,'Données projet'!$B$166,DO131+DN132-DW131)))</f>
        <v>342.79999999999956</v>
      </c>
      <c r="DP132" s="18">
        <f>DO132*VLOOKUP('Données projet'!$B$14,Paramètres!$A$1:$I$89,3,0)*VLOOKUP('Données projet'!$B$14,Paramètres!$A$1:$I$89,5,0)</f>
        <v>368.98991999999947</v>
      </c>
      <c r="DQ132" s="14">
        <f t="shared" si="97"/>
        <v>85.460627856654327</v>
      </c>
      <c r="DR132" s="22">
        <f t="shared" ref="DR132:DR153" si="124">(DP132+DQ132)*0.475*44/12</f>
        <v>791.5013708503385</v>
      </c>
      <c r="DS132" s="62">
        <f t="shared" ref="DS132:DS195" si="125">DR132+(DJ132+DK132)*44/12</f>
        <v>1075.2452995114038</v>
      </c>
      <c r="DT132" s="62">
        <f ca="1">AVERAGE(OFFSET($DS$3,0,0,'Données projet'!$E$14+1,1))-AVERAGE(OFFSET($H$3,0,0,'Données projet'!$E$14+1,1))</f>
        <v>638.58602907610805</v>
      </c>
      <c r="DU132" s="62">
        <f t="shared" si="98"/>
        <v>341.9250949809848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3.3992364478763198E-14</v>
      </c>
      <c r="EL132" s="14">
        <f t="shared" si="99"/>
        <v>5.790027782444094E-13</v>
      </c>
      <c r="EM132" s="22">
        <f t="shared" ref="EM132:EM153" si="127">(EK132+EL132)*0.475*44/12</f>
        <v>1.0676332069095257E-12</v>
      </c>
      <c r="EN132" s="62">
        <f t="shared" ref="EN132:EN195" si="128">EM132+(EE132+EF132)*44/12</f>
        <v>283.74392866106643</v>
      </c>
      <c r="EO132" s="62">
        <f ca="1">AVERAGE(OFFSET($EN$3,0,0,'Données projet'!$E$15+1,1))-AVERAGE(OFFSET($H$3,0,0,'Données projet'!$E$15+1,1))</f>
        <v>223.57443551076992</v>
      </c>
      <c r="EP132" s="62">
        <f t="shared" si="100"/>
        <v>382.12751862619427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3.7464220066743614</v>
      </c>
      <c r="EW132" s="23">
        <f>EXP(-LN(2)/25)*EW131+(1-EXP(-LN(2)/25))/(LN(2)/25)*Calculateur!ER132*Calculateur!ET132*VLOOKUP('Données projet'!$B$15,Paramètres!$A$1:$I$89,3,0)*0.475*44/12</f>
        <v>0.89189595631820695</v>
      </c>
      <c r="EX132" s="23">
        <f>EXP(-LN(2)/2)*EX131+(1-EXP(-LN(2)/2))/(LN(2)/2)*ER132*EU132*VLOOKUP('Données projet'!$B$15,Paramètres!$A$1:$I$89,3,0)*0.475*44/12</f>
        <v>1.2733572286609273E-14</v>
      </c>
      <c r="EY132" s="24">
        <f t="shared" ref="EY132:EY153" si="129">SUM(EV132:EX132)</f>
        <v>4.6383179629925806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1.2474999999999994</v>
      </c>
      <c r="FE132" s="13">
        <f>IF('Données projet'!$A$218&gt;35,FE131+FD132-FM131,IF(A132&lt;'Données projet'!$A$218,$FB$205^A132,IF(A132='Données projet'!$A$218,'Données projet'!$B$218,FE131+FD132-FM131)))</f>
        <v>122.99416666666664</v>
      </c>
      <c r="FF132" s="18">
        <f>FE132*VLOOKUP('Données projet'!$B$16,Paramètres!$A$1:$I$89,3,0)*VLOOKUP('Données projet'!$B$16,Paramètres!$A$1:$I$89,5,0)</f>
        <v>141.68927999999997</v>
      </c>
      <c r="FG132" s="14">
        <f t="shared" si="101"/>
        <v>36.683725266946084</v>
      </c>
      <c r="FH132" s="22">
        <f t="shared" ref="FH132:FH153" si="130">(FF132+FG132)*0.475*44/12</f>
        <v>310.66631750659769</v>
      </c>
      <c r="FI132" s="62">
        <f t="shared" ref="FI132:FI195" si="131">FH132+(EZ132+FA132)*44/12</f>
        <v>594.41024616766299</v>
      </c>
      <c r="FJ132" s="62">
        <f ca="1">AVERAGE(OFFSET($FI$3,0,0,'Données projet'!$E$16+1,1))-AVERAGE(OFFSET($H$3,0,0,'Données projet'!$E$16+1,1))</f>
        <v>283.95543623515323</v>
      </c>
      <c r="FK132" s="62">
        <f t="shared" si="102"/>
        <v>196.96883829830929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5.6843418860808015E-14</v>
      </c>
      <c r="GA132" s="18">
        <f>FZ132*VLOOKUP('Données projet'!$B$17,Paramètres!$A$1:$I$89,3,0)*VLOOKUP('Données projet'!$B$17,Paramètres!$A$1:$I$89,5,0)</f>
        <v>3.3992364478763198E-14</v>
      </c>
      <c r="GB132" s="14">
        <f t="shared" si="103"/>
        <v>5.790027782444094E-13</v>
      </c>
      <c r="GC132" s="22">
        <f t="shared" ref="GC132:GC153" si="133">(GA132+GB132)*0.475*44/12</f>
        <v>1.0676332069095257E-12</v>
      </c>
      <c r="GD132" s="62">
        <f t="shared" ref="GD132:GD195" si="134">GC132+(FU132+FV132)*44/12</f>
        <v>283.74392866106643</v>
      </c>
      <c r="GE132" s="62">
        <f ca="1">AVERAGE(OFFSET($GD$3,0,0,'Données projet'!$E$17+1,1))-AVERAGE(OFFSET($H$3,0,0,'Données projet'!$E$17+1,1))</f>
        <v>223.57443551076992</v>
      </c>
      <c r="GF132" s="62">
        <f t="shared" si="104"/>
        <v>382.12751862619427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3.7464220066743614</v>
      </c>
      <c r="GM132" s="23">
        <f>EXP(-LN(2)/25)*GM131+(1-EXP(-LN(2)/25))/(LN(2)/25)*Calculateur!GH132*Calculateur!GJ132*VLOOKUP('Données projet'!$B$17,Paramètres!$A$1:$I$89,3,0)*0.475*44/12</f>
        <v>0.89189595631820695</v>
      </c>
      <c r="GN132" s="23">
        <f>EXP(-LN(2)/2)*GN131+(1-EXP(-LN(2)/2))/(LN(2)/2)*GH132*GK132*VLOOKUP('Données projet'!$B$17,Paramètres!$A$1:$I$89,3,0)*0.475*44/12</f>
        <v>1.2733572286609273E-14</v>
      </c>
      <c r="GO132" s="23">
        <f t="shared" ref="GO132:GO153" si="135">SUM(GL132:GN132)</f>
        <v>4.6383179629925806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6.4273627122339976</v>
      </c>
      <c r="GU132" s="13">
        <f>IF('Données projet'!$A$270&gt;35,GU131+GT132-HC131,IF(A132&lt;'Données projet'!$A$270,$GR$205^A132,IF(A132='Données projet'!$A$270,'Données projet'!$B$270,GU131+GT132-HC131)))</f>
        <v>540.35470507664513</v>
      </c>
      <c r="GV132" s="18">
        <f>GU132*VLOOKUP('Données projet'!$B$18,Paramètres!$A$1:$I$89,3,0)*VLOOKUP('Données projet'!$B$18,Paramètres!$A$1:$I$89,5,0)</f>
        <v>590.06733794369654</v>
      </c>
      <c r="GW132" s="14">
        <f t="shared" si="105"/>
        <v>129.39595410231283</v>
      </c>
      <c r="GX132" s="22">
        <f t="shared" ref="GX132:GX153" si="136">(GV132+GW132)*0.475*44/12</f>
        <v>1253.0652336467997</v>
      </c>
      <c r="GY132" s="62">
        <f t="shared" ref="GY132:GY195" si="137">GX132+(GP132+GQ132)*44/12</f>
        <v>1536.8091623078651</v>
      </c>
      <c r="GZ132" s="62">
        <f ca="1">AVERAGE(OFFSET($GY$3,0,0,'Données projet'!$E$18+1,1))-AVERAGE(OFFSET($H$3,0,0,'Données projet'!$E$18+1,1))</f>
        <v>754.33260592777049</v>
      </c>
      <c r="HA132" s="62">
        <f t="shared" si="106"/>
        <v>250.97643915279005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9">
        <f t="shared" si="110"/>
        <v>183.33333333333334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347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346.99999999999955</v>
      </c>
      <c r="O133" s="14">
        <f>N133*VLOOKUP('Données projet'!$B$9,Paramètres!$A$1:$I$89,3,0)*VLOOKUP('Données projet'!$B$9,Paramètres!$A$1:$I$89,5,0)</f>
        <v>313.9655999999996</v>
      </c>
      <c r="P133" s="14">
        <f t="shared" ref="P133:P196" si="141">EXP(-1.0587+0.8836*LN(O133)+0.284)</f>
        <v>74.096391618326706</v>
      </c>
      <c r="Q133" s="22">
        <f t="shared" si="108"/>
        <v>675.87463540191834</v>
      </c>
      <c r="R133" s="62">
        <f t="shared" si="109"/>
        <v>959.78491879535045</v>
      </c>
      <c r="S133" s="62">
        <f ca="1">AVERAGE(OFFSET($R$3,0,0,'Données projet'!$E$9+1,1))-AVERAGE(OFFSET($H$3,0,0,'Données projet'!$E$9+1,1))</f>
        <v>550.39292625253665</v>
      </c>
      <c r="T133" s="62">
        <f t="shared" ref="T133:T196" si="142">$T$3</f>
        <v>297.32483725004136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44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347</v>
      </c>
      <c r="AG133" s="13">
        <f>VLOOKUP(A133,'Données projet'!$A$61:$I$81,9,0)</f>
        <v>4.2</v>
      </c>
      <c r="AH133" s="13">
        <f t="array" ref="AH133">INDEX(AG:AG,MIN(IF(ISNUMBER(AG133:AG329),ROW(AG133:AG329),"")))</f>
        <v>4.2</v>
      </c>
      <c r="AI133" s="14">
        <f>IF('Données projet'!$A$62&gt;35,AI132+AH133-AQ132,IF(A133&lt;'Données projet'!$A$62,$AF$205^A133,IF(A133='Données projet'!$A$62,'Données projet'!$B$62,AI132+AH133-AQ132)))</f>
        <v>346.99999999999955</v>
      </c>
      <c r="AJ133" s="14">
        <f>AI133*VLOOKUP('Données projet'!$B$10,Paramètres!$A$1:$I$89,3,0)*VLOOKUP('Données projet'!$B$10,Paramètres!$A$1:$I$89,5,0)</f>
        <v>351.85799999999955</v>
      </c>
      <c r="AK133" s="14">
        <f t="shared" ref="AK133:AK153" si="143">EXP(-1.0587+0.8836*LN(AJ133)+0.284)</f>
        <v>81.944974765252041</v>
      </c>
      <c r="AL133" s="22">
        <f t="shared" si="112"/>
        <v>755.54018104947966</v>
      </c>
      <c r="AM133" s="62">
        <f t="shared" si="113"/>
        <v>1039.4504644429117</v>
      </c>
      <c r="AN133" s="62">
        <f ca="1">AVERAGE(OFFSET($AM$3,0,0,'Données projet'!$E$10+1,1))-AVERAGE(OFFSET($H$3,0,0,'Données projet'!$E$10+1,1))</f>
        <v>606.55142836375308</v>
      </c>
      <c r="AO133" s="62">
        <f t="shared" ref="AO133:AO196" si="144">$AO$3</f>
        <v>325.72635759450861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44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408.97435897435895</v>
      </c>
      <c r="BB133" s="13">
        <f>VLOOKUP(A133,'Données projet'!$A$87:$I$107,9,0)</f>
        <v>3.0769230769230718</v>
      </c>
      <c r="BC133" s="13">
        <f t="array" ref="BC133">INDEX(BB:BB,MIN(IF(ISNUMBER(BB133:BB329),ROW(BB133:BB329),"")))</f>
        <v>3.0769230769230718</v>
      </c>
      <c r="BD133" s="13">
        <f>IF('Données projet'!$A$88&gt;35,BD132+BC133-BL132,IF(A133&lt;'Données projet'!$A$88,$BA$205^A133,IF(A133='Données projet'!$A$88,'Données projet'!$B$88,BD132+BC133-BL132)))</f>
        <v>408.97435897435946</v>
      </c>
      <c r="BE133" s="14">
        <f>BD133*VLOOKUP('Données projet'!$B$11,Paramètres!$A$1:$I$89,3,0)*VLOOKUP('Données projet'!$B$11,Paramètres!$A$1:$I$89,5,0)</f>
        <v>427.46000000000055</v>
      </c>
      <c r="BF133" s="14">
        <f t="shared" ref="BF133:BF153" si="145">EXP(-1.0587+0.8836*LN(BE133)+0.284)</f>
        <v>97.322064315625155</v>
      </c>
      <c r="BG133" s="22">
        <f t="shared" si="115"/>
        <v>913.99542868304798</v>
      </c>
      <c r="BH133" s="62">
        <f t="shared" si="116"/>
        <v>1197.9057120764801</v>
      </c>
      <c r="BI133" s="62">
        <f ca="1">AVERAGE(OFFSET($BH$3,0,0,'Données projet'!$E$11+1,1))-AVERAGE(OFFSET($H$3,0,0,'Données projet'!$E$11+1,1))</f>
        <v>635.13577238794812</v>
      </c>
      <c r="BJ133" s="62">
        <f t="shared" ref="BJ133:BJ196" si="146">$BJ$3</f>
        <v>374.35810525172019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408.97435897435895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-6.8212102632969618E-13</v>
      </c>
      <c r="BZ133" s="14">
        <f>BY133*VLOOKUP('Données projet'!$B$12,Paramètres!$A$1:$I$89,3,0)*VLOOKUP('Données projet'!$B$12,Paramètres!$A$1:$I$89,5,0)</f>
        <v>-3.0149749363772573E-13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580.02817743695846</v>
      </c>
      <c r="CE133" s="62">
        <f t="shared" ref="CE133:CE196" si="148">$CE$3</f>
        <v>551.23515633208865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0.581538461538463</v>
      </c>
      <c r="CT133" s="13">
        <f>IF('Données projet'!$A$140&gt;35,CT132+CS133-DB132,IF(A133&lt;'Données projet'!$A$140,$CQ$205^A133,IF(A133='Données projet'!$A$140,'Données projet'!$B$140,CT132+CS133-DB132)))</f>
        <v>215.76461538461578</v>
      </c>
      <c r="CU133" s="18">
        <f>CT133*VLOOKUP('Données projet'!$B$13,Paramètres!$A$1:$I$89,3,0)*VLOOKUP('Données projet'!$B$13,Paramètres!$A$1:$I$89,5,0)</f>
        <v>100.97784000000019</v>
      </c>
      <c r="CV133" s="14">
        <f t="shared" ref="CV133:CV153" si="149">EXP(-1.0587+0.8836*LN(CU133)+0.284)</f>
        <v>27.194822347774195</v>
      </c>
      <c r="CW133" s="22">
        <f t="shared" si="121"/>
        <v>223.23405358904037</v>
      </c>
      <c r="CX133" s="62">
        <f t="shared" si="122"/>
        <v>507.14433698247251</v>
      </c>
      <c r="CY133" s="62">
        <f ca="1">AVERAGE(OFFSET($CX$3,0,0,'Données projet'!$E$13+1,1))-AVERAGE(OFFSET($H$3,0,0,'Données projet'!$E$13+1,1))</f>
        <v>321.05795935196863</v>
      </c>
      <c r="CZ133" s="62">
        <f t="shared" ref="CZ133:CZ196" si="150">$CZ$3</f>
        <v>209.59551322748908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347</v>
      </c>
      <c r="DM133" s="13">
        <f>VLOOKUP(A133,'Données projet'!$A$165:$I$185,9,0)</f>
        <v>4.2</v>
      </c>
      <c r="DN133" s="13">
        <f t="array" ref="DN133">INDEX(DM:DM,MIN(IF(ISNUMBER(DM133:DM329),ROW(DM133:DM329),"")))</f>
        <v>4.2</v>
      </c>
      <c r="DO133" s="13">
        <f>IF('Données projet'!$A$166&gt;35,DO132+DN133-DW132,IF(A133&lt;'Données projet'!$A$166,$DL$205^A133,IF(A133='Données projet'!$A$166,'Données projet'!$B$166,DO132+DN133-DW132)))</f>
        <v>346.99999999999955</v>
      </c>
      <c r="DP133" s="18">
        <f>DO133*VLOOKUP('Données projet'!$B$14,Paramètres!$A$1:$I$89,3,0)*VLOOKUP('Données projet'!$B$14,Paramètres!$A$1:$I$89,5,0)</f>
        <v>373.51079999999951</v>
      </c>
      <c r="DQ133" s="14">
        <f t="shared" ref="DQ133:DQ153" si="151">EXP(-1.0587+0.8836*LN(DP133)+0.284)</f>
        <v>86.385159702167982</v>
      </c>
      <c r="DR133" s="22">
        <f t="shared" si="124"/>
        <v>800.98546314794169</v>
      </c>
      <c r="DS133" s="62">
        <f t="shared" si="125"/>
        <v>1084.8957465413737</v>
      </c>
      <c r="DT133" s="62">
        <f ca="1">AVERAGE(OFFSET($DS$3,0,0,'Données projet'!$E$14+1,1))-AVERAGE(OFFSET($H$3,0,0,'Données projet'!$E$14+1,1))</f>
        <v>638.58602907610805</v>
      </c>
      <c r="DU133" s="62">
        <f t="shared" ref="DU133:DU196" si="152">$DU$3</f>
        <v>341.9250949809848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44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3.3992364478763198E-14</v>
      </c>
      <c r="EL133" s="14">
        <f t="shared" ref="EL133:EL153" si="153">EXP(-1.0587+0.8836*LN(EK133)+0.284)</f>
        <v>5.790027782444094E-13</v>
      </c>
      <c r="EM133" s="22">
        <f t="shared" si="127"/>
        <v>1.0676332069095257E-12</v>
      </c>
      <c r="EN133" s="62">
        <f t="shared" si="128"/>
        <v>283.91028339343319</v>
      </c>
      <c r="EO133" s="62">
        <f ca="1">AVERAGE(OFFSET($EN$3,0,0,'Données projet'!$E$15+1,1))-AVERAGE(OFFSET($H$3,0,0,'Données projet'!$E$15+1,1))</f>
        <v>223.57443551076992</v>
      </c>
      <c r="EP133" s="62">
        <f t="shared" ref="EP133:EP196" si="154">$EP$3</f>
        <v>382.12751862619427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3.6729569562152671</v>
      </c>
      <c r="EW133" s="23">
        <f>EXP(-LN(2)/25)*EW132+(1-EXP(-LN(2)/25))/(LN(2)/25)*Calculateur!ER133*Calculateur!ET133*VLOOKUP('Données projet'!$B$15,Paramètres!$A$1:$I$89,3,0)*0.475*44/12</f>
        <v>0.86750701448991574</v>
      </c>
      <c r="EX133" s="23">
        <f>EXP(-LN(2)/2)*EX132+(1-EXP(-LN(2)/2))/(LN(2)/2)*ER133*EU133*VLOOKUP('Données projet'!$B$15,Paramètres!$A$1:$I$89,3,0)*0.475*44/12</f>
        <v>9.0039953125905084E-15</v>
      </c>
      <c r="EY133" s="24">
        <f t="shared" si="129"/>
        <v>4.5404639707051917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124.24166666666667</v>
      </c>
      <c r="FC133" s="13">
        <f>VLOOKUP(A133,'Données projet'!$A$217:$I$237,9,0)</f>
        <v>1.2474999999999994</v>
      </c>
      <c r="FD133" s="13">
        <f t="array" ref="FD133">INDEX(FC:FC,MIN(IF(ISNUMBER(FC133:FC329),ROW(FC133:FC329),"")))</f>
        <v>1.2474999999999994</v>
      </c>
      <c r="FE133" s="13">
        <f>IF('Données projet'!$A$218&gt;35,FE132+FD133-FM132,IF(A133&lt;'Données projet'!$A$218,$FB$205^A133,IF(A133='Données projet'!$A$218,'Données projet'!$B$218,FE132+FD133-FM132)))</f>
        <v>124.24166666666665</v>
      </c>
      <c r="FF133" s="18">
        <f>FE133*VLOOKUP('Données projet'!$B$16,Paramètres!$A$1:$I$89,3,0)*VLOOKUP('Données projet'!$B$16,Paramètres!$A$1:$I$89,5,0)</f>
        <v>143.12639999999996</v>
      </c>
      <c r="FG133" s="14">
        <f t="shared" ref="FG133:FG153" si="155">EXP(-1.0587+0.8836*LN(FF133)+0.284)</f>
        <v>37.012296622173274</v>
      </c>
      <c r="FH133" s="22">
        <f t="shared" si="130"/>
        <v>313.74156328361835</v>
      </c>
      <c r="FI133" s="62">
        <f t="shared" si="131"/>
        <v>597.65184667705046</v>
      </c>
      <c r="FJ133" s="62">
        <f ca="1">AVERAGE(OFFSET($FI$3,0,0,'Données projet'!$E$16+1,1))-AVERAGE(OFFSET($H$3,0,0,'Données projet'!$E$16+1,1))</f>
        <v>283.95543623515323</v>
      </c>
      <c r="FK133" s="62">
        <f t="shared" ref="FK133:FK196" si="156">$FK$3</f>
        <v>196.96883829830929</v>
      </c>
      <c r="FL133" s="16">
        <f>IF(ISNA(VLOOKUP(A133,'Données projet'!$A$217:$I$237,3,0)),0,VLOOKUP(A133,'Données projet'!$A$217:$I$237,3,0))</f>
        <v>11</v>
      </c>
      <c r="FM133" s="16">
        <f>IF(ISNA(VLOOKUP(A133,'Données projet'!$A$217:$I$237,4,0)),0,VLOOKUP(A133,'Données projet'!$A$217:$I$237,4,0))</f>
        <v>8.7083333333333339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5.6843418860808015E-14</v>
      </c>
      <c r="GA133" s="18">
        <f>FZ133*VLOOKUP('Données projet'!$B$17,Paramètres!$A$1:$I$89,3,0)*VLOOKUP('Données projet'!$B$17,Paramètres!$A$1:$I$89,5,0)</f>
        <v>3.3992364478763198E-14</v>
      </c>
      <c r="GB133" s="14">
        <f t="shared" ref="GB133:GB153" si="157">EXP(-1.0587+0.8836*LN(GA133)+0.284)</f>
        <v>5.790027782444094E-13</v>
      </c>
      <c r="GC133" s="22">
        <f t="shared" si="133"/>
        <v>1.0676332069095257E-12</v>
      </c>
      <c r="GD133" s="62">
        <f t="shared" si="134"/>
        <v>283.91028339343319</v>
      </c>
      <c r="GE133" s="62">
        <f ca="1">AVERAGE(OFFSET($GD$3,0,0,'Données projet'!$E$17+1,1))-AVERAGE(OFFSET($H$3,0,0,'Données projet'!$E$17+1,1))</f>
        <v>223.57443551076992</v>
      </c>
      <c r="GF133" s="62">
        <f t="shared" ref="GF133:GF196" si="158">$GF$3</f>
        <v>382.12751862619427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3.6729569562152671</v>
      </c>
      <c r="GM133" s="23">
        <f>EXP(-LN(2)/25)*GM132+(1-EXP(-LN(2)/25))/(LN(2)/25)*Calculateur!GH133*Calculateur!GJ133*VLOOKUP('Données projet'!$B$17,Paramètres!$A$1:$I$89,3,0)*0.475*44/12</f>
        <v>0.86750701448991574</v>
      </c>
      <c r="GN133" s="23">
        <f>EXP(-LN(2)/2)*GN132+(1-EXP(-LN(2)/2))/(LN(2)/2)*GH133*GK133*VLOOKUP('Données projet'!$B$17,Paramètres!$A$1:$I$89,3,0)*0.475*44/12</f>
        <v>9.0039953125905084E-15</v>
      </c>
      <c r="GO133" s="23">
        <f t="shared" si="135"/>
        <v>4.5404639707051917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>
        <f>VLOOKUP(A133,'Données projet'!$A$269:$I$289,2,0)</f>
        <v>546.78206778887829</v>
      </c>
      <c r="GS133" s="13">
        <f>VLOOKUP(A133,'Données projet'!$A$269:$I$289,9,0)</f>
        <v>6.4273627122339976</v>
      </c>
      <c r="GT133" s="13">
        <f t="array" ref="GT133">INDEX(GS:GS,MIN(IF(ISNUMBER(GS133:GS329),ROW(GS133:GS329),"")))</f>
        <v>6.4273627122339976</v>
      </c>
      <c r="GU133" s="13">
        <f>IF('Données projet'!$A$270&gt;35,GU132+GT133-HC132,IF(A133&lt;'Données projet'!$A$270,$GR$205^A133,IF(A133='Données projet'!$A$270,'Données projet'!$B$270,GU132+GT133-HC132)))</f>
        <v>546.78206778887909</v>
      </c>
      <c r="GV133" s="18">
        <f>GU133*VLOOKUP('Données projet'!$B$18,Paramètres!$A$1:$I$89,3,0)*VLOOKUP('Données projet'!$B$18,Paramètres!$A$1:$I$89,5,0)</f>
        <v>597.08601802545593</v>
      </c>
      <c r="GW133" s="14">
        <f t="shared" ref="GW133:GW153" si="159">EXP(-1.0587+0.8836*LN(GV133)+0.284)</f>
        <v>130.75498973993433</v>
      </c>
      <c r="GX133" s="22">
        <f t="shared" si="136"/>
        <v>1267.6564218580545</v>
      </c>
      <c r="GY133" s="62">
        <f t="shared" si="137"/>
        <v>1551.5667052514866</v>
      </c>
      <c r="GZ133" s="62">
        <f ca="1">AVERAGE(OFFSET($GY$3,0,0,'Données projet'!$E$18+1,1))-AVERAGE(OFFSET($H$3,0,0,'Données projet'!$E$18+1,1))</f>
        <v>754.33260592777049</v>
      </c>
      <c r="HA133" s="62">
        <f t="shared" ref="HA133:HA196" si="160">$HA$3</f>
        <v>250.97643915279005</v>
      </c>
      <c r="HB133" s="16">
        <f>IF(ISNA(VLOOKUP(A133,'Données projet'!$A$269:$I$289,3,0)),0,VLOOKUP(A133,'Données projet'!$A$269:$I$289,3,0))</f>
        <v>6</v>
      </c>
      <c r="HC133" s="16">
        <f>IF(ISNA(VLOOKUP(A133,'Données projet'!$A$269:$I$289,4,0)),0,VLOOKUP(A133,'Données projet'!$A$269:$I$289,4,0))</f>
        <v>60.75356308765312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9">
        <f t="shared" si="110"/>
        <v>183.33333333333334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</v>
      </c>
      <c r="N134" s="14">
        <f>IF('Données projet'!$A$36&gt;35,N133+M134-V133,IF(A134&lt;'Données projet'!$A$36,$K$205^A134,IF(A134='Données projet'!$A$36,'Données projet'!$B$36,N133+M134-V133)))</f>
        <v>306.99999999999955</v>
      </c>
      <c r="O134" s="14">
        <f>N134*VLOOKUP('Données projet'!$B$9,Paramètres!$A$1:$I$89,3,0)*VLOOKUP('Données projet'!$B$9,Paramètres!$A$1:$I$89,5,0)</f>
        <v>277.77359999999959</v>
      </c>
      <c r="P134" s="14">
        <f t="shared" si="141"/>
        <v>66.496288176842299</v>
      </c>
      <c r="Q134" s="22">
        <f t="shared" si="108"/>
        <v>599.60338857466627</v>
      </c>
      <c r="R134" s="62">
        <f t="shared" si="109"/>
        <v>883.67714081777194</v>
      </c>
      <c r="S134" s="62">
        <f ca="1">AVERAGE(OFFSET($R$3,0,0,'Données projet'!$E$9+1,1))-AVERAGE(OFFSET($H$3,0,0,'Données projet'!$E$9+1,1))</f>
        <v>550.39292625253665</v>
      </c>
      <c r="T134" s="62">
        <f t="shared" si="142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</v>
      </c>
      <c r="AI134" s="14">
        <f>IF('Données projet'!$A$62&gt;35,AI133+AH134-AQ133,IF(A134&lt;'Données projet'!$A$62,$AF$205^A134,IF(A134='Données projet'!$A$62,'Données projet'!$B$62,AI133+AH134-AQ133)))</f>
        <v>306.99999999999955</v>
      </c>
      <c r="AJ134" s="14">
        <f>AI134*VLOOKUP('Données projet'!$B$10,Paramètres!$A$1:$I$89,3,0)*VLOOKUP('Données projet'!$B$10,Paramètres!$A$1:$I$89,5,0)</f>
        <v>311.29799999999955</v>
      </c>
      <c r="AK134" s="14">
        <f t="shared" si="143"/>
        <v>73.53983827852862</v>
      </c>
      <c r="AL134" s="22">
        <f t="shared" si="112"/>
        <v>670.25923500176987</v>
      </c>
      <c r="AM134" s="62">
        <f t="shared" si="113"/>
        <v>954.33298724487554</v>
      </c>
      <c r="AN134" s="62">
        <f ca="1">AVERAGE(OFFSET($AM$3,0,0,'Données projet'!$E$10+1,1))-AVERAGE(OFFSET($H$3,0,0,'Données projet'!$E$10+1,1))</f>
        <v>606.55142836375308</v>
      </c>
      <c r="AO134" s="62">
        <f t="shared" si="144"/>
        <v>325.72635759450861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5.1159076974727213E-13</v>
      </c>
      <c r="BE134" s="14">
        <f>BD134*VLOOKUP('Données projet'!$B$11,Paramètres!$A$1:$I$89,3,0)*VLOOKUP('Données projet'!$B$11,Paramètres!$A$1:$I$89,5,0)</f>
        <v>5.3471467253984886E-13</v>
      </c>
      <c r="BF134" s="14">
        <f t="shared" si="145"/>
        <v>6.6087717628803869E-12</v>
      </c>
      <c r="BG134" s="22">
        <f t="shared" si="115"/>
        <v>1.244157220835691E-11</v>
      </c>
      <c r="BH134" s="62">
        <f t="shared" si="116"/>
        <v>284.07375224311818</v>
      </c>
      <c r="BI134" s="62">
        <f ca="1">AVERAGE(OFFSET($BH$3,0,0,'Données projet'!$E$11+1,1))-AVERAGE(OFFSET($H$3,0,0,'Données projet'!$E$11+1,1))</f>
        <v>635.13577238794812</v>
      </c>
      <c r="BJ134" s="62">
        <f t="shared" si="146"/>
        <v>374.35810525172019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-6.8212102632969618E-13</v>
      </c>
      <c r="BZ134" s="14">
        <f>BY134*VLOOKUP('Données projet'!$B$12,Paramètres!$A$1:$I$89,3,0)*VLOOKUP('Données projet'!$B$12,Paramètres!$A$1:$I$89,5,0)</f>
        <v>-3.0149749363772573E-13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580.02817743695846</v>
      </c>
      <c r="CE134" s="62">
        <f t="shared" si="148"/>
        <v>551.23515633208865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>
        <f>VLOOKUP(A134,'Données projet'!$A$139:$I$159,2,0)</f>
        <v>216.34615384615384</v>
      </c>
      <c r="CR134" s="13">
        <f>VLOOKUP(A134,'Données projet'!$A$139:$I$159,9,0)</f>
        <v>0.581538461538463</v>
      </c>
      <c r="CS134" s="13">
        <f t="array" ref="CS134">INDEX(CR:CR,MIN(IF(ISNUMBER(CR134:CR330),ROW(CR134:CR330),"")))</f>
        <v>0.581538461538463</v>
      </c>
      <c r="CT134" s="13">
        <f>IF('Données projet'!$A$140&gt;35,CT133+CS134-DB133,IF(A134&lt;'Données projet'!$A$140,$CQ$205^A134,IF(A134='Données projet'!$A$140,'Données projet'!$B$140,CT133+CS134-DB133)))</f>
        <v>216.34615384615424</v>
      </c>
      <c r="CU134" s="18">
        <f>CT134*VLOOKUP('Données projet'!$B$13,Paramètres!$A$1:$I$89,3,0)*VLOOKUP('Données projet'!$B$13,Paramètres!$A$1:$I$89,5,0)</f>
        <v>101.25000000000018</v>
      </c>
      <c r="CV134" s="14">
        <f t="shared" si="149"/>
        <v>27.259577166370391</v>
      </c>
      <c r="CW134" s="22">
        <f t="shared" si="121"/>
        <v>223.8208468980954</v>
      </c>
      <c r="CX134" s="62">
        <f t="shared" si="122"/>
        <v>507.89459914120113</v>
      </c>
      <c r="CY134" s="62">
        <f ca="1">AVERAGE(OFFSET($CX$3,0,0,'Données projet'!$E$13+1,1))-AVERAGE(OFFSET($H$3,0,0,'Données projet'!$E$13+1,1))</f>
        <v>321.05795935196863</v>
      </c>
      <c r="CZ134" s="62">
        <f t="shared" si="150"/>
        <v>209.59551322748908</v>
      </c>
      <c r="DA134" s="16">
        <f>IF(ISNA(VLOOKUP(A134,'Données projet'!$A$139:$I$159,3,0)),0,VLOOKUP(A134,'Données projet'!$A$139:$I$159,3,0))</f>
        <v>8</v>
      </c>
      <c r="DB134" s="16">
        <f>IF(ISNA(VLOOKUP(A134,'Données projet'!$A$139:$I$159,4,0)),0,VLOOKUP(A134,'Données projet'!$A$139:$I$159,4,0))</f>
        <v>216.34615384615384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4</v>
      </c>
      <c r="DO134" s="13">
        <f>IF('Données projet'!$A$166&gt;35,DO133+DN134-DW133,IF(A134&lt;'Données projet'!$A$166,$DL$205^A134,IF(A134='Données projet'!$A$166,'Données projet'!$B$166,DO133+DN134-DW133)))</f>
        <v>306.99999999999955</v>
      </c>
      <c r="DP134" s="18">
        <f>DO134*VLOOKUP('Données projet'!$B$14,Paramètres!$A$1:$I$89,3,0)*VLOOKUP('Données projet'!$B$14,Paramètres!$A$1:$I$89,5,0)</f>
        <v>330.45479999999952</v>
      </c>
      <c r="DQ134" s="14">
        <f t="shared" si="151"/>
        <v>77.524591256035407</v>
      </c>
      <c r="DR134" s="22">
        <f t="shared" si="124"/>
        <v>710.56410643759409</v>
      </c>
      <c r="DS134" s="62">
        <f t="shared" si="125"/>
        <v>994.63785868069976</v>
      </c>
      <c r="DT134" s="62">
        <f ca="1">AVERAGE(OFFSET($DS$3,0,0,'Données projet'!$E$14+1,1))-AVERAGE(OFFSET($H$3,0,0,'Données projet'!$E$14+1,1))</f>
        <v>638.58602907610805</v>
      </c>
      <c r="DU134" s="62">
        <f t="shared" si="152"/>
        <v>341.9250949809848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3.3992364478763198E-14</v>
      </c>
      <c r="EL134" s="14">
        <f t="shared" si="153"/>
        <v>5.790027782444094E-13</v>
      </c>
      <c r="EM134" s="22">
        <f t="shared" si="127"/>
        <v>1.0676332069095257E-12</v>
      </c>
      <c r="EN134" s="62">
        <f t="shared" si="128"/>
        <v>284.07375224310681</v>
      </c>
      <c r="EO134" s="62">
        <f ca="1">AVERAGE(OFFSET($EN$3,0,0,'Données projet'!$E$15+1,1))-AVERAGE(OFFSET($H$3,0,0,'Données projet'!$E$15+1,1))</f>
        <v>223.57443551076992</v>
      </c>
      <c r="EP134" s="62">
        <f t="shared" si="154"/>
        <v>382.12751862619427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3.6009325105864196</v>
      </c>
      <c r="EW134" s="23">
        <f>EXP(-LN(2)/25)*EW133+(1-EXP(-LN(2)/25))/(LN(2)/25)*Calculateur!ER134*Calculateur!ET134*VLOOKUP('Données projet'!$B$15,Paramètres!$A$1:$I$89,3,0)*0.475*44/12</f>
        <v>0.8437849895584778</v>
      </c>
      <c r="EX134" s="23">
        <f>EXP(-LN(2)/2)*EX133+(1-EXP(-LN(2)/2))/(LN(2)/2)*ER134*EU134*VLOOKUP('Données projet'!$B$15,Paramètres!$A$1:$I$89,3,0)*0.475*44/12</f>
        <v>6.3667861433046363E-15</v>
      </c>
      <c r="EY134" s="24">
        <f t="shared" si="129"/>
        <v>4.444717500144904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1.1879166666666663</v>
      </c>
      <c r="FE134" s="13">
        <f>IF('Données projet'!$A$218&gt;35,FE133+FD134-FM133,IF(A134&lt;'Données projet'!$A$218,$FB$205^A134,IF(A134='Données projet'!$A$218,'Données projet'!$B$218,FE133+FD134-FM133)))</f>
        <v>116.72124999999998</v>
      </c>
      <c r="FF134" s="18">
        <f>FE134*VLOOKUP('Données projet'!$B$16,Paramètres!$A$1:$I$89,3,0)*VLOOKUP('Données projet'!$B$16,Paramètres!$A$1:$I$89,5,0)</f>
        <v>134.46287999999996</v>
      </c>
      <c r="FG134" s="14">
        <f t="shared" si="155"/>
        <v>35.02556530568927</v>
      </c>
      <c r="FH134" s="22">
        <f t="shared" si="130"/>
        <v>295.19237557407541</v>
      </c>
      <c r="FI134" s="62">
        <f t="shared" si="131"/>
        <v>579.26612781718109</v>
      </c>
      <c r="FJ134" s="62">
        <f ca="1">AVERAGE(OFFSET($FI$3,0,0,'Données projet'!$E$16+1,1))-AVERAGE(OFFSET($H$3,0,0,'Données projet'!$E$16+1,1))</f>
        <v>283.95543623515323</v>
      </c>
      <c r="FK134" s="62">
        <f t="shared" si="156"/>
        <v>196.96883829830929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5.6843418860808015E-14</v>
      </c>
      <c r="GA134" s="18">
        <f>FZ134*VLOOKUP('Données projet'!$B$17,Paramètres!$A$1:$I$89,3,0)*VLOOKUP('Données projet'!$B$17,Paramètres!$A$1:$I$89,5,0)</f>
        <v>3.3992364478763198E-14</v>
      </c>
      <c r="GB134" s="14">
        <f t="shared" si="157"/>
        <v>5.790027782444094E-13</v>
      </c>
      <c r="GC134" s="22">
        <f t="shared" si="133"/>
        <v>1.0676332069095257E-12</v>
      </c>
      <c r="GD134" s="62">
        <f t="shared" si="134"/>
        <v>284.07375224310681</v>
      </c>
      <c r="GE134" s="62">
        <f ca="1">AVERAGE(OFFSET($GD$3,0,0,'Données projet'!$E$17+1,1))-AVERAGE(OFFSET($H$3,0,0,'Données projet'!$E$17+1,1))</f>
        <v>223.57443551076992</v>
      </c>
      <c r="GF134" s="62">
        <f t="shared" si="158"/>
        <v>382.12751862619427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3.6009325105864196</v>
      </c>
      <c r="GM134" s="23">
        <f>EXP(-LN(2)/25)*GM133+(1-EXP(-LN(2)/25))/(LN(2)/25)*Calculateur!GH134*Calculateur!GJ134*VLOOKUP('Données projet'!$B$17,Paramètres!$A$1:$I$89,3,0)*0.475*44/12</f>
        <v>0.8437849895584778</v>
      </c>
      <c r="GN134" s="23">
        <f>EXP(-LN(2)/2)*GN133+(1-EXP(-LN(2)/2))/(LN(2)/2)*GH134*GK134*VLOOKUP('Données projet'!$B$17,Paramètres!$A$1:$I$89,3,0)*0.475*44/12</f>
        <v>6.3667861433046363E-15</v>
      </c>
      <c r="GO134" s="23">
        <f t="shared" si="135"/>
        <v>4.444717500144904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5.8013801410682806</v>
      </c>
      <c r="GU134" s="13">
        <f>IF('Données projet'!$A$270&gt;35,GU133+GT134-HC133,IF(A134&lt;'Données projet'!$A$270,$GR$205^A134,IF(A134='Données projet'!$A$270,'Données projet'!$B$270,GU133+GT134-HC133)))</f>
        <v>491.82988484229429</v>
      </c>
      <c r="GV134" s="18">
        <f>GU134*VLOOKUP('Données projet'!$B$18,Paramètres!$A$1:$I$89,3,0)*VLOOKUP('Données projet'!$B$18,Paramètres!$A$1:$I$89,5,0)</f>
        <v>537.0782342477853</v>
      </c>
      <c r="GW134" s="14">
        <f t="shared" si="159"/>
        <v>119.07298643722984</v>
      </c>
      <c r="GX134" s="22">
        <f t="shared" si="136"/>
        <v>1142.7967093597347</v>
      </c>
      <c r="GY134" s="62">
        <f t="shared" si="137"/>
        <v>1426.8704616028404</v>
      </c>
      <c r="GZ134" s="62">
        <f ca="1">AVERAGE(OFFSET($GY$3,0,0,'Données projet'!$E$18+1,1))-AVERAGE(OFFSET($H$3,0,0,'Données projet'!$E$18+1,1))</f>
        <v>754.33260592777049</v>
      </c>
      <c r="HA134" s="62">
        <f t="shared" si="160"/>
        <v>250.97643915279005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9">
        <f t="shared" si="110"/>
        <v>183.33333333333334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</v>
      </c>
      <c r="N135" s="14">
        <f>IF('Données projet'!$A$36&gt;35,N134+M135-V134,IF(A135&lt;'Données projet'!$A$36,$K$205^A135,IF(A135='Données projet'!$A$36,'Données projet'!$B$36,N134+M135-V134)))</f>
        <v>310.99999999999955</v>
      </c>
      <c r="O135" s="14">
        <f>N135*VLOOKUP('Données projet'!$B$9,Paramètres!$A$1:$I$89,3,0)*VLOOKUP('Données projet'!$B$9,Paramètres!$A$1:$I$89,5,0)</f>
        <v>281.39279999999957</v>
      </c>
      <c r="P135" s="14">
        <f t="shared" si="141"/>
        <v>67.261262504634587</v>
      </c>
      <c r="Q135" s="22">
        <f t="shared" si="108"/>
        <v>607.23915886223779</v>
      </c>
      <c r="R135" s="62">
        <f t="shared" si="109"/>
        <v>891.47354413593689</v>
      </c>
      <c r="S135" s="62">
        <f ca="1">AVERAGE(OFFSET($R$3,0,0,'Données projet'!$E$9+1,1))-AVERAGE(OFFSET($H$3,0,0,'Données projet'!$E$9+1,1))</f>
        <v>550.39292625253665</v>
      </c>
      <c r="T135" s="62">
        <f t="shared" si="142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</v>
      </c>
      <c r="AI135" s="14">
        <f>IF('Données projet'!$A$62&gt;35,AI134+AH135-AQ134,IF(A135&lt;'Données projet'!$A$62,$AF$205^A135,IF(A135='Données projet'!$A$62,'Données projet'!$B$62,AI134+AH135-AQ134)))</f>
        <v>310.99999999999955</v>
      </c>
      <c r="AJ135" s="14">
        <f>AI135*VLOOKUP('Données projet'!$B$10,Paramètres!$A$1:$I$89,3,0)*VLOOKUP('Données projet'!$B$10,Paramètres!$A$1:$I$89,5,0)</f>
        <v>315.35399999999959</v>
      </c>
      <c r="AK135" s="14">
        <f t="shared" si="143"/>
        <v>74.38584171564473</v>
      </c>
      <c r="AL135" s="22">
        <f t="shared" si="112"/>
        <v>678.79689098808058</v>
      </c>
      <c r="AM135" s="62">
        <f t="shared" si="113"/>
        <v>963.03127626177979</v>
      </c>
      <c r="AN135" s="62">
        <f ca="1">AVERAGE(OFFSET($AM$3,0,0,'Données projet'!$E$10+1,1))-AVERAGE(OFFSET($H$3,0,0,'Données projet'!$E$10+1,1))</f>
        <v>606.55142836375308</v>
      </c>
      <c r="AO135" s="62">
        <f t="shared" si="144"/>
        <v>325.72635759450861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5.1159076974727213E-13</v>
      </c>
      <c r="BE135" s="14">
        <f>BD135*VLOOKUP('Données projet'!$B$11,Paramètres!$A$1:$I$89,3,0)*VLOOKUP('Données projet'!$B$11,Paramètres!$A$1:$I$89,5,0)</f>
        <v>5.3471467253984886E-13</v>
      </c>
      <c r="BF135" s="14">
        <f t="shared" si="145"/>
        <v>6.6087717628803869E-12</v>
      </c>
      <c r="BG135" s="22">
        <f t="shared" si="115"/>
        <v>1.244157220835691E-11</v>
      </c>
      <c r="BH135" s="62">
        <f t="shared" si="116"/>
        <v>284.23438527371161</v>
      </c>
      <c r="BI135" s="62">
        <f ca="1">AVERAGE(OFFSET($BH$3,0,0,'Données projet'!$E$11+1,1))-AVERAGE(OFFSET($H$3,0,0,'Données projet'!$E$11+1,1))</f>
        <v>635.13577238794812</v>
      </c>
      <c r="BJ135" s="62">
        <f t="shared" si="146"/>
        <v>374.35810525172019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-6.8212102632969618E-13</v>
      </c>
      <c r="BZ135" s="14">
        <f>BY135*VLOOKUP('Données projet'!$B$12,Paramètres!$A$1:$I$89,3,0)*VLOOKUP('Données projet'!$B$12,Paramètres!$A$1:$I$89,5,0)</f>
        <v>-3.0149749363772573E-13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580.02817743695846</v>
      </c>
      <c r="CE135" s="62">
        <f t="shared" si="148"/>
        <v>551.23515633208865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3.979039320256561E-13</v>
      </c>
      <c r="CU135" s="18">
        <f>CT135*VLOOKUP('Données projet'!$B$13,Paramètres!$A$1:$I$89,3,0)*VLOOKUP('Données projet'!$B$13,Paramètres!$A$1:$I$89,5,0)</f>
        <v>1.8621904018800707E-13</v>
      </c>
      <c r="CV135" s="14">
        <f t="shared" si="149"/>
        <v>2.6022279988572714E-12</v>
      </c>
      <c r="CW135" s="22">
        <f t="shared" si="121"/>
        <v>4.8565452596705266E-12</v>
      </c>
      <c r="CX135" s="62">
        <f t="shared" si="122"/>
        <v>284.23438527370399</v>
      </c>
      <c r="CY135" s="62">
        <f ca="1">AVERAGE(OFFSET($CX$3,0,0,'Données projet'!$E$13+1,1))-AVERAGE(OFFSET($H$3,0,0,'Données projet'!$E$13+1,1))</f>
        <v>321.05795935196863</v>
      </c>
      <c r="CZ135" s="62">
        <f t="shared" si="150"/>
        <v>209.59551322748908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4</v>
      </c>
      <c r="DO135" s="13">
        <f>IF('Données projet'!$A$166&gt;35,DO134+DN135-DW134,IF(A135&lt;'Données projet'!$A$166,$DL$205^A135,IF(A135='Données projet'!$A$166,'Données projet'!$B$166,DO134+DN135-DW134)))</f>
        <v>310.99999999999955</v>
      </c>
      <c r="DP135" s="18">
        <f>DO135*VLOOKUP('Données projet'!$B$14,Paramètres!$A$1:$I$89,3,0)*VLOOKUP('Données projet'!$B$14,Paramètres!$A$1:$I$89,5,0)</f>
        <v>334.76039999999949</v>
      </c>
      <c r="DQ135" s="14">
        <f t="shared" si="151"/>
        <v>78.416435353043383</v>
      </c>
      <c r="DR135" s="22">
        <f t="shared" si="124"/>
        <v>719.61632157321628</v>
      </c>
      <c r="DS135" s="62">
        <f t="shared" si="125"/>
        <v>1003.8507068469155</v>
      </c>
      <c r="DT135" s="62">
        <f ca="1">AVERAGE(OFFSET($DS$3,0,0,'Données projet'!$E$14+1,1))-AVERAGE(OFFSET($H$3,0,0,'Données projet'!$E$14+1,1))</f>
        <v>638.58602907610805</v>
      </c>
      <c r="DU135" s="62">
        <f t="shared" si="152"/>
        <v>341.9250949809848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3.3992364478763198E-14</v>
      </c>
      <c r="EL135" s="14">
        <f t="shared" si="153"/>
        <v>5.790027782444094E-13</v>
      </c>
      <c r="EM135" s="22">
        <f t="shared" si="127"/>
        <v>1.0676332069095257E-12</v>
      </c>
      <c r="EN135" s="62">
        <f t="shared" si="128"/>
        <v>284.23438527370024</v>
      </c>
      <c r="EO135" s="62">
        <f ca="1">AVERAGE(OFFSET($EN$3,0,0,'Données projet'!$E$15+1,1))-AVERAGE(OFFSET($H$3,0,0,'Données projet'!$E$15+1,1))</f>
        <v>223.57443551076992</v>
      </c>
      <c r="EP135" s="62">
        <f t="shared" si="154"/>
        <v>382.12751862619427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3.5303204204057796</v>
      </c>
      <c r="EW135" s="23">
        <f>EXP(-LN(2)/25)*EW134+(1-EXP(-LN(2)/25))/(LN(2)/25)*Calculateur!ER135*Calculateur!ET135*VLOOKUP('Données projet'!$B$15,Paramètres!$A$1:$I$89,3,0)*0.475*44/12</f>
        <v>0.82071164464627711</v>
      </c>
      <c r="EX135" s="23">
        <f>EXP(-LN(2)/2)*EX134+(1-EXP(-LN(2)/2))/(LN(2)/2)*ER135*EU135*VLOOKUP('Données projet'!$B$15,Paramètres!$A$1:$I$89,3,0)*0.475*44/12</f>
        <v>4.5019976562952542E-15</v>
      </c>
      <c r="EY135" s="24">
        <f t="shared" si="129"/>
        <v>4.3510320650520615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1.1879166666666663</v>
      </c>
      <c r="FE135" s="13">
        <f>IF('Données projet'!$A$218&gt;35,FE134+FD135-FM134,IF(A135&lt;'Données projet'!$A$218,$FB$205^A135,IF(A135='Données projet'!$A$218,'Données projet'!$B$218,FE134+FD135-FM134)))</f>
        <v>117.90916666666665</v>
      </c>
      <c r="FF135" s="18">
        <f>FE135*VLOOKUP('Données projet'!$B$16,Paramètres!$A$1:$I$89,3,0)*VLOOKUP('Données projet'!$B$16,Paramètres!$A$1:$I$89,5,0)</f>
        <v>135.83135999999996</v>
      </c>
      <c r="FG135" s="14">
        <f t="shared" si="155"/>
        <v>35.340355037002603</v>
      </c>
      <c r="FH135" s="22">
        <f t="shared" si="130"/>
        <v>298.12407035611278</v>
      </c>
      <c r="FI135" s="62">
        <f t="shared" si="131"/>
        <v>582.35845562981194</v>
      </c>
      <c r="FJ135" s="62">
        <f ca="1">AVERAGE(OFFSET($FI$3,0,0,'Données projet'!$E$16+1,1))-AVERAGE(OFFSET($H$3,0,0,'Données projet'!$E$16+1,1))</f>
        <v>283.95543623515323</v>
      </c>
      <c r="FK135" s="62">
        <f t="shared" si="156"/>
        <v>196.96883829830929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5.6843418860808015E-14</v>
      </c>
      <c r="GA135" s="18">
        <f>FZ135*VLOOKUP('Données projet'!$B$17,Paramètres!$A$1:$I$89,3,0)*VLOOKUP('Données projet'!$B$17,Paramètres!$A$1:$I$89,5,0)</f>
        <v>3.3992364478763198E-14</v>
      </c>
      <c r="GB135" s="14">
        <f t="shared" si="157"/>
        <v>5.790027782444094E-13</v>
      </c>
      <c r="GC135" s="22">
        <f t="shared" si="133"/>
        <v>1.0676332069095257E-12</v>
      </c>
      <c r="GD135" s="62">
        <f t="shared" si="134"/>
        <v>284.23438527370024</v>
      </c>
      <c r="GE135" s="62">
        <f ca="1">AVERAGE(OFFSET($GD$3,0,0,'Données projet'!$E$17+1,1))-AVERAGE(OFFSET($H$3,0,0,'Données projet'!$E$17+1,1))</f>
        <v>223.57443551076992</v>
      </c>
      <c r="GF135" s="62">
        <f t="shared" si="158"/>
        <v>382.12751862619427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3.5303204204057796</v>
      </c>
      <c r="GM135" s="23">
        <f>EXP(-LN(2)/25)*GM134+(1-EXP(-LN(2)/25))/(LN(2)/25)*Calculateur!GH135*Calculateur!GJ135*VLOOKUP('Données projet'!$B$17,Paramètres!$A$1:$I$89,3,0)*0.475*44/12</f>
        <v>0.82071164464627711</v>
      </c>
      <c r="GN135" s="23">
        <f>EXP(-LN(2)/2)*GN134+(1-EXP(-LN(2)/2))/(LN(2)/2)*GH135*GK135*VLOOKUP('Données projet'!$B$17,Paramètres!$A$1:$I$89,3,0)*0.475*44/12</f>
        <v>4.5019976562952542E-15</v>
      </c>
      <c r="GO135" s="23">
        <f t="shared" si="135"/>
        <v>4.3510320650520615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5.8013801410682806</v>
      </c>
      <c r="GU135" s="13">
        <f>IF('Données projet'!$A$270&gt;35,GU134+GT135-HC134,IF(A135&lt;'Données projet'!$A$270,$GR$205^A135,IF(A135='Données projet'!$A$270,'Données projet'!$B$270,GU134+GT135-HC134)))</f>
        <v>497.6312649833626</v>
      </c>
      <c r="GV135" s="18">
        <f>GU135*VLOOKUP('Données projet'!$B$18,Paramètres!$A$1:$I$89,3,0)*VLOOKUP('Données projet'!$B$18,Paramètres!$A$1:$I$89,5,0)</f>
        <v>543.41334136183195</v>
      </c>
      <c r="GW135" s="14">
        <f t="shared" si="159"/>
        <v>120.31317699361826</v>
      </c>
      <c r="GX135" s="22">
        <f t="shared" si="136"/>
        <v>1155.990352802409</v>
      </c>
      <c r="GY135" s="62">
        <f t="shared" si="137"/>
        <v>1440.2247380761082</v>
      </c>
      <c r="GZ135" s="62">
        <f ca="1">AVERAGE(OFFSET($GY$3,0,0,'Données projet'!$E$18+1,1))-AVERAGE(OFFSET($H$3,0,0,'Données projet'!$E$18+1,1))</f>
        <v>754.33260592777049</v>
      </c>
      <c r="HA135" s="62">
        <f t="shared" si="160"/>
        <v>250.97643915279005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9">
        <f t="shared" si="110"/>
        <v>183.33333333333334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</v>
      </c>
      <c r="N136" s="14">
        <f>IF('Données projet'!$A$36&gt;35,N135+M136-V135,IF(A136&lt;'Données projet'!$A$36,$K$205^A136,IF(A136='Données projet'!$A$36,'Données projet'!$B$36,N135+M136-V135)))</f>
        <v>314.99999999999955</v>
      </c>
      <c r="O136" s="14">
        <f>N136*VLOOKUP('Données projet'!$B$9,Paramètres!$A$1:$I$89,3,0)*VLOOKUP('Données projet'!$B$9,Paramètres!$A$1:$I$89,5,0)</f>
        <v>285.0119999999996</v>
      </c>
      <c r="P136" s="14">
        <f t="shared" si="141"/>
        <v>68.025092408173052</v>
      </c>
      <c r="Q136" s="22">
        <f t="shared" si="108"/>
        <v>614.87293594423409</v>
      </c>
      <c r="R136" s="62">
        <f t="shared" si="109"/>
        <v>899.26516762456754</v>
      </c>
      <c r="S136" s="62">
        <f ca="1">AVERAGE(OFFSET($R$3,0,0,'Données projet'!$E$9+1,1))-AVERAGE(OFFSET($H$3,0,0,'Données projet'!$E$9+1,1))</f>
        <v>550.39292625253665</v>
      </c>
      <c r="T136" s="62">
        <f t="shared" si="142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4</v>
      </c>
      <c r="AI136" s="14">
        <f>IF('Données projet'!$A$62&gt;35,AI135+AH136-AQ135,IF(A136&lt;'Données projet'!$A$62,$AF$205^A136,IF(A136='Données projet'!$A$62,'Données projet'!$B$62,AI135+AH136-AQ135)))</f>
        <v>314.99999999999955</v>
      </c>
      <c r="AJ136" s="14">
        <f>AI136*VLOOKUP('Données projet'!$B$10,Paramètres!$A$1:$I$89,3,0)*VLOOKUP('Données projet'!$B$10,Paramètres!$A$1:$I$89,5,0)</f>
        <v>319.40999999999957</v>
      </c>
      <c r="AK136" s="14">
        <f t="shared" si="143"/>
        <v>75.230579506559266</v>
      </c>
      <c r="AL136" s="22">
        <f t="shared" si="112"/>
        <v>687.3323426405899</v>
      </c>
      <c r="AM136" s="62">
        <f t="shared" si="113"/>
        <v>971.72457432092324</v>
      </c>
      <c r="AN136" s="62">
        <f ca="1">AVERAGE(OFFSET($AM$3,0,0,'Données projet'!$E$10+1,1))-AVERAGE(OFFSET($H$3,0,0,'Données projet'!$E$10+1,1))</f>
        <v>606.55142836375308</v>
      </c>
      <c r="AO136" s="62">
        <f t="shared" si="144"/>
        <v>325.72635759450861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5.1159076974727213E-13</v>
      </c>
      <c r="BE136" s="14">
        <f>BD136*VLOOKUP('Données projet'!$B$11,Paramètres!$A$1:$I$89,3,0)*VLOOKUP('Données projet'!$B$11,Paramètres!$A$1:$I$89,5,0)</f>
        <v>5.3471467253984886E-13</v>
      </c>
      <c r="BF136" s="14">
        <f t="shared" si="145"/>
        <v>6.6087717628803869E-12</v>
      </c>
      <c r="BG136" s="22">
        <f t="shared" si="115"/>
        <v>1.244157220835691E-11</v>
      </c>
      <c r="BH136" s="62">
        <f t="shared" si="116"/>
        <v>284.39223168034584</v>
      </c>
      <c r="BI136" s="62">
        <f ca="1">AVERAGE(OFFSET($BH$3,0,0,'Données projet'!$E$11+1,1))-AVERAGE(OFFSET($H$3,0,0,'Données projet'!$E$11+1,1))</f>
        <v>635.13577238794812</v>
      </c>
      <c r="BJ136" s="62">
        <f t="shared" si="146"/>
        <v>374.35810525172019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-6.8212102632969618E-13</v>
      </c>
      <c r="BZ136" s="14">
        <f>BY136*VLOOKUP('Données projet'!$B$12,Paramètres!$A$1:$I$89,3,0)*VLOOKUP('Données projet'!$B$12,Paramètres!$A$1:$I$89,5,0)</f>
        <v>-3.0149749363772573E-13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580.02817743695846</v>
      </c>
      <c r="CE136" s="62">
        <f t="shared" si="148"/>
        <v>551.23515633208865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3.979039320256561E-13</v>
      </c>
      <c r="CU136" s="18">
        <f>CT136*VLOOKUP('Données projet'!$B$13,Paramètres!$A$1:$I$89,3,0)*VLOOKUP('Données projet'!$B$13,Paramètres!$A$1:$I$89,5,0)</f>
        <v>1.8621904018800707E-13</v>
      </c>
      <c r="CV136" s="14">
        <f t="shared" si="149"/>
        <v>2.6022279988572714E-12</v>
      </c>
      <c r="CW136" s="22">
        <f t="shared" si="121"/>
        <v>4.8565452596705266E-12</v>
      </c>
      <c r="CX136" s="62">
        <f t="shared" si="122"/>
        <v>284.39223168033823</v>
      </c>
      <c r="CY136" s="62">
        <f ca="1">AVERAGE(OFFSET($CX$3,0,0,'Données projet'!$E$13+1,1))-AVERAGE(OFFSET($H$3,0,0,'Données projet'!$E$13+1,1))</f>
        <v>321.05795935196863</v>
      </c>
      <c r="CZ136" s="62">
        <f t="shared" si="150"/>
        <v>209.59551322748908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4</v>
      </c>
      <c r="DO136" s="13">
        <f>IF('Données projet'!$A$166&gt;35,DO135+DN136-DW135,IF(A136&lt;'Données projet'!$A$166,$DL$205^A136,IF(A136='Données projet'!$A$166,'Données projet'!$B$166,DO135+DN136-DW135)))</f>
        <v>314.99999999999955</v>
      </c>
      <c r="DP136" s="18">
        <f>DO136*VLOOKUP('Données projet'!$B$14,Paramètres!$A$1:$I$89,3,0)*VLOOKUP('Données projet'!$B$14,Paramètres!$A$1:$I$89,5,0)</f>
        <v>339.06599999999952</v>
      </c>
      <c r="DQ136" s="14">
        <f t="shared" si="151"/>
        <v>79.306945224864748</v>
      </c>
      <c r="DR136" s="22">
        <f t="shared" si="124"/>
        <v>728.66621293330525</v>
      </c>
      <c r="DS136" s="62">
        <f t="shared" si="125"/>
        <v>1013.0584446136386</v>
      </c>
      <c r="DT136" s="62">
        <f ca="1">AVERAGE(OFFSET($DS$3,0,0,'Données projet'!$E$14+1,1))-AVERAGE(OFFSET($H$3,0,0,'Données projet'!$E$14+1,1))</f>
        <v>638.58602907610805</v>
      </c>
      <c r="DU136" s="62">
        <f t="shared" si="152"/>
        <v>341.9250949809848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3.3992364478763198E-14</v>
      </c>
      <c r="EL136" s="14">
        <f t="shared" si="153"/>
        <v>5.790027782444094E-13</v>
      </c>
      <c r="EM136" s="22">
        <f t="shared" si="127"/>
        <v>1.0676332069095257E-12</v>
      </c>
      <c r="EN136" s="62">
        <f t="shared" si="128"/>
        <v>284.39223168033448</v>
      </c>
      <c r="EO136" s="62">
        <f ca="1">AVERAGE(OFFSET($EN$3,0,0,'Données projet'!$E$15+1,1))-AVERAGE(OFFSET($H$3,0,0,'Données projet'!$E$15+1,1))</f>
        <v>223.57443551076992</v>
      </c>
      <c r="EP136" s="62">
        <f t="shared" si="154"/>
        <v>382.12751862619427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3.4610929902444596</v>
      </c>
      <c r="EW136" s="23">
        <f>EXP(-LN(2)/25)*EW135+(1-EXP(-LN(2)/25))/(LN(2)/25)*Calculateur!ER136*Calculateur!ET136*VLOOKUP('Données projet'!$B$15,Paramètres!$A$1:$I$89,3,0)*0.475*44/12</f>
        <v>0.79826924156407508</v>
      </c>
      <c r="EX136" s="23">
        <f>EXP(-LN(2)/2)*EX135+(1-EXP(-LN(2)/2))/(LN(2)/2)*ER136*EU136*VLOOKUP('Données projet'!$B$15,Paramètres!$A$1:$I$89,3,0)*0.475*44/12</f>
        <v>3.1833930716523182E-15</v>
      </c>
      <c r="EY136" s="24">
        <f t="shared" si="129"/>
        <v>4.259362231808538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1.1879166666666663</v>
      </c>
      <c r="FE136" s="13">
        <f>IF('Données projet'!$A$218&gt;35,FE135+FD136-FM135,IF(A136&lt;'Données projet'!$A$218,$FB$205^A136,IF(A136='Données projet'!$A$218,'Données projet'!$B$218,FE135+FD136-FM135)))</f>
        <v>119.09708333333332</v>
      </c>
      <c r="FF136" s="18">
        <f>FE136*VLOOKUP('Données projet'!$B$16,Paramètres!$A$1:$I$89,3,0)*VLOOKUP('Données projet'!$B$16,Paramètres!$A$1:$I$89,5,0)</f>
        <v>137.19983999999997</v>
      </c>
      <c r="FG136" s="14">
        <f t="shared" si="155"/>
        <v>35.65477582037844</v>
      </c>
      <c r="FH136" s="22">
        <f t="shared" si="130"/>
        <v>301.0551225538257</v>
      </c>
      <c r="FI136" s="62">
        <f t="shared" si="131"/>
        <v>585.44735423415909</v>
      </c>
      <c r="FJ136" s="62">
        <f ca="1">AVERAGE(OFFSET($FI$3,0,0,'Données projet'!$E$16+1,1))-AVERAGE(OFFSET($H$3,0,0,'Données projet'!$E$16+1,1))</f>
        <v>283.95543623515323</v>
      </c>
      <c r="FK136" s="62">
        <f t="shared" si="156"/>
        <v>196.96883829830929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5.6843418860808015E-14</v>
      </c>
      <c r="GA136" s="18">
        <f>FZ136*VLOOKUP('Données projet'!$B$17,Paramètres!$A$1:$I$89,3,0)*VLOOKUP('Données projet'!$B$17,Paramètres!$A$1:$I$89,5,0)</f>
        <v>3.3992364478763198E-14</v>
      </c>
      <c r="GB136" s="14">
        <f t="shared" si="157"/>
        <v>5.790027782444094E-13</v>
      </c>
      <c r="GC136" s="22">
        <f t="shared" si="133"/>
        <v>1.0676332069095257E-12</v>
      </c>
      <c r="GD136" s="62">
        <f t="shared" si="134"/>
        <v>284.39223168033448</v>
      </c>
      <c r="GE136" s="62">
        <f ca="1">AVERAGE(OFFSET($GD$3,0,0,'Données projet'!$E$17+1,1))-AVERAGE(OFFSET($H$3,0,0,'Données projet'!$E$17+1,1))</f>
        <v>223.57443551076992</v>
      </c>
      <c r="GF136" s="62">
        <f t="shared" si="158"/>
        <v>382.12751862619427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3.4610929902444596</v>
      </c>
      <c r="GM136" s="23">
        <f>EXP(-LN(2)/25)*GM135+(1-EXP(-LN(2)/25))/(LN(2)/25)*Calculateur!GH136*Calculateur!GJ136*VLOOKUP('Données projet'!$B$17,Paramètres!$A$1:$I$89,3,0)*0.475*44/12</f>
        <v>0.79826924156407508</v>
      </c>
      <c r="GN136" s="23">
        <f>EXP(-LN(2)/2)*GN135+(1-EXP(-LN(2)/2))/(LN(2)/2)*GH136*GK136*VLOOKUP('Données projet'!$B$17,Paramètres!$A$1:$I$89,3,0)*0.475*44/12</f>
        <v>3.1833930716523182E-15</v>
      </c>
      <c r="GO136" s="23">
        <f t="shared" si="135"/>
        <v>4.259362231808538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5.8013801410682806</v>
      </c>
      <c r="GU136" s="13">
        <f>IF('Données projet'!$A$270&gt;35,GU135+GT136-HC135,IF(A136&lt;'Données projet'!$A$270,$GR$205^A136,IF(A136='Données projet'!$A$270,'Données projet'!$B$270,GU135+GT136-HC135)))</f>
        <v>503.43264512443091</v>
      </c>
      <c r="GV136" s="18">
        <f>GU136*VLOOKUP('Données projet'!$B$18,Paramètres!$A$1:$I$89,3,0)*VLOOKUP('Données projet'!$B$18,Paramètres!$A$1:$I$89,5,0)</f>
        <v>549.7484484758786</v>
      </c>
      <c r="GW136" s="14">
        <f t="shared" si="159"/>
        <v>121.55168572488178</v>
      </c>
      <c r="GX136" s="22">
        <f t="shared" si="136"/>
        <v>1169.1810670663242</v>
      </c>
      <c r="GY136" s="62">
        <f t="shared" si="137"/>
        <v>1453.5732987466577</v>
      </c>
      <c r="GZ136" s="62">
        <f ca="1">AVERAGE(OFFSET($GY$3,0,0,'Données projet'!$E$18+1,1))-AVERAGE(OFFSET($H$3,0,0,'Données projet'!$E$18+1,1))</f>
        <v>754.33260592777049</v>
      </c>
      <c r="HA136" s="62">
        <f t="shared" si="160"/>
        <v>250.97643915279005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9">
        <f t="shared" si="110"/>
        <v>183.33333333333334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</v>
      </c>
      <c r="N137" s="14">
        <f>IF('Données projet'!$A$36&gt;35,N136+M137-V136,IF(A137&lt;'Données projet'!$A$36,$K$205^A137,IF(A137='Données projet'!$A$36,'Données projet'!$B$36,N136+M137-V136)))</f>
        <v>318.99999999999955</v>
      </c>
      <c r="O137" s="14">
        <f>N137*VLOOKUP('Données projet'!$B$9,Paramètres!$A$1:$I$89,3,0)*VLOOKUP('Données projet'!$B$9,Paramètres!$A$1:$I$89,5,0)</f>
        <v>288.63119999999958</v>
      </c>
      <c r="P137" s="14">
        <f t="shared" si="141"/>
        <v>68.787794100289148</v>
      </c>
      <c r="Q137" s="22">
        <f t="shared" si="108"/>
        <v>622.50474805800286</v>
      </c>
      <c r="R137" s="62">
        <f t="shared" si="109"/>
        <v>907.05208786270714</v>
      </c>
      <c r="S137" s="62">
        <f ca="1">AVERAGE(OFFSET($R$3,0,0,'Données projet'!$E$9+1,1))-AVERAGE(OFFSET($H$3,0,0,'Données projet'!$E$9+1,1))</f>
        <v>550.39292625253665</v>
      </c>
      <c r="T137" s="62">
        <f t="shared" si="142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</v>
      </c>
      <c r="AI137" s="14">
        <f>IF('Données projet'!$A$62&gt;35,AI136+AH137-AQ136,IF(A137&lt;'Données projet'!$A$62,$AF$205^A137,IF(A137='Données projet'!$A$62,'Données projet'!$B$62,AI136+AH137-AQ136)))</f>
        <v>318.99999999999955</v>
      </c>
      <c r="AJ137" s="14">
        <f>AI137*VLOOKUP('Données projet'!$B$10,Paramètres!$A$1:$I$89,3,0)*VLOOKUP('Données projet'!$B$10,Paramètres!$A$1:$I$89,5,0)</f>
        <v>323.46599999999955</v>
      </c>
      <c r="AK137" s="14">
        <f t="shared" si="143"/>
        <v>76.07406958143109</v>
      </c>
      <c r="AL137" s="22">
        <f t="shared" si="112"/>
        <v>695.86562118765835</v>
      </c>
      <c r="AM137" s="62">
        <f t="shared" si="113"/>
        <v>980.41296099236263</v>
      </c>
      <c r="AN137" s="62">
        <f ca="1">AVERAGE(OFFSET($AM$3,0,0,'Données projet'!$E$10+1,1))-AVERAGE(OFFSET($H$3,0,0,'Données projet'!$E$10+1,1))</f>
        <v>606.55142836375308</v>
      </c>
      <c r="AO137" s="62">
        <f t="shared" si="144"/>
        <v>325.72635759450861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5.1159076974727213E-13</v>
      </c>
      <c r="BE137" s="14">
        <f>BD137*VLOOKUP('Données projet'!$B$11,Paramètres!$A$1:$I$89,3,0)*VLOOKUP('Données projet'!$B$11,Paramètres!$A$1:$I$89,5,0)</f>
        <v>5.3471467253984886E-13</v>
      </c>
      <c r="BF137" s="14">
        <f t="shared" si="145"/>
        <v>6.6087717628803869E-12</v>
      </c>
      <c r="BG137" s="22">
        <f t="shared" si="115"/>
        <v>1.244157220835691E-11</v>
      </c>
      <c r="BH137" s="62">
        <f t="shared" si="116"/>
        <v>284.54733980471673</v>
      </c>
      <c r="BI137" s="62">
        <f ca="1">AVERAGE(OFFSET($BH$3,0,0,'Données projet'!$E$11+1,1))-AVERAGE(OFFSET($H$3,0,0,'Données projet'!$E$11+1,1))</f>
        <v>635.13577238794812</v>
      </c>
      <c r="BJ137" s="62">
        <f t="shared" si="146"/>
        <v>374.35810525172019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-6.8212102632969618E-13</v>
      </c>
      <c r="BZ137" s="14">
        <f>BY137*VLOOKUP('Données projet'!$B$12,Paramètres!$A$1:$I$89,3,0)*VLOOKUP('Données projet'!$B$12,Paramètres!$A$1:$I$89,5,0)</f>
        <v>-3.0149749363772573E-13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580.02817743695846</v>
      </c>
      <c r="CE137" s="62">
        <f t="shared" si="148"/>
        <v>551.23515633208865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3.979039320256561E-13</v>
      </c>
      <c r="CU137" s="18">
        <f>CT137*VLOOKUP('Données projet'!$B$13,Paramètres!$A$1:$I$89,3,0)*VLOOKUP('Données projet'!$B$13,Paramètres!$A$1:$I$89,5,0)</f>
        <v>1.8621904018800707E-13</v>
      </c>
      <c r="CV137" s="14">
        <f t="shared" si="149"/>
        <v>2.6022279988572714E-12</v>
      </c>
      <c r="CW137" s="22">
        <f t="shared" si="121"/>
        <v>4.8565452596705266E-12</v>
      </c>
      <c r="CX137" s="62">
        <f t="shared" si="122"/>
        <v>284.54733980470911</v>
      </c>
      <c r="CY137" s="62">
        <f ca="1">AVERAGE(OFFSET($CX$3,0,0,'Données projet'!$E$13+1,1))-AVERAGE(OFFSET($H$3,0,0,'Données projet'!$E$13+1,1))</f>
        <v>321.05795935196863</v>
      </c>
      <c r="CZ137" s="62">
        <f t="shared" si="150"/>
        <v>209.59551322748908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4</v>
      </c>
      <c r="DO137" s="13">
        <f>IF('Données projet'!$A$166&gt;35,DO136+DN137-DW136,IF(A137&lt;'Données projet'!$A$166,$DL$205^A137,IF(A137='Données projet'!$A$166,'Données projet'!$B$166,DO136+DN137-DW136)))</f>
        <v>318.99999999999955</v>
      </c>
      <c r="DP137" s="18">
        <f>DO137*VLOOKUP('Données projet'!$B$14,Paramètres!$A$1:$I$89,3,0)*VLOOKUP('Données projet'!$B$14,Paramètres!$A$1:$I$89,5,0)</f>
        <v>343.37159999999949</v>
      </c>
      <c r="DQ137" s="14">
        <f t="shared" si="151"/>
        <v>80.196139773203214</v>
      </c>
      <c r="DR137" s="22">
        <f t="shared" si="124"/>
        <v>737.71381343832797</v>
      </c>
      <c r="DS137" s="62">
        <f t="shared" si="125"/>
        <v>1022.2611532430323</v>
      </c>
      <c r="DT137" s="62">
        <f ca="1">AVERAGE(OFFSET($DS$3,0,0,'Données projet'!$E$14+1,1))-AVERAGE(OFFSET($H$3,0,0,'Données projet'!$E$14+1,1))</f>
        <v>638.58602907610805</v>
      </c>
      <c r="DU137" s="62">
        <f t="shared" si="152"/>
        <v>341.9250949809848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3.3992364478763198E-14</v>
      </c>
      <c r="EL137" s="14">
        <f t="shared" si="153"/>
        <v>5.790027782444094E-13</v>
      </c>
      <c r="EM137" s="22">
        <f t="shared" si="127"/>
        <v>1.0676332069095257E-12</v>
      </c>
      <c r="EN137" s="62">
        <f t="shared" si="128"/>
        <v>284.54733980470536</v>
      </c>
      <c r="EO137" s="62">
        <f ca="1">AVERAGE(OFFSET($EN$3,0,0,'Données projet'!$E$15+1,1))-AVERAGE(OFFSET($H$3,0,0,'Données projet'!$E$15+1,1))</f>
        <v>223.57443551076992</v>
      </c>
      <c r="EP137" s="62">
        <f t="shared" si="154"/>
        <v>382.12751862619427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3.39322306776404</v>
      </c>
      <c r="EW137" s="23">
        <f>EXP(-LN(2)/25)*EW136+(1-EXP(-LN(2)/25))/(LN(2)/25)*Calculateur!ER137*Calculateur!ET137*VLOOKUP('Données projet'!$B$15,Paramètres!$A$1:$I$89,3,0)*0.475*44/12</f>
        <v>0.77644052717435053</v>
      </c>
      <c r="EX137" s="23">
        <f>EXP(-LN(2)/2)*EX136+(1-EXP(-LN(2)/2))/(LN(2)/2)*ER137*EU137*VLOOKUP('Données projet'!$B$15,Paramètres!$A$1:$I$89,3,0)*0.475*44/12</f>
        <v>2.2509988281476271E-15</v>
      </c>
      <c r="EY137" s="24">
        <f t="shared" si="129"/>
        <v>4.1696635949383936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1.1879166666666663</v>
      </c>
      <c r="FE137" s="13">
        <f>IF('Données projet'!$A$218&gt;35,FE136+FD137-FM136,IF(A137&lt;'Données projet'!$A$218,$FB$205^A137,IF(A137='Données projet'!$A$218,'Données projet'!$B$218,FE136+FD137-FM136)))</f>
        <v>120.28499999999998</v>
      </c>
      <c r="FF137" s="18">
        <f>FE137*VLOOKUP('Données projet'!$B$16,Paramètres!$A$1:$I$89,3,0)*VLOOKUP('Données projet'!$B$16,Paramètres!$A$1:$I$89,5,0)</f>
        <v>138.56831999999997</v>
      </c>
      <c r="FG137" s="14">
        <f t="shared" si="155"/>
        <v>35.968831761941608</v>
      </c>
      <c r="FH137" s="22">
        <f t="shared" si="130"/>
        <v>303.98553931871487</v>
      </c>
      <c r="FI137" s="62">
        <f t="shared" si="131"/>
        <v>588.53287912341921</v>
      </c>
      <c r="FJ137" s="62">
        <f ca="1">AVERAGE(OFFSET($FI$3,0,0,'Données projet'!$E$16+1,1))-AVERAGE(OFFSET($H$3,0,0,'Données projet'!$E$16+1,1))</f>
        <v>283.95543623515323</v>
      </c>
      <c r="FK137" s="62">
        <f t="shared" si="156"/>
        <v>196.96883829830929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5.6843418860808015E-14</v>
      </c>
      <c r="GA137" s="18">
        <f>FZ137*VLOOKUP('Données projet'!$B$17,Paramètres!$A$1:$I$89,3,0)*VLOOKUP('Données projet'!$B$17,Paramètres!$A$1:$I$89,5,0)</f>
        <v>3.3992364478763198E-14</v>
      </c>
      <c r="GB137" s="14">
        <f t="shared" si="157"/>
        <v>5.790027782444094E-13</v>
      </c>
      <c r="GC137" s="22">
        <f t="shared" si="133"/>
        <v>1.0676332069095257E-12</v>
      </c>
      <c r="GD137" s="62">
        <f t="shared" si="134"/>
        <v>284.54733980470536</v>
      </c>
      <c r="GE137" s="62">
        <f ca="1">AVERAGE(OFFSET($GD$3,0,0,'Données projet'!$E$17+1,1))-AVERAGE(OFFSET($H$3,0,0,'Données projet'!$E$17+1,1))</f>
        <v>223.57443551076992</v>
      </c>
      <c r="GF137" s="62">
        <f t="shared" si="158"/>
        <v>382.12751862619427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3.39322306776404</v>
      </c>
      <c r="GM137" s="23">
        <f>EXP(-LN(2)/25)*GM136+(1-EXP(-LN(2)/25))/(LN(2)/25)*Calculateur!GH137*Calculateur!GJ137*VLOOKUP('Données projet'!$B$17,Paramètres!$A$1:$I$89,3,0)*0.475*44/12</f>
        <v>0.77644052717435053</v>
      </c>
      <c r="GN137" s="23">
        <f>EXP(-LN(2)/2)*GN136+(1-EXP(-LN(2)/2))/(LN(2)/2)*GH137*GK137*VLOOKUP('Données projet'!$B$17,Paramètres!$A$1:$I$89,3,0)*0.475*44/12</f>
        <v>2.2509988281476271E-15</v>
      </c>
      <c r="GO137" s="23">
        <f t="shared" si="135"/>
        <v>4.1696635949383936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5.8013801410682806</v>
      </c>
      <c r="GU137" s="13">
        <f>IF('Données projet'!$A$270&gt;35,GU136+GT137-HC136,IF(A137&lt;'Données projet'!$A$270,$GR$205^A137,IF(A137='Données projet'!$A$270,'Données projet'!$B$270,GU136+GT137-HC136)))</f>
        <v>509.23402526549921</v>
      </c>
      <c r="GV137" s="18">
        <f>GU137*VLOOKUP('Données projet'!$B$18,Paramètres!$A$1:$I$89,3,0)*VLOOKUP('Données projet'!$B$18,Paramètres!$A$1:$I$89,5,0)</f>
        <v>556.08355558992514</v>
      </c>
      <c r="GW137" s="14">
        <f t="shared" si="159"/>
        <v>122.78853425415753</v>
      </c>
      <c r="GX137" s="22">
        <f t="shared" si="136"/>
        <v>1182.3688898117773</v>
      </c>
      <c r="GY137" s="62">
        <f t="shared" si="137"/>
        <v>1466.9162296164816</v>
      </c>
      <c r="GZ137" s="62">
        <f ca="1">AVERAGE(OFFSET($GY$3,0,0,'Données projet'!$E$18+1,1))-AVERAGE(OFFSET($H$3,0,0,'Données projet'!$E$18+1,1))</f>
        <v>754.33260592777049</v>
      </c>
      <c r="HA137" s="62">
        <f t="shared" si="160"/>
        <v>250.97643915279005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9">
        <f t="shared" si="110"/>
        <v>183.33333333333334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4</v>
      </c>
      <c r="N138" s="14">
        <f>IF('Données projet'!$A$36&gt;35,N137+M138-V137,IF(A138&lt;'Données projet'!$A$36,$K$205^A138,IF(A138='Données projet'!$A$36,'Données projet'!$B$36,N137+M138-V137)))</f>
        <v>322.99999999999955</v>
      </c>
      <c r="O138" s="14">
        <f>N138*VLOOKUP('Données projet'!$B$9,Paramètres!$A$1:$I$89,3,0)*VLOOKUP('Données projet'!$B$9,Paramètres!$A$1:$I$89,5,0)</f>
        <v>292.25039999999956</v>
      </c>
      <c r="P138" s="14">
        <f t="shared" si="141"/>
        <v>69.549383363839866</v>
      </c>
      <c r="Q138" s="22">
        <f t="shared" si="108"/>
        <v>630.13462269202034</v>
      </c>
      <c r="R138" s="62">
        <f t="shared" si="109"/>
        <v>914.83437984190755</v>
      </c>
      <c r="S138" s="62">
        <f ca="1">AVERAGE(OFFSET($R$3,0,0,'Données projet'!$E$9+1,1))-AVERAGE(OFFSET($H$3,0,0,'Données projet'!$E$9+1,1))</f>
        <v>550.39292625253665</v>
      </c>
      <c r="T138" s="62">
        <f t="shared" si="142"/>
        <v>297.32483725004136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4</v>
      </c>
      <c r="AI138" s="14">
        <f>IF('Données projet'!$A$62&gt;35,AI137+AH138-AQ137,IF(A138&lt;'Données projet'!$A$62,$AF$205^A138,IF(A138='Données projet'!$A$62,'Données projet'!$B$62,AI137+AH138-AQ137)))</f>
        <v>322.99999999999955</v>
      </c>
      <c r="AJ138" s="14">
        <f>AI138*VLOOKUP('Données projet'!$B$10,Paramètres!$A$1:$I$89,3,0)*VLOOKUP('Données projet'!$B$10,Paramètres!$A$1:$I$89,5,0)</f>
        <v>327.52199999999954</v>
      </c>
      <c r="AK138" s="14">
        <f t="shared" si="143"/>
        <v>76.916329394899719</v>
      </c>
      <c r="AL138" s="22">
        <f t="shared" si="112"/>
        <v>704.39675702944942</v>
      </c>
      <c r="AM138" s="62">
        <f t="shared" si="113"/>
        <v>989.09651417933651</v>
      </c>
      <c r="AN138" s="62">
        <f ca="1">AVERAGE(OFFSET($AM$3,0,0,'Données projet'!$E$10+1,1))-AVERAGE(OFFSET($H$3,0,0,'Données projet'!$E$10+1,1))</f>
        <v>606.55142836375308</v>
      </c>
      <c r="AO138" s="62">
        <f t="shared" si="144"/>
        <v>325.72635759450861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5.1159076974727213E-13</v>
      </c>
      <c r="BE138" s="14">
        <f>BD138*VLOOKUP('Données projet'!$B$11,Paramètres!$A$1:$I$89,3,0)*VLOOKUP('Données projet'!$B$11,Paramètres!$A$1:$I$89,5,0)</f>
        <v>5.3471467253984886E-13</v>
      </c>
      <c r="BF138" s="14">
        <f t="shared" si="145"/>
        <v>6.6087717628803869E-12</v>
      </c>
      <c r="BG138" s="22">
        <f t="shared" si="115"/>
        <v>1.244157220835691E-11</v>
      </c>
      <c r="BH138" s="62">
        <f t="shared" si="116"/>
        <v>284.6997571498996</v>
      </c>
      <c r="BI138" s="62">
        <f ca="1">AVERAGE(OFFSET($BH$3,0,0,'Données projet'!$E$11+1,1))-AVERAGE(OFFSET($H$3,0,0,'Données projet'!$E$11+1,1))</f>
        <v>635.13577238794812</v>
      </c>
      <c r="BJ138" s="62">
        <f t="shared" si="146"/>
        <v>374.35810525172019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-6.8212102632969618E-13</v>
      </c>
      <c r="BZ138" s="14">
        <f>BY138*VLOOKUP('Données projet'!$B$12,Paramètres!$A$1:$I$89,3,0)*VLOOKUP('Données projet'!$B$12,Paramètres!$A$1:$I$89,5,0)</f>
        <v>-3.0149749363772573E-13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580.02817743695846</v>
      </c>
      <c r="CE138" s="62">
        <f t="shared" si="148"/>
        <v>551.23515633208865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3.979039320256561E-13</v>
      </c>
      <c r="CU138" s="18">
        <f>CT138*VLOOKUP('Données projet'!$B$13,Paramètres!$A$1:$I$89,3,0)*VLOOKUP('Données projet'!$B$13,Paramètres!$A$1:$I$89,5,0)</f>
        <v>1.8621904018800707E-13</v>
      </c>
      <c r="CV138" s="14">
        <f t="shared" si="149"/>
        <v>2.6022279988572714E-12</v>
      </c>
      <c r="CW138" s="22">
        <f t="shared" si="121"/>
        <v>4.8565452596705266E-12</v>
      </c>
      <c r="CX138" s="62">
        <f t="shared" si="122"/>
        <v>284.69975714989198</v>
      </c>
      <c r="CY138" s="62">
        <f ca="1">AVERAGE(OFFSET($CX$3,0,0,'Données projet'!$E$13+1,1))-AVERAGE(OFFSET($H$3,0,0,'Données projet'!$E$13+1,1))</f>
        <v>321.05795935196863</v>
      </c>
      <c r="CZ138" s="62">
        <f t="shared" si="150"/>
        <v>209.59551322748908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4</v>
      </c>
      <c r="DO138" s="13">
        <f>IF('Données projet'!$A$166&gt;35,DO137+DN138-DW137,IF(A138&lt;'Données projet'!$A$166,$DL$205^A138,IF(A138='Données projet'!$A$166,'Données projet'!$B$166,DO137+DN138-DW137)))</f>
        <v>322.99999999999955</v>
      </c>
      <c r="DP138" s="18">
        <f>DO138*VLOOKUP('Données projet'!$B$14,Paramètres!$A$1:$I$89,3,0)*VLOOKUP('Données projet'!$B$14,Paramètres!$A$1:$I$89,5,0)</f>
        <v>347.67719999999946</v>
      </c>
      <c r="DQ138" s="14">
        <f t="shared" si="151"/>
        <v>81.08403739847715</v>
      </c>
      <c r="DR138" s="22">
        <f t="shared" si="124"/>
        <v>746.75915513568009</v>
      </c>
      <c r="DS138" s="62">
        <f t="shared" si="125"/>
        <v>1031.4589122855673</v>
      </c>
      <c r="DT138" s="62">
        <f ca="1">AVERAGE(OFFSET($DS$3,0,0,'Données projet'!$E$14+1,1))-AVERAGE(OFFSET($H$3,0,0,'Données projet'!$E$14+1,1))</f>
        <v>638.58602907610805</v>
      </c>
      <c r="DU138" s="62">
        <f t="shared" si="152"/>
        <v>341.9250949809848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3.3992364478763198E-14</v>
      </c>
      <c r="EL138" s="14">
        <f t="shared" si="153"/>
        <v>5.790027782444094E-13</v>
      </c>
      <c r="EM138" s="22">
        <f t="shared" si="127"/>
        <v>1.0676332069095257E-12</v>
      </c>
      <c r="EN138" s="62">
        <f t="shared" si="128"/>
        <v>284.69975714988823</v>
      </c>
      <c r="EO138" s="62">
        <f ca="1">AVERAGE(OFFSET($EN$3,0,0,'Données projet'!$E$15+1,1))-AVERAGE(OFFSET($H$3,0,0,'Données projet'!$E$15+1,1))</f>
        <v>223.57443551076992</v>
      </c>
      <c r="EP138" s="62">
        <f t="shared" si="154"/>
        <v>382.12751862619427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3.3266840330668965</v>
      </c>
      <c r="EW138" s="23">
        <f>EXP(-LN(2)/25)*EW137+(1-EXP(-LN(2)/25))/(LN(2)/25)*Calculateur!ER138*Calculateur!ET138*VLOOKUP('Données projet'!$B$15,Paramètres!$A$1:$I$89,3,0)*0.475*44/12</f>
        <v>0.75520872012753515</v>
      </c>
      <c r="EX138" s="23">
        <f>EXP(-LN(2)/2)*EX137+(1-EXP(-LN(2)/2))/(LN(2)/2)*ER138*EU138*VLOOKUP('Données projet'!$B$15,Paramètres!$A$1:$I$89,3,0)*0.475*44/12</f>
        <v>1.5916965358261591E-15</v>
      </c>
      <c r="EY138" s="24">
        <f t="shared" si="129"/>
        <v>4.0818927531944338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1.1879166666666663</v>
      </c>
      <c r="FE138" s="13">
        <f>IF('Données projet'!$A$218&gt;35,FE137+FD138-FM137,IF(A138&lt;'Données projet'!$A$218,$FB$205^A138,IF(A138='Données projet'!$A$218,'Données projet'!$B$218,FE137+FD138-FM137)))</f>
        <v>121.47291666666665</v>
      </c>
      <c r="FF138" s="18">
        <f>FE138*VLOOKUP('Données projet'!$B$16,Paramètres!$A$1:$I$89,3,0)*VLOOKUP('Données projet'!$B$16,Paramètres!$A$1:$I$89,5,0)</f>
        <v>139.93679999999998</v>
      </c>
      <c r="FG138" s="14">
        <f t="shared" si="155"/>
        <v>36.282526882038972</v>
      </c>
      <c r="FH138" s="22">
        <f t="shared" si="130"/>
        <v>306.91532765288451</v>
      </c>
      <c r="FI138" s="62">
        <f t="shared" si="131"/>
        <v>591.61508480277166</v>
      </c>
      <c r="FJ138" s="62">
        <f ca="1">AVERAGE(OFFSET($FI$3,0,0,'Données projet'!$E$16+1,1))-AVERAGE(OFFSET($H$3,0,0,'Données projet'!$E$16+1,1))</f>
        <v>283.95543623515323</v>
      </c>
      <c r="FK138" s="62">
        <f t="shared" si="156"/>
        <v>196.96883829830929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5.6843418860808015E-14</v>
      </c>
      <c r="GA138" s="18">
        <f>FZ138*VLOOKUP('Données projet'!$B$17,Paramètres!$A$1:$I$89,3,0)*VLOOKUP('Données projet'!$B$17,Paramètres!$A$1:$I$89,5,0)</f>
        <v>3.3992364478763198E-14</v>
      </c>
      <c r="GB138" s="14">
        <f t="shared" si="157"/>
        <v>5.790027782444094E-13</v>
      </c>
      <c r="GC138" s="22">
        <f t="shared" si="133"/>
        <v>1.0676332069095257E-12</v>
      </c>
      <c r="GD138" s="62">
        <f t="shared" si="134"/>
        <v>284.69975714988823</v>
      </c>
      <c r="GE138" s="62">
        <f ca="1">AVERAGE(OFFSET($GD$3,0,0,'Données projet'!$E$17+1,1))-AVERAGE(OFFSET($H$3,0,0,'Données projet'!$E$17+1,1))</f>
        <v>223.57443551076992</v>
      </c>
      <c r="GF138" s="62">
        <f t="shared" si="158"/>
        <v>382.12751862619427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3.3266840330668965</v>
      </c>
      <c r="GM138" s="23">
        <f>EXP(-LN(2)/25)*GM137+(1-EXP(-LN(2)/25))/(LN(2)/25)*Calculateur!GH138*Calculateur!GJ138*VLOOKUP('Données projet'!$B$17,Paramètres!$A$1:$I$89,3,0)*0.475*44/12</f>
        <v>0.75520872012753515</v>
      </c>
      <c r="GN138" s="23">
        <f>EXP(-LN(2)/2)*GN137+(1-EXP(-LN(2)/2))/(LN(2)/2)*GH138*GK138*VLOOKUP('Données projet'!$B$17,Paramètres!$A$1:$I$89,3,0)*0.475*44/12</f>
        <v>1.5916965358261591E-15</v>
      </c>
      <c r="GO138" s="23">
        <f t="shared" si="135"/>
        <v>4.0818927531944338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5.8013801410682806</v>
      </c>
      <c r="GU138" s="13">
        <f>IF('Données projet'!$A$270&gt;35,GU137+GT138-HC137,IF(A138&lt;'Données projet'!$A$270,$GR$205^A138,IF(A138='Données projet'!$A$270,'Données projet'!$B$270,GU137+GT138-HC137)))</f>
        <v>515.03540540656752</v>
      </c>
      <c r="GV138" s="18">
        <f>GU138*VLOOKUP('Données projet'!$B$18,Paramètres!$A$1:$I$89,3,0)*VLOOKUP('Données projet'!$B$18,Paramètres!$A$1:$I$89,5,0)</f>
        <v>562.41866270397168</v>
      </c>
      <c r="GW138" s="14">
        <f t="shared" si="159"/>
        <v>124.02374368354326</v>
      </c>
      <c r="GX138" s="22">
        <f t="shared" si="136"/>
        <v>1195.5538577915884</v>
      </c>
      <c r="GY138" s="62">
        <f t="shared" si="137"/>
        <v>1480.2536149414755</v>
      </c>
      <c r="GZ138" s="62">
        <f ca="1">AVERAGE(OFFSET($GY$3,0,0,'Données projet'!$E$18+1,1))-AVERAGE(OFFSET($H$3,0,0,'Données projet'!$E$18+1,1))</f>
        <v>754.33260592777049</v>
      </c>
      <c r="HA138" s="62">
        <f t="shared" si="160"/>
        <v>250.97643915279005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9">
        <f t="shared" si="110"/>
        <v>183.33333333333334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4</v>
      </c>
      <c r="N139" s="14">
        <f>IF('Données projet'!$A$36&gt;35,N138+M139-V138,IF(A139&lt;'Données projet'!$A$36,$K$205^A139,IF(A139='Données projet'!$A$36,'Données projet'!$B$36,N138+M139-V138)))</f>
        <v>326.99999999999955</v>
      </c>
      <c r="O139" s="14">
        <f>N139*VLOOKUP('Données projet'!$B$9,Paramètres!$A$1:$I$89,3,0)*VLOOKUP('Données projet'!$B$9,Paramètres!$A$1:$I$89,5,0)</f>
        <v>295.86959999999954</v>
      </c>
      <c r="P139" s="14">
        <f t="shared" si="141"/>
        <v>70.309875568291091</v>
      </c>
      <c r="Q139" s="22">
        <f t="shared" si="108"/>
        <v>637.76258661477277</v>
      </c>
      <c r="R139" s="62">
        <f t="shared" si="109"/>
        <v>922.61211700965805</v>
      </c>
      <c r="S139" s="62">
        <f ca="1">AVERAGE(OFFSET($R$3,0,0,'Données projet'!$E$9+1,1))-AVERAGE(OFFSET($H$3,0,0,'Données projet'!$E$9+1,1))</f>
        <v>550.39292625253665</v>
      </c>
      <c r="T139" s="62">
        <f t="shared" si="142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4</v>
      </c>
      <c r="AI139" s="14">
        <f>IF('Données projet'!$A$62&gt;35,AI138+AH139-AQ138,IF(A139&lt;'Données projet'!$A$62,$AF$205^A139,IF(A139='Données projet'!$A$62,'Données projet'!$B$62,AI138+AH139-AQ138)))</f>
        <v>326.99999999999955</v>
      </c>
      <c r="AJ139" s="14">
        <f>AI139*VLOOKUP('Données projet'!$B$10,Paramètres!$A$1:$I$89,3,0)*VLOOKUP('Données projet'!$B$10,Paramètres!$A$1:$I$89,5,0)</f>
        <v>331.57799999999952</v>
      </c>
      <c r="AK139" s="14">
        <f t="shared" si="143"/>
        <v>77.757375944425789</v>
      </c>
      <c r="AL139" s="22">
        <f t="shared" si="112"/>
        <v>712.92577976987411</v>
      </c>
      <c r="AM139" s="62">
        <f t="shared" si="113"/>
        <v>997.77531016475928</v>
      </c>
      <c r="AN139" s="62">
        <f ca="1">AVERAGE(OFFSET($AM$3,0,0,'Données projet'!$E$10+1,1))-AVERAGE(OFFSET($H$3,0,0,'Données projet'!$E$10+1,1))</f>
        <v>606.55142836375308</v>
      </c>
      <c r="AO139" s="62">
        <f t="shared" si="144"/>
        <v>325.72635759450861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5.1159076974727213E-13</v>
      </c>
      <c r="BE139" s="14">
        <f>BD139*VLOOKUP('Données projet'!$B$11,Paramètres!$A$1:$I$89,3,0)*VLOOKUP('Données projet'!$B$11,Paramètres!$A$1:$I$89,5,0)</f>
        <v>5.3471467253984886E-13</v>
      </c>
      <c r="BF139" s="14">
        <f t="shared" si="145"/>
        <v>6.6087717628803869E-12</v>
      </c>
      <c r="BG139" s="22">
        <f t="shared" si="115"/>
        <v>1.244157220835691E-11</v>
      </c>
      <c r="BH139" s="62">
        <f t="shared" si="116"/>
        <v>284.84953039489767</v>
      </c>
      <c r="BI139" s="62">
        <f ca="1">AVERAGE(OFFSET($BH$3,0,0,'Données projet'!$E$11+1,1))-AVERAGE(OFFSET($H$3,0,0,'Données projet'!$E$11+1,1))</f>
        <v>635.13577238794812</v>
      </c>
      <c r="BJ139" s="62">
        <f t="shared" si="146"/>
        <v>374.35810525172019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-6.8212102632969618E-13</v>
      </c>
      <c r="BZ139" s="14">
        <f>BY139*VLOOKUP('Données projet'!$B$12,Paramètres!$A$1:$I$89,3,0)*VLOOKUP('Données projet'!$B$12,Paramètres!$A$1:$I$89,5,0)</f>
        <v>-3.0149749363772573E-13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580.02817743695846</v>
      </c>
      <c r="CE139" s="62">
        <f t="shared" si="148"/>
        <v>551.23515633208865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3.979039320256561E-13</v>
      </c>
      <c r="CU139" s="18">
        <f>CT139*VLOOKUP('Données projet'!$B$13,Paramètres!$A$1:$I$89,3,0)*VLOOKUP('Données projet'!$B$13,Paramètres!$A$1:$I$89,5,0)</f>
        <v>1.8621904018800707E-13</v>
      </c>
      <c r="CV139" s="14">
        <f t="shared" si="149"/>
        <v>2.6022279988572714E-12</v>
      </c>
      <c r="CW139" s="22">
        <f t="shared" si="121"/>
        <v>4.8565452596705266E-12</v>
      </c>
      <c r="CX139" s="62">
        <f t="shared" si="122"/>
        <v>284.84953039489005</v>
      </c>
      <c r="CY139" s="62">
        <f ca="1">AVERAGE(OFFSET($CX$3,0,0,'Données projet'!$E$13+1,1))-AVERAGE(OFFSET($H$3,0,0,'Données projet'!$E$13+1,1))</f>
        <v>321.05795935196863</v>
      </c>
      <c r="CZ139" s="62">
        <f t="shared" si="150"/>
        <v>209.59551322748908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4</v>
      </c>
      <c r="DO139" s="13">
        <f>IF('Données projet'!$A$166&gt;35,DO138+DN139-DW138,IF(A139&lt;'Données projet'!$A$166,$DL$205^A139,IF(A139='Données projet'!$A$166,'Données projet'!$B$166,DO138+DN139-DW138)))</f>
        <v>326.99999999999955</v>
      </c>
      <c r="DP139" s="18">
        <f>DO139*VLOOKUP('Données projet'!$B$14,Paramètres!$A$1:$I$89,3,0)*VLOOKUP('Données projet'!$B$14,Paramètres!$A$1:$I$89,5,0)</f>
        <v>351.98279999999954</v>
      </c>
      <c r="DQ139" s="14">
        <f t="shared" si="151"/>
        <v>81.970656019154077</v>
      </c>
      <c r="DR139" s="22">
        <f t="shared" si="124"/>
        <v>755.8022692333592</v>
      </c>
      <c r="DS139" s="62">
        <f t="shared" si="125"/>
        <v>1040.6517996282444</v>
      </c>
      <c r="DT139" s="62">
        <f ca="1">AVERAGE(OFFSET($DS$3,0,0,'Données projet'!$E$14+1,1))-AVERAGE(OFFSET($H$3,0,0,'Données projet'!$E$14+1,1))</f>
        <v>638.58602907610805</v>
      </c>
      <c r="DU139" s="62">
        <f t="shared" si="152"/>
        <v>341.9250949809848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3.3992364478763198E-14</v>
      </c>
      <c r="EL139" s="14">
        <f t="shared" si="153"/>
        <v>5.790027782444094E-13</v>
      </c>
      <c r="EM139" s="22">
        <f t="shared" si="127"/>
        <v>1.0676332069095257E-12</v>
      </c>
      <c r="EN139" s="62">
        <f t="shared" si="128"/>
        <v>284.8495303948863</v>
      </c>
      <c r="EO139" s="62">
        <f ca="1">AVERAGE(OFFSET($EN$3,0,0,'Données projet'!$E$15+1,1))-AVERAGE(OFFSET($H$3,0,0,'Données projet'!$E$15+1,1))</f>
        <v>223.57443551076992</v>
      </c>
      <c r="EP139" s="62">
        <f t="shared" si="154"/>
        <v>382.12751862619427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3.2614497882553604</v>
      </c>
      <c r="EW139" s="23">
        <f>EXP(-LN(2)/25)*EW138+(1-EXP(-LN(2)/25))/(LN(2)/25)*Calculateur!ER139*Calculateur!ET139*VLOOKUP('Données projet'!$B$15,Paramètres!$A$1:$I$89,3,0)*0.475*44/12</f>
        <v>0.73455749796094716</v>
      </c>
      <c r="EX139" s="23">
        <f>EXP(-LN(2)/2)*EX138+(1-EXP(-LN(2)/2))/(LN(2)/2)*ER139*EU139*VLOOKUP('Données projet'!$B$15,Paramètres!$A$1:$I$89,3,0)*0.475*44/12</f>
        <v>1.1254994140738136E-15</v>
      </c>
      <c r="EY139" s="24">
        <f t="shared" si="129"/>
        <v>3.996007286216309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1.1879166666666663</v>
      </c>
      <c r="FE139" s="13">
        <f>IF('Données projet'!$A$218&gt;35,FE138+FD139-FM138,IF(A139&lt;'Données projet'!$A$218,$FB$205^A139,IF(A139='Données projet'!$A$218,'Données projet'!$B$218,FE138+FD139-FM138)))</f>
        <v>122.66083333333331</v>
      </c>
      <c r="FF139" s="18">
        <f>FE139*VLOOKUP('Données projet'!$B$16,Paramètres!$A$1:$I$89,3,0)*VLOOKUP('Données projet'!$B$16,Paramètres!$A$1:$I$89,5,0)</f>
        <v>141.30527999999995</v>
      </c>
      <c r="FG139" s="14">
        <f t="shared" si="155"/>
        <v>36.595865117852185</v>
      </c>
      <c r="FH139" s="22">
        <f t="shared" si="130"/>
        <v>309.84449441359243</v>
      </c>
      <c r="FI139" s="62">
        <f t="shared" si="131"/>
        <v>594.69402480847771</v>
      </c>
      <c r="FJ139" s="62">
        <f ca="1">AVERAGE(OFFSET($FI$3,0,0,'Données projet'!$E$16+1,1))-AVERAGE(OFFSET($H$3,0,0,'Données projet'!$E$16+1,1))</f>
        <v>283.95543623515323</v>
      </c>
      <c r="FK139" s="62">
        <f t="shared" si="156"/>
        <v>196.96883829830929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5.6843418860808015E-14</v>
      </c>
      <c r="GA139" s="18">
        <f>FZ139*VLOOKUP('Données projet'!$B$17,Paramètres!$A$1:$I$89,3,0)*VLOOKUP('Données projet'!$B$17,Paramètres!$A$1:$I$89,5,0)</f>
        <v>3.3992364478763198E-14</v>
      </c>
      <c r="GB139" s="14">
        <f t="shared" si="157"/>
        <v>5.790027782444094E-13</v>
      </c>
      <c r="GC139" s="22">
        <f t="shared" si="133"/>
        <v>1.0676332069095257E-12</v>
      </c>
      <c r="GD139" s="62">
        <f t="shared" si="134"/>
        <v>284.8495303948863</v>
      </c>
      <c r="GE139" s="62">
        <f ca="1">AVERAGE(OFFSET($GD$3,0,0,'Données projet'!$E$17+1,1))-AVERAGE(OFFSET($H$3,0,0,'Données projet'!$E$17+1,1))</f>
        <v>223.57443551076992</v>
      </c>
      <c r="GF139" s="62">
        <f t="shared" si="158"/>
        <v>382.12751862619427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3.2614497882553604</v>
      </c>
      <c r="GM139" s="23">
        <f>EXP(-LN(2)/25)*GM138+(1-EXP(-LN(2)/25))/(LN(2)/25)*Calculateur!GH139*Calculateur!GJ139*VLOOKUP('Données projet'!$B$17,Paramètres!$A$1:$I$89,3,0)*0.475*44/12</f>
        <v>0.73455749796094716</v>
      </c>
      <c r="GN139" s="23">
        <f>EXP(-LN(2)/2)*GN138+(1-EXP(-LN(2)/2))/(LN(2)/2)*GH139*GK139*VLOOKUP('Données projet'!$B$17,Paramètres!$A$1:$I$89,3,0)*0.475*44/12</f>
        <v>1.1254994140738136E-15</v>
      </c>
      <c r="GO139" s="23">
        <f t="shared" si="135"/>
        <v>3.996007286216309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5.8013801410682806</v>
      </c>
      <c r="GU139" s="13">
        <f>IF('Données projet'!$A$270&gt;35,GU138+GT139-HC138,IF(A139&lt;'Données projet'!$A$270,$GR$205^A139,IF(A139='Données projet'!$A$270,'Données projet'!$B$270,GU138+GT139-HC138)))</f>
        <v>520.83678554763583</v>
      </c>
      <c r="GV139" s="18">
        <f>GU139*VLOOKUP('Données projet'!$B$18,Paramètres!$A$1:$I$89,3,0)*VLOOKUP('Données projet'!$B$18,Paramètres!$A$1:$I$89,5,0)</f>
        <v>568.75376981801833</v>
      </c>
      <c r="GW139" s="14">
        <f t="shared" si="159"/>
        <v>125.25733461237729</v>
      </c>
      <c r="GX139" s="22">
        <f t="shared" si="136"/>
        <v>1208.7360068829387</v>
      </c>
      <c r="GY139" s="62">
        <f t="shared" si="137"/>
        <v>1493.585537277824</v>
      </c>
      <c r="GZ139" s="62">
        <f ca="1">AVERAGE(OFFSET($GY$3,0,0,'Données projet'!$E$18+1,1))-AVERAGE(OFFSET($H$3,0,0,'Données projet'!$E$18+1,1))</f>
        <v>754.33260592777049</v>
      </c>
      <c r="HA139" s="62">
        <f t="shared" si="160"/>
        <v>250.97643915279005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9">
        <f t="shared" si="110"/>
        <v>183.33333333333334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4</v>
      </c>
      <c r="N140" s="14">
        <f>IF('Données projet'!$A$36&gt;35,N139+M140-V139,IF(A140&lt;'Données projet'!$A$36,$K$205^A140,IF(A140='Données projet'!$A$36,'Données projet'!$B$36,N139+M140-V139)))</f>
        <v>330.99999999999955</v>
      </c>
      <c r="O140" s="14">
        <f>N140*VLOOKUP('Données projet'!$B$9,Paramètres!$A$1:$I$89,3,0)*VLOOKUP('Données projet'!$B$9,Paramètres!$A$1:$I$89,5,0)</f>
        <v>299.48879999999957</v>
      </c>
      <c r="P140" s="14">
        <f t="shared" si="141"/>
        <v>71.069285685467236</v>
      </c>
      <c r="Q140" s="22">
        <f t="shared" si="108"/>
        <v>645.38866590218811</v>
      </c>
      <c r="R140" s="62">
        <f t="shared" si="109"/>
        <v>930.38537131111343</v>
      </c>
      <c r="S140" s="62">
        <f ca="1">AVERAGE(OFFSET($R$3,0,0,'Données projet'!$E$9+1,1))-AVERAGE(OFFSET($H$3,0,0,'Données projet'!$E$9+1,1))</f>
        <v>550.39292625253665</v>
      </c>
      <c r="T140" s="62">
        <f t="shared" si="142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4</v>
      </c>
      <c r="AI140" s="14">
        <f>IF('Données projet'!$A$62&gt;35,AI139+AH140-AQ139,IF(A140&lt;'Données projet'!$A$62,$AF$205^A140,IF(A140='Données projet'!$A$62,'Données projet'!$B$62,AI139+AH140-AQ139)))</f>
        <v>330.99999999999955</v>
      </c>
      <c r="AJ140" s="14">
        <f>AI140*VLOOKUP('Données projet'!$B$10,Paramètres!$A$1:$I$89,3,0)*VLOOKUP('Données projet'!$B$10,Paramètres!$A$1:$I$89,5,0)</f>
        <v>335.63399999999956</v>
      </c>
      <c r="AK140" s="14">
        <f t="shared" si="143"/>
        <v>78.597225787708567</v>
      </c>
      <c r="AL140" s="22">
        <f t="shared" si="112"/>
        <v>721.45271824692497</v>
      </c>
      <c r="AM140" s="62">
        <f t="shared" si="113"/>
        <v>1006.4494236558503</v>
      </c>
      <c r="AN140" s="62">
        <f ca="1">AVERAGE(OFFSET($AM$3,0,0,'Données projet'!$E$10+1,1))-AVERAGE(OFFSET($H$3,0,0,'Données projet'!$E$10+1,1))</f>
        <v>606.55142836375308</v>
      </c>
      <c r="AO140" s="62">
        <f t="shared" si="144"/>
        <v>325.72635759450861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5.1159076974727213E-13</v>
      </c>
      <c r="BE140" s="14">
        <f>BD140*VLOOKUP('Données projet'!$B$11,Paramètres!$A$1:$I$89,3,0)*VLOOKUP('Données projet'!$B$11,Paramètres!$A$1:$I$89,5,0)</f>
        <v>5.3471467253984886E-13</v>
      </c>
      <c r="BF140" s="14">
        <f t="shared" si="145"/>
        <v>6.6087717628803869E-12</v>
      </c>
      <c r="BG140" s="22">
        <f t="shared" si="115"/>
        <v>1.244157220835691E-11</v>
      </c>
      <c r="BH140" s="62">
        <f t="shared" si="116"/>
        <v>284.99670540893783</v>
      </c>
      <c r="BI140" s="62">
        <f ca="1">AVERAGE(OFFSET($BH$3,0,0,'Données projet'!$E$11+1,1))-AVERAGE(OFFSET($H$3,0,0,'Données projet'!$E$11+1,1))</f>
        <v>635.13577238794812</v>
      </c>
      <c r="BJ140" s="62">
        <f t="shared" si="146"/>
        <v>374.35810525172019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-6.8212102632969618E-13</v>
      </c>
      <c r="BZ140" s="14">
        <f>BY140*VLOOKUP('Données projet'!$B$12,Paramètres!$A$1:$I$89,3,0)*VLOOKUP('Données projet'!$B$12,Paramètres!$A$1:$I$89,5,0)</f>
        <v>-3.0149749363772573E-13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580.02817743695846</v>
      </c>
      <c r="CE140" s="62">
        <f t="shared" si="148"/>
        <v>551.23515633208865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3.979039320256561E-13</v>
      </c>
      <c r="CU140" s="18">
        <f>CT140*VLOOKUP('Données projet'!$B$13,Paramètres!$A$1:$I$89,3,0)*VLOOKUP('Données projet'!$B$13,Paramètres!$A$1:$I$89,5,0)</f>
        <v>1.8621904018800707E-13</v>
      </c>
      <c r="CV140" s="14">
        <f t="shared" si="149"/>
        <v>2.6022279988572714E-12</v>
      </c>
      <c r="CW140" s="22">
        <f t="shared" si="121"/>
        <v>4.8565452596705266E-12</v>
      </c>
      <c r="CX140" s="62">
        <f t="shared" si="122"/>
        <v>284.99670540893021</v>
      </c>
      <c r="CY140" s="62">
        <f ca="1">AVERAGE(OFFSET($CX$3,0,0,'Données projet'!$E$13+1,1))-AVERAGE(OFFSET($H$3,0,0,'Données projet'!$E$13+1,1))</f>
        <v>321.05795935196863</v>
      </c>
      <c r="CZ140" s="62">
        <f t="shared" si="150"/>
        <v>209.59551322748908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4</v>
      </c>
      <c r="DO140" s="13">
        <f>IF('Données projet'!$A$166&gt;35,DO139+DN140-DW139,IF(A140&lt;'Données projet'!$A$166,$DL$205^A140,IF(A140='Données projet'!$A$166,'Données projet'!$B$166,DO139+DN140-DW139)))</f>
        <v>330.99999999999955</v>
      </c>
      <c r="DP140" s="18">
        <f>DO140*VLOOKUP('Données projet'!$B$14,Paramètres!$A$1:$I$89,3,0)*VLOOKUP('Données projet'!$B$14,Paramètres!$A$1:$I$89,5,0)</f>
        <v>356.28839999999951</v>
      </c>
      <c r="DQ140" s="14">
        <f t="shared" si="151"/>
        <v>82.856013090111247</v>
      </c>
      <c r="DR140" s="22">
        <f t="shared" si="124"/>
        <v>764.84318613194307</v>
      </c>
      <c r="DS140" s="62">
        <f t="shared" si="125"/>
        <v>1049.8398915408684</v>
      </c>
      <c r="DT140" s="62">
        <f ca="1">AVERAGE(OFFSET($DS$3,0,0,'Données projet'!$E$14+1,1))-AVERAGE(OFFSET($H$3,0,0,'Données projet'!$E$14+1,1))</f>
        <v>638.58602907610805</v>
      </c>
      <c r="DU140" s="62">
        <f t="shared" si="152"/>
        <v>341.9250949809848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3.3992364478763198E-14</v>
      </c>
      <c r="EL140" s="14">
        <f t="shared" si="153"/>
        <v>5.790027782444094E-13</v>
      </c>
      <c r="EM140" s="22">
        <f t="shared" si="127"/>
        <v>1.0676332069095257E-12</v>
      </c>
      <c r="EN140" s="62">
        <f t="shared" si="128"/>
        <v>284.99670540892646</v>
      </c>
      <c r="EO140" s="62">
        <f ca="1">AVERAGE(OFFSET($EN$3,0,0,'Données projet'!$E$15+1,1))-AVERAGE(OFFSET($H$3,0,0,'Données projet'!$E$15+1,1))</f>
        <v>223.57443551076992</v>
      </c>
      <c r="EP140" s="62">
        <f t="shared" si="154"/>
        <v>382.12751862619427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3.1974947471956177</v>
      </c>
      <c r="EW140" s="23">
        <f>EXP(-LN(2)/25)*EW139+(1-EXP(-LN(2)/25))/(LN(2)/25)*Calculateur!ER140*Calculateur!ET140*VLOOKUP('Données projet'!$B$15,Paramètres!$A$1:$I$89,3,0)*0.475*44/12</f>
        <v>0.71447098455050506</v>
      </c>
      <c r="EX140" s="23">
        <f>EXP(-LN(2)/2)*EX139+(1-EXP(-LN(2)/2))/(LN(2)/2)*ER140*EU140*VLOOKUP('Données projet'!$B$15,Paramètres!$A$1:$I$89,3,0)*0.475*44/12</f>
        <v>7.9584826791307954E-16</v>
      </c>
      <c r="EY140" s="24">
        <f t="shared" si="129"/>
        <v>3.9119657317461236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1.1879166666666663</v>
      </c>
      <c r="FE140" s="13">
        <f>IF('Données projet'!$A$218&gt;35,FE139+FD140-FM139,IF(A140&lt;'Données projet'!$A$218,$FB$205^A140,IF(A140='Données projet'!$A$218,'Données projet'!$B$218,FE139+FD140-FM139)))</f>
        <v>123.84874999999998</v>
      </c>
      <c r="FF140" s="18">
        <f>FE140*VLOOKUP('Données projet'!$B$16,Paramètres!$A$1:$I$89,3,0)*VLOOKUP('Données projet'!$B$16,Paramètres!$A$1:$I$89,5,0)</f>
        <v>142.67375999999996</v>
      </c>
      <c r="FG140" s="14">
        <f t="shared" si="155"/>
        <v>36.908850325906613</v>
      </c>
      <c r="FH140" s="22">
        <f t="shared" si="130"/>
        <v>312.77304631762058</v>
      </c>
      <c r="FI140" s="62">
        <f t="shared" si="131"/>
        <v>597.76975172654602</v>
      </c>
      <c r="FJ140" s="62">
        <f ca="1">AVERAGE(OFFSET($FI$3,0,0,'Données projet'!$E$16+1,1))-AVERAGE(OFFSET($H$3,0,0,'Données projet'!$E$16+1,1))</f>
        <v>283.95543623515323</v>
      </c>
      <c r="FK140" s="62">
        <f t="shared" si="156"/>
        <v>196.96883829830929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5.6843418860808015E-14</v>
      </c>
      <c r="GA140" s="18">
        <f>FZ140*VLOOKUP('Données projet'!$B$17,Paramètres!$A$1:$I$89,3,0)*VLOOKUP('Données projet'!$B$17,Paramètres!$A$1:$I$89,5,0)</f>
        <v>3.3992364478763198E-14</v>
      </c>
      <c r="GB140" s="14">
        <f t="shared" si="157"/>
        <v>5.790027782444094E-13</v>
      </c>
      <c r="GC140" s="22">
        <f t="shared" si="133"/>
        <v>1.0676332069095257E-12</v>
      </c>
      <c r="GD140" s="62">
        <f t="shared" si="134"/>
        <v>284.99670540892646</v>
      </c>
      <c r="GE140" s="62">
        <f ca="1">AVERAGE(OFFSET($GD$3,0,0,'Données projet'!$E$17+1,1))-AVERAGE(OFFSET($H$3,0,0,'Données projet'!$E$17+1,1))</f>
        <v>223.57443551076992</v>
      </c>
      <c r="GF140" s="62">
        <f t="shared" si="158"/>
        <v>382.12751862619427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3.1974947471956177</v>
      </c>
      <c r="GM140" s="23">
        <f>EXP(-LN(2)/25)*GM139+(1-EXP(-LN(2)/25))/(LN(2)/25)*Calculateur!GH140*Calculateur!GJ140*VLOOKUP('Données projet'!$B$17,Paramètres!$A$1:$I$89,3,0)*0.475*44/12</f>
        <v>0.71447098455050506</v>
      </c>
      <c r="GN140" s="23">
        <f>EXP(-LN(2)/2)*GN139+(1-EXP(-LN(2)/2))/(LN(2)/2)*GH140*GK140*VLOOKUP('Données projet'!$B$17,Paramètres!$A$1:$I$89,3,0)*0.475*44/12</f>
        <v>7.9584826791307954E-16</v>
      </c>
      <c r="GO140" s="23">
        <f t="shared" si="135"/>
        <v>3.9119657317461236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5.8013801410682806</v>
      </c>
      <c r="GU140" s="13">
        <f>IF('Données projet'!$A$270&gt;35,GU139+GT140-HC139,IF(A140&lt;'Données projet'!$A$270,$GR$205^A140,IF(A140='Données projet'!$A$270,'Données projet'!$B$270,GU139+GT140-HC139)))</f>
        <v>526.63816568870413</v>
      </c>
      <c r="GV140" s="18">
        <f>GU140*VLOOKUP('Données projet'!$B$18,Paramètres!$A$1:$I$89,3,0)*VLOOKUP('Données projet'!$B$18,Paramètres!$A$1:$I$89,5,0)</f>
        <v>575.08887693206486</v>
      </c>
      <c r="GW140" s="14">
        <f t="shared" si="159"/>
        <v>126.48932715468054</v>
      </c>
      <c r="GX140" s="22">
        <f t="shared" si="136"/>
        <v>1221.9153721177481</v>
      </c>
      <c r="GY140" s="62">
        <f t="shared" si="137"/>
        <v>1506.9120775266736</v>
      </c>
      <c r="GZ140" s="62">
        <f ca="1">AVERAGE(OFFSET($GY$3,0,0,'Données projet'!$E$18+1,1))-AVERAGE(OFFSET($H$3,0,0,'Données projet'!$E$18+1,1))</f>
        <v>754.33260592777049</v>
      </c>
      <c r="HA140" s="62">
        <f t="shared" si="160"/>
        <v>250.97643915279005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9">
        <f t="shared" si="110"/>
        <v>183.33333333333334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4</v>
      </c>
      <c r="N141" s="14">
        <f>IF('Données projet'!$A$36&gt;35,N140+M141-V140,IF(A141&lt;'Données projet'!$A$36,$K$205^A141,IF(A141='Données projet'!$A$36,'Données projet'!$B$36,N140+M141-V140)))</f>
        <v>334.99999999999955</v>
      </c>
      <c r="O141" s="14">
        <f>N141*VLOOKUP('Données projet'!$B$9,Paramètres!$A$1:$I$89,3,0)*VLOOKUP('Données projet'!$B$9,Paramètres!$A$1:$I$89,5,0)</f>
        <v>303.10799999999961</v>
      </c>
      <c r="P141" s="14">
        <f t="shared" si="141"/>
        <v>71.827628304517162</v>
      </c>
      <c r="Q141" s="22">
        <f t="shared" si="108"/>
        <v>653.0128859637</v>
      </c>
      <c r="R141" s="62">
        <f t="shared" si="109"/>
        <v>938.15421322920588</v>
      </c>
      <c r="S141" s="62">
        <f ca="1">AVERAGE(OFFSET($R$3,0,0,'Données projet'!$E$9+1,1))-AVERAGE(OFFSET($H$3,0,0,'Données projet'!$E$9+1,1))</f>
        <v>550.39292625253665</v>
      </c>
      <c r="T141" s="62">
        <f t="shared" si="142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4</v>
      </c>
      <c r="AI141" s="14">
        <f>IF('Données projet'!$A$62&gt;35,AI140+AH141-AQ140,IF(A141&lt;'Données projet'!$A$62,$AF$205^A141,IF(A141='Données projet'!$A$62,'Données projet'!$B$62,AI140+AH141-AQ140)))</f>
        <v>334.99999999999955</v>
      </c>
      <c r="AJ141" s="14">
        <f>AI141*VLOOKUP('Données projet'!$B$10,Paramètres!$A$1:$I$89,3,0)*VLOOKUP('Données projet'!$B$10,Paramètres!$A$1:$I$89,5,0)</f>
        <v>339.68999999999954</v>
      </c>
      <c r="AK141" s="14">
        <f t="shared" si="143"/>
        <v>79.435895059237467</v>
      </c>
      <c r="AL141" s="22">
        <f t="shared" si="112"/>
        <v>729.97760056150446</v>
      </c>
      <c r="AM141" s="62">
        <f t="shared" si="113"/>
        <v>1015.1189278270103</v>
      </c>
      <c r="AN141" s="62">
        <f ca="1">AVERAGE(OFFSET($AM$3,0,0,'Données projet'!$E$10+1,1))-AVERAGE(OFFSET($H$3,0,0,'Données projet'!$E$10+1,1))</f>
        <v>606.55142836375308</v>
      </c>
      <c r="AO141" s="62">
        <f t="shared" si="144"/>
        <v>325.72635759450861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5.1159076974727213E-13</v>
      </c>
      <c r="BE141" s="14">
        <f>BD141*VLOOKUP('Données projet'!$B$11,Paramètres!$A$1:$I$89,3,0)*VLOOKUP('Données projet'!$B$11,Paramètres!$A$1:$I$89,5,0)</f>
        <v>5.3471467253984886E-13</v>
      </c>
      <c r="BF141" s="14">
        <f t="shared" si="145"/>
        <v>6.6087717628803869E-12</v>
      </c>
      <c r="BG141" s="22">
        <f t="shared" si="115"/>
        <v>1.244157220835691E-11</v>
      </c>
      <c r="BH141" s="62">
        <f t="shared" si="116"/>
        <v>285.14132726551838</v>
      </c>
      <c r="BI141" s="62">
        <f ca="1">AVERAGE(OFFSET($BH$3,0,0,'Données projet'!$E$11+1,1))-AVERAGE(OFFSET($H$3,0,0,'Données projet'!$E$11+1,1))</f>
        <v>635.13577238794812</v>
      </c>
      <c r="BJ141" s="62">
        <f t="shared" si="146"/>
        <v>374.35810525172019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-6.8212102632969618E-13</v>
      </c>
      <c r="BZ141" s="14">
        <f>BY141*VLOOKUP('Données projet'!$B$12,Paramètres!$A$1:$I$89,3,0)*VLOOKUP('Données projet'!$B$12,Paramètres!$A$1:$I$89,5,0)</f>
        <v>-3.0149749363772573E-13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580.02817743695846</v>
      </c>
      <c r="CE141" s="62">
        <f t="shared" si="148"/>
        <v>551.23515633208865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3.979039320256561E-13</v>
      </c>
      <c r="CU141" s="18">
        <f>CT141*VLOOKUP('Données projet'!$B$13,Paramètres!$A$1:$I$89,3,0)*VLOOKUP('Données projet'!$B$13,Paramètres!$A$1:$I$89,5,0)</f>
        <v>1.8621904018800707E-13</v>
      </c>
      <c r="CV141" s="14">
        <f t="shared" si="149"/>
        <v>2.6022279988572714E-12</v>
      </c>
      <c r="CW141" s="22">
        <f t="shared" si="121"/>
        <v>4.8565452596705266E-12</v>
      </c>
      <c r="CX141" s="62">
        <f t="shared" si="122"/>
        <v>285.14132726551077</v>
      </c>
      <c r="CY141" s="62">
        <f ca="1">AVERAGE(OFFSET($CX$3,0,0,'Données projet'!$E$13+1,1))-AVERAGE(OFFSET($H$3,0,0,'Données projet'!$E$13+1,1))</f>
        <v>321.05795935196863</v>
      </c>
      <c r="CZ141" s="62">
        <f t="shared" si="150"/>
        <v>209.59551322748908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4</v>
      </c>
      <c r="DO141" s="13">
        <f>IF('Données projet'!$A$166&gt;35,DO140+DN141-DW140,IF(A141&lt;'Données projet'!$A$166,$DL$205^A141,IF(A141='Données projet'!$A$166,'Données projet'!$B$166,DO140+DN141-DW140)))</f>
        <v>334.99999999999955</v>
      </c>
      <c r="DP141" s="18">
        <f>DO141*VLOOKUP('Données projet'!$B$14,Paramètres!$A$1:$I$89,3,0)*VLOOKUP('Données projet'!$B$14,Paramètres!$A$1:$I$89,5,0)</f>
        <v>360.59399999999948</v>
      </c>
      <c r="DQ141" s="14">
        <f t="shared" si="151"/>
        <v>83.740125620084783</v>
      </c>
      <c r="DR141" s="22">
        <f t="shared" si="124"/>
        <v>773.88193545498007</v>
      </c>
      <c r="DS141" s="62">
        <f t="shared" si="125"/>
        <v>1059.0232627204859</v>
      </c>
      <c r="DT141" s="62">
        <f ca="1">AVERAGE(OFFSET($DS$3,0,0,'Données projet'!$E$14+1,1))-AVERAGE(OFFSET($H$3,0,0,'Données projet'!$E$14+1,1))</f>
        <v>638.58602907610805</v>
      </c>
      <c r="DU141" s="62">
        <f t="shared" si="152"/>
        <v>341.9250949809848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3.3992364478763198E-14</v>
      </c>
      <c r="EL141" s="14">
        <f t="shared" si="153"/>
        <v>5.790027782444094E-13</v>
      </c>
      <c r="EM141" s="22">
        <f t="shared" si="127"/>
        <v>1.0676332069095257E-12</v>
      </c>
      <c r="EN141" s="62">
        <f t="shared" si="128"/>
        <v>285.14132726550702</v>
      </c>
      <c r="EO141" s="62">
        <f ca="1">AVERAGE(OFFSET($EN$3,0,0,'Données projet'!$E$15+1,1))-AVERAGE(OFFSET($H$3,0,0,'Données projet'!$E$15+1,1))</f>
        <v>223.57443551076992</v>
      </c>
      <c r="EP141" s="62">
        <f t="shared" si="154"/>
        <v>382.12751862619427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3.1347938254823333</v>
      </c>
      <c r="EW141" s="23">
        <f>EXP(-LN(2)/25)*EW140+(1-EXP(-LN(2)/25))/(LN(2)/25)*Calculateur!ER141*Calculateur!ET141*VLOOKUP('Données projet'!$B$15,Paramètres!$A$1:$I$89,3,0)*0.475*44/12</f>
        <v>0.69493373790557533</v>
      </c>
      <c r="EX141" s="23">
        <f>EXP(-LN(2)/2)*EX140+(1-EXP(-LN(2)/2))/(LN(2)/2)*ER141*EU141*VLOOKUP('Données projet'!$B$15,Paramètres!$A$1:$I$89,3,0)*0.475*44/12</f>
        <v>5.6274970703690678E-16</v>
      </c>
      <c r="EY141" s="24">
        <f t="shared" si="129"/>
        <v>3.8297275633879093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1.1879166666666663</v>
      </c>
      <c r="FE141" s="13">
        <f>IF('Données projet'!$A$218&gt;35,FE140+FD141-FM140,IF(A141&lt;'Données projet'!$A$218,$FB$205^A141,IF(A141='Données projet'!$A$218,'Données projet'!$B$218,FE140+FD141-FM140)))</f>
        <v>125.03666666666665</v>
      </c>
      <c r="FF141" s="18">
        <f>FE141*VLOOKUP('Données projet'!$B$16,Paramètres!$A$1:$I$89,3,0)*VLOOKUP('Données projet'!$B$16,Paramètres!$A$1:$I$89,5,0)</f>
        <v>144.04223999999996</v>
      </c>
      <c r="FG141" s="14">
        <f t="shared" si="155"/>
        <v>37.221486284480982</v>
      </c>
      <c r="FH141" s="22">
        <f t="shared" si="130"/>
        <v>315.70098994547101</v>
      </c>
      <c r="FI141" s="62">
        <f t="shared" si="131"/>
        <v>600.84231721097694</v>
      </c>
      <c r="FJ141" s="62">
        <f ca="1">AVERAGE(OFFSET($FI$3,0,0,'Données projet'!$E$16+1,1))-AVERAGE(OFFSET($H$3,0,0,'Données projet'!$E$16+1,1))</f>
        <v>283.95543623515323</v>
      </c>
      <c r="FK141" s="62">
        <f t="shared" si="156"/>
        <v>196.96883829830929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5.6843418860808015E-14</v>
      </c>
      <c r="GA141" s="18">
        <f>FZ141*VLOOKUP('Données projet'!$B$17,Paramètres!$A$1:$I$89,3,0)*VLOOKUP('Données projet'!$B$17,Paramètres!$A$1:$I$89,5,0)</f>
        <v>3.3992364478763198E-14</v>
      </c>
      <c r="GB141" s="14">
        <f t="shared" si="157"/>
        <v>5.790027782444094E-13</v>
      </c>
      <c r="GC141" s="22">
        <f t="shared" si="133"/>
        <v>1.0676332069095257E-12</v>
      </c>
      <c r="GD141" s="62">
        <f t="shared" si="134"/>
        <v>285.14132726550702</v>
      </c>
      <c r="GE141" s="62">
        <f ca="1">AVERAGE(OFFSET($GD$3,0,0,'Données projet'!$E$17+1,1))-AVERAGE(OFFSET($H$3,0,0,'Données projet'!$E$17+1,1))</f>
        <v>223.57443551076992</v>
      </c>
      <c r="GF141" s="62">
        <f t="shared" si="158"/>
        <v>382.12751862619427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3.1347938254823333</v>
      </c>
      <c r="GM141" s="23">
        <f>EXP(-LN(2)/25)*GM140+(1-EXP(-LN(2)/25))/(LN(2)/25)*Calculateur!GH141*Calculateur!GJ141*VLOOKUP('Données projet'!$B$17,Paramètres!$A$1:$I$89,3,0)*0.475*44/12</f>
        <v>0.69493373790557533</v>
      </c>
      <c r="GN141" s="23">
        <f>EXP(-LN(2)/2)*GN140+(1-EXP(-LN(2)/2))/(LN(2)/2)*GH141*GK141*VLOOKUP('Données projet'!$B$17,Paramètres!$A$1:$I$89,3,0)*0.475*44/12</f>
        <v>5.6274970703690678E-16</v>
      </c>
      <c r="GO141" s="23">
        <f t="shared" si="135"/>
        <v>3.8297275633879093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5.8013801410682806</v>
      </c>
      <c r="GU141" s="13">
        <f>IF('Données projet'!$A$270&gt;35,GU140+GT141-HC140,IF(A141&lt;'Données projet'!$A$270,$GR$205^A141,IF(A141='Données projet'!$A$270,'Données projet'!$B$270,GU140+GT141-HC140)))</f>
        <v>532.43954582977244</v>
      </c>
      <c r="GV141" s="18">
        <f>GU141*VLOOKUP('Données projet'!$B$18,Paramètres!$A$1:$I$89,3,0)*VLOOKUP('Données projet'!$B$18,Paramètres!$A$1:$I$89,5,0)</f>
        <v>581.42398404611151</v>
      </c>
      <c r="GW141" s="14">
        <f t="shared" si="159"/>
        <v>127.71974095580815</v>
      </c>
      <c r="GX141" s="22">
        <f t="shared" si="136"/>
        <v>1235.0919877116767</v>
      </c>
      <c r="GY141" s="62">
        <f t="shared" si="137"/>
        <v>1520.2333149771825</v>
      </c>
      <c r="GZ141" s="62">
        <f ca="1">AVERAGE(OFFSET($GY$3,0,0,'Données projet'!$E$18+1,1))-AVERAGE(OFFSET($H$3,0,0,'Données projet'!$E$18+1,1))</f>
        <v>754.33260592777049</v>
      </c>
      <c r="HA141" s="62">
        <f t="shared" si="160"/>
        <v>250.97643915279005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9">
        <f t="shared" si="110"/>
        <v>183.33333333333334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4</v>
      </c>
      <c r="N142" s="14">
        <f>IF('Données projet'!$A$36&gt;35,N141+M142-V141,IF(A142&lt;'Données projet'!$A$36,$K$205^A142,IF(A142='Données projet'!$A$36,'Données projet'!$B$36,N141+M142-V141)))</f>
        <v>338.99999999999955</v>
      </c>
      <c r="O142" s="14">
        <f>N142*VLOOKUP('Données projet'!$B$9,Paramètres!$A$1:$I$89,3,0)*VLOOKUP('Données projet'!$B$9,Paramètres!$A$1:$I$89,5,0)</f>
        <v>306.72719999999958</v>
      </c>
      <c r="P142" s="14">
        <f t="shared" si="141"/>
        <v>72.584917646145513</v>
      </c>
      <c r="Q142" s="22">
        <f t="shared" si="108"/>
        <v>660.63527156703606</v>
      </c>
      <c r="R142" s="62">
        <f t="shared" si="109"/>
        <v>945.91871182323689</v>
      </c>
      <c r="S142" s="62">
        <f ca="1">AVERAGE(OFFSET($R$3,0,0,'Données projet'!$E$9+1,1))-AVERAGE(OFFSET($H$3,0,0,'Données projet'!$E$9+1,1))</f>
        <v>550.39292625253665</v>
      </c>
      <c r="T142" s="62">
        <f t="shared" si="142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4</v>
      </c>
      <c r="AI142" s="14">
        <f>IF('Données projet'!$A$62&gt;35,AI141+AH142-AQ141,IF(A142&lt;'Données projet'!$A$62,$AF$205^A142,IF(A142='Données projet'!$A$62,'Données projet'!$B$62,AI141+AH142-AQ141)))</f>
        <v>338.99999999999955</v>
      </c>
      <c r="AJ142" s="14">
        <f>AI142*VLOOKUP('Données projet'!$B$10,Paramètres!$A$1:$I$89,3,0)*VLOOKUP('Données projet'!$B$10,Paramètres!$A$1:$I$89,5,0)</f>
        <v>343.74599999999958</v>
      </c>
      <c r="AK142" s="14">
        <f t="shared" si="143"/>
        <v>80.273399486030371</v>
      </c>
      <c r="AL142" s="22">
        <f t="shared" si="112"/>
        <v>738.50045410483551</v>
      </c>
      <c r="AM142" s="62">
        <f t="shared" si="113"/>
        <v>1023.7838943610363</v>
      </c>
      <c r="AN142" s="62">
        <f ca="1">AVERAGE(OFFSET($AM$3,0,0,'Données projet'!$E$10+1,1))-AVERAGE(OFFSET($H$3,0,0,'Données projet'!$E$10+1,1))</f>
        <v>606.55142836375308</v>
      </c>
      <c r="AO142" s="62">
        <f t="shared" si="144"/>
        <v>325.72635759450861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5.1159076974727213E-13</v>
      </c>
      <c r="BE142" s="14">
        <f>BD142*VLOOKUP('Données projet'!$B$11,Paramètres!$A$1:$I$89,3,0)*VLOOKUP('Données projet'!$B$11,Paramètres!$A$1:$I$89,5,0)</f>
        <v>5.3471467253984886E-13</v>
      </c>
      <c r="BF142" s="14">
        <f t="shared" si="145"/>
        <v>6.6087717628803869E-12</v>
      </c>
      <c r="BG142" s="22">
        <f t="shared" si="115"/>
        <v>1.244157220835691E-11</v>
      </c>
      <c r="BH142" s="62">
        <f t="shared" si="116"/>
        <v>285.28344025621334</v>
      </c>
      <c r="BI142" s="62">
        <f ca="1">AVERAGE(OFFSET($BH$3,0,0,'Données projet'!$E$11+1,1))-AVERAGE(OFFSET($H$3,0,0,'Données projet'!$E$11+1,1))</f>
        <v>635.13577238794812</v>
      </c>
      <c r="BJ142" s="62">
        <f t="shared" si="146"/>
        <v>374.35810525172019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-6.8212102632969618E-13</v>
      </c>
      <c r="BZ142" s="14">
        <f>BY142*VLOOKUP('Données projet'!$B$12,Paramètres!$A$1:$I$89,3,0)*VLOOKUP('Données projet'!$B$12,Paramètres!$A$1:$I$89,5,0)</f>
        <v>-3.0149749363772573E-13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580.02817743695846</v>
      </c>
      <c r="CE142" s="62">
        <f t="shared" si="148"/>
        <v>551.23515633208865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3.979039320256561E-13</v>
      </c>
      <c r="CU142" s="18">
        <f>CT142*VLOOKUP('Données projet'!$B$13,Paramètres!$A$1:$I$89,3,0)*VLOOKUP('Données projet'!$B$13,Paramètres!$A$1:$I$89,5,0)</f>
        <v>1.8621904018800707E-13</v>
      </c>
      <c r="CV142" s="14">
        <f t="shared" si="149"/>
        <v>2.6022279988572714E-12</v>
      </c>
      <c r="CW142" s="22">
        <f t="shared" si="121"/>
        <v>4.8565452596705266E-12</v>
      </c>
      <c r="CX142" s="62">
        <f t="shared" si="122"/>
        <v>285.28344025620572</v>
      </c>
      <c r="CY142" s="62">
        <f ca="1">AVERAGE(OFFSET($CX$3,0,0,'Données projet'!$E$13+1,1))-AVERAGE(OFFSET($H$3,0,0,'Données projet'!$E$13+1,1))</f>
        <v>321.05795935196863</v>
      </c>
      <c r="CZ142" s="62">
        <f t="shared" si="150"/>
        <v>209.59551322748908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4</v>
      </c>
      <c r="DO142" s="13">
        <f>IF('Données projet'!$A$166&gt;35,DO141+DN142-DW141,IF(A142&lt;'Données projet'!$A$166,$DL$205^A142,IF(A142='Données projet'!$A$166,'Données projet'!$B$166,DO141+DN142-DW141)))</f>
        <v>338.99999999999955</v>
      </c>
      <c r="DP142" s="18">
        <f>DO142*VLOOKUP('Données projet'!$B$14,Paramètres!$A$1:$I$89,3,0)*VLOOKUP('Données projet'!$B$14,Paramètres!$A$1:$I$89,5,0)</f>
        <v>364.89959999999945</v>
      </c>
      <c r="DQ142" s="14">
        <f t="shared" si="151"/>
        <v>84.623010188260366</v>
      </c>
      <c r="DR142" s="22">
        <f t="shared" si="124"/>
        <v>782.91854607788582</v>
      </c>
      <c r="DS142" s="62">
        <f t="shared" si="125"/>
        <v>1068.2019863340868</v>
      </c>
      <c r="DT142" s="62">
        <f ca="1">AVERAGE(OFFSET($DS$3,0,0,'Données projet'!$E$14+1,1))-AVERAGE(OFFSET($H$3,0,0,'Données projet'!$E$14+1,1))</f>
        <v>638.58602907610805</v>
      </c>
      <c r="DU142" s="62">
        <f t="shared" si="152"/>
        <v>341.9250949809848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3.3992364478763198E-14</v>
      </c>
      <c r="EL142" s="14">
        <f t="shared" si="153"/>
        <v>5.790027782444094E-13</v>
      </c>
      <c r="EM142" s="22">
        <f t="shared" si="127"/>
        <v>1.0676332069095257E-12</v>
      </c>
      <c r="EN142" s="62">
        <f t="shared" si="128"/>
        <v>285.28344025620197</v>
      </c>
      <c r="EO142" s="62">
        <f ca="1">AVERAGE(OFFSET($EN$3,0,0,'Données projet'!$E$15+1,1))-AVERAGE(OFFSET($H$3,0,0,'Données projet'!$E$15+1,1))</f>
        <v>223.57443551076992</v>
      </c>
      <c r="EP142" s="62">
        <f t="shared" si="154"/>
        <v>382.12751862619427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3.0733224306000606</v>
      </c>
      <c r="EW142" s="23">
        <f>EXP(-LN(2)/25)*EW141+(1-EXP(-LN(2)/25))/(LN(2)/25)*Calculateur!ER142*Calculateur!ET142*VLOOKUP('Données projet'!$B$15,Paramètres!$A$1:$I$89,3,0)*0.475*44/12</f>
        <v>0.67593073829757044</v>
      </c>
      <c r="EX142" s="23">
        <f>EXP(-LN(2)/2)*EX141+(1-EXP(-LN(2)/2))/(LN(2)/2)*ER142*EU142*VLOOKUP('Données projet'!$B$15,Paramètres!$A$1:$I$89,3,0)*0.475*44/12</f>
        <v>3.9792413395653977E-16</v>
      </c>
      <c r="EY142" s="24">
        <f t="shared" si="129"/>
        <v>3.7492531688976314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1.1879166666666663</v>
      </c>
      <c r="FE142" s="13">
        <f>IF('Données projet'!$A$218&gt;35,FE141+FD142-FM141,IF(A142&lt;'Données projet'!$A$218,$FB$205^A142,IF(A142='Données projet'!$A$218,'Données projet'!$B$218,FE141+FD142-FM141)))</f>
        <v>126.22458333333331</v>
      </c>
      <c r="FF142" s="18">
        <f>FE142*VLOOKUP('Données projet'!$B$16,Paramètres!$A$1:$I$89,3,0)*VLOOKUP('Données projet'!$B$16,Paramètres!$A$1:$I$89,5,0)</f>
        <v>145.41071999999997</v>
      </c>
      <c r="FG142" s="14">
        <f t="shared" si="155"/>
        <v>37.533776695922867</v>
      </c>
      <c r="FH142" s="22">
        <f t="shared" si="130"/>
        <v>318.62833174539895</v>
      </c>
      <c r="FI142" s="62">
        <f t="shared" si="131"/>
        <v>603.91177200159984</v>
      </c>
      <c r="FJ142" s="62">
        <f ca="1">AVERAGE(OFFSET($FI$3,0,0,'Données projet'!$E$16+1,1))-AVERAGE(OFFSET($H$3,0,0,'Données projet'!$E$16+1,1))</f>
        <v>283.95543623515323</v>
      </c>
      <c r="FK142" s="62">
        <f t="shared" si="156"/>
        <v>196.96883829830929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5.6843418860808015E-14</v>
      </c>
      <c r="GA142" s="18">
        <f>FZ142*VLOOKUP('Données projet'!$B$17,Paramètres!$A$1:$I$89,3,0)*VLOOKUP('Données projet'!$B$17,Paramètres!$A$1:$I$89,5,0)</f>
        <v>3.3992364478763198E-14</v>
      </c>
      <c r="GB142" s="14">
        <f t="shared" si="157"/>
        <v>5.790027782444094E-13</v>
      </c>
      <c r="GC142" s="22">
        <f t="shared" si="133"/>
        <v>1.0676332069095257E-12</v>
      </c>
      <c r="GD142" s="62">
        <f t="shared" si="134"/>
        <v>285.28344025620197</v>
      </c>
      <c r="GE142" s="62">
        <f ca="1">AVERAGE(OFFSET($GD$3,0,0,'Données projet'!$E$17+1,1))-AVERAGE(OFFSET($H$3,0,0,'Données projet'!$E$17+1,1))</f>
        <v>223.57443551076992</v>
      </c>
      <c r="GF142" s="62">
        <f t="shared" si="158"/>
        <v>382.12751862619427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3.0733224306000606</v>
      </c>
      <c r="GM142" s="23">
        <f>EXP(-LN(2)/25)*GM141+(1-EXP(-LN(2)/25))/(LN(2)/25)*Calculateur!GH142*Calculateur!GJ142*VLOOKUP('Données projet'!$B$17,Paramètres!$A$1:$I$89,3,0)*0.475*44/12</f>
        <v>0.67593073829757044</v>
      </c>
      <c r="GN142" s="23">
        <f>EXP(-LN(2)/2)*GN141+(1-EXP(-LN(2)/2))/(LN(2)/2)*GH142*GK142*VLOOKUP('Données projet'!$B$17,Paramètres!$A$1:$I$89,3,0)*0.475*44/12</f>
        <v>3.9792413395653977E-16</v>
      </c>
      <c r="GO142" s="23">
        <f t="shared" si="135"/>
        <v>3.7492531688976314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5.8013801410682806</v>
      </c>
      <c r="GU142" s="13">
        <f>IF('Données projet'!$A$270&gt;35,GU141+GT142-HC141,IF(A142&lt;'Données projet'!$A$270,$GR$205^A142,IF(A142='Données projet'!$A$270,'Données projet'!$B$270,GU141+GT142-HC141)))</f>
        <v>538.24092597084075</v>
      </c>
      <c r="GV142" s="18">
        <f>GU142*VLOOKUP('Données projet'!$B$18,Paramètres!$A$1:$I$89,3,0)*VLOOKUP('Données projet'!$B$18,Paramètres!$A$1:$I$89,5,0)</f>
        <v>587.75909116015816</v>
      </c>
      <c r="GW142" s="14">
        <f t="shared" si="159"/>
        <v>128.94859520835405</v>
      </c>
      <c r="GX142" s="22">
        <f t="shared" si="136"/>
        <v>1248.2658870918253</v>
      </c>
      <c r="GY142" s="62">
        <f t="shared" si="137"/>
        <v>1533.5493273480263</v>
      </c>
      <c r="GZ142" s="62">
        <f ca="1">AVERAGE(OFFSET($GY$3,0,0,'Données projet'!$E$18+1,1))-AVERAGE(OFFSET($H$3,0,0,'Données projet'!$E$18+1,1))</f>
        <v>754.33260592777049</v>
      </c>
      <c r="HA142" s="62">
        <f t="shared" si="160"/>
        <v>250.97643915279005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9">
        <f t="shared" si="110"/>
        <v>183.33333333333334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343</v>
      </c>
      <c r="L143" s="13">
        <f>VLOOKUP(A143,'Données projet'!$A$35:$I$55,9,0)</f>
        <v>4</v>
      </c>
      <c r="M143" s="13">
        <f t="array" ref="M143">INDEX(L:L,MIN(IF(ISNUMBER(L143:L339),ROW(L143:L339),"")))</f>
        <v>4</v>
      </c>
      <c r="N143" s="14">
        <f>IF('Données projet'!$A$36&gt;35,N142+M143-V142,IF(A143&lt;'Données projet'!$A$36,$K$205^A143,IF(A143='Données projet'!$A$36,'Données projet'!$B$36,N142+M143-V142)))</f>
        <v>342.99999999999955</v>
      </c>
      <c r="O143" s="14">
        <f>N143*VLOOKUP('Données projet'!$B$9,Paramètres!$A$1:$I$89,3,0)*VLOOKUP('Données projet'!$B$9,Paramètres!$A$1:$I$89,5,0)</f>
        <v>310.34639999999956</v>
      </c>
      <c r="P143" s="14">
        <f t="shared" si="141"/>
        <v>73.341167576152927</v>
      </c>
      <c r="Q143" s="22">
        <f t="shared" si="108"/>
        <v>668.25584686179889</v>
      </c>
      <c r="R143" s="62">
        <f t="shared" si="109"/>
        <v>953.6789347660233</v>
      </c>
      <c r="S143" s="62">
        <f ca="1">AVERAGE(OFFSET($R$3,0,0,'Données projet'!$E$9+1,1))-AVERAGE(OFFSET($H$3,0,0,'Données projet'!$E$9+1,1))</f>
        <v>550.39292625253665</v>
      </c>
      <c r="T143" s="62">
        <f t="shared" si="142"/>
        <v>297.32483725004136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43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343</v>
      </c>
      <c r="AG143" s="13">
        <f>VLOOKUP(A143,'Données projet'!$A$61:$I$81,9,0)</f>
        <v>4</v>
      </c>
      <c r="AH143" s="13">
        <f t="array" ref="AH143">INDEX(AG:AG,MIN(IF(ISNUMBER(AG143:AG339),ROW(AG143:AG339),"")))</f>
        <v>4</v>
      </c>
      <c r="AI143" s="14">
        <f>IF('Données projet'!$A$62&gt;35,AI142+AH143-AQ142,IF(A143&lt;'Données projet'!$A$62,$AF$205^A143,IF(A143='Données projet'!$A$62,'Données projet'!$B$62,AI142+AH143-AQ142)))</f>
        <v>342.99999999999955</v>
      </c>
      <c r="AJ143" s="14">
        <f>AI143*VLOOKUP('Données projet'!$B$10,Paramètres!$A$1:$I$89,3,0)*VLOOKUP('Données projet'!$B$10,Paramètres!$A$1:$I$89,5,0)</f>
        <v>347.80199999999957</v>
      </c>
      <c r="AK143" s="14">
        <f t="shared" si="143"/>
        <v>81.109754402608502</v>
      </c>
      <c r="AL143" s="22">
        <f t="shared" si="112"/>
        <v>747.02130558454235</v>
      </c>
      <c r="AM143" s="62">
        <f t="shared" si="113"/>
        <v>1032.4443934887668</v>
      </c>
      <c r="AN143" s="62">
        <f ca="1">AVERAGE(OFFSET($AM$3,0,0,'Données projet'!$E$10+1,1))-AVERAGE(OFFSET($H$3,0,0,'Données projet'!$E$10+1,1))</f>
        <v>606.55142836375308</v>
      </c>
      <c r="AO143" s="62">
        <f t="shared" si="144"/>
        <v>325.72635759450861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43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5.1159076974727213E-13</v>
      </c>
      <c r="BE143" s="14">
        <f>BD143*VLOOKUP('Données projet'!$B$11,Paramètres!$A$1:$I$89,3,0)*VLOOKUP('Données projet'!$B$11,Paramètres!$A$1:$I$89,5,0)</f>
        <v>5.3471467253984886E-13</v>
      </c>
      <c r="BF143" s="14">
        <f t="shared" si="145"/>
        <v>6.6087717628803869E-12</v>
      </c>
      <c r="BG143" s="22">
        <f t="shared" si="115"/>
        <v>1.244157220835691E-11</v>
      </c>
      <c r="BH143" s="62">
        <f t="shared" si="116"/>
        <v>285.42308790423681</v>
      </c>
      <c r="BI143" s="62">
        <f ca="1">AVERAGE(OFFSET($BH$3,0,0,'Données projet'!$E$11+1,1))-AVERAGE(OFFSET($H$3,0,0,'Données projet'!$E$11+1,1))</f>
        <v>635.13577238794812</v>
      </c>
      <c r="BJ143" s="62">
        <f t="shared" si="146"/>
        <v>374.35810525172019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-6.8212102632969618E-13</v>
      </c>
      <c r="BZ143" s="14">
        <f>BY143*VLOOKUP('Données projet'!$B$12,Paramètres!$A$1:$I$89,3,0)*VLOOKUP('Données projet'!$B$12,Paramètres!$A$1:$I$89,5,0)</f>
        <v>-3.0149749363772573E-13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580.02817743695846</v>
      </c>
      <c r="CE143" s="62">
        <f t="shared" si="148"/>
        <v>551.23515633208865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3.979039320256561E-13</v>
      </c>
      <c r="CU143" s="18">
        <f>CT143*VLOOKUP('Données projet'!$B$13,Paramètres!$A$1:$I$89,3,0)*VLOOKUP('Données projet'!$B$13,Paramètres!$A$1:$I$89,5,0)</f>
        <v>1.8621904018800707E-13</v>
      </c>
      <c r="CV143" s="14">
        <f t="shared" si="149"/>
        <v>2.6022279988572714E-12</v>
      </c>
      <c r="CW143" s="22">
        <f t="shared" si="121"/>
        <v>4.8565452596705266E-12</v>
      </c>
      <c r="CX143" s="62">
        <f t="shared" si="122"/>
        <v>285.42308790422919</v>
      </c>
      <c r="CY143" s="62">
        <f ca="1">AVERAGE(OFFSET($CX$3,0,0,'Données projet'!$E$13+1,1))-AVERAGE(OFFSET($H$3,0,0,'Données projet'!$E$13+1,1))</f>
        <v>321.05795935196863</v>
      </c>
      <c r="CZ143" s="62">
        <f t="shared" si="150"/>
        <v>209.59551322748908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343</v>
      </c>
      <c r="DM143" s="13">
        <f>VLOOKUP(A143,'Données projet'!$A$165:$I$185,9,0)</f>
        <v>4</v>
      </c>
      <c r="DN143" s="13">
        <f t="array" ref="DN143">INDEX(DM:DM,MIN(IF(ISNUMBER(DM143:DM339),ROW(DM143:DM339),"")))</f>
        <v>4</v>
      </c>
      <c r="DO143" s="13">
        <f>IF('Données projet'!$A$166&gt;35,DO142+DN143-DW142,IF(A143&lt;'Données projet'!$A$166,$DL$205^A143,IF(A143='Données projet'!$A$166,'Données projet'!$B$166,DO142+DN143-DW142)))</f>
        <v>342.99999999999955</v>
      </c>
      <c r="DP143" s="18">
        <f>DO143*VLOOKUP('Données projet'!$B$14,Paramètres!$A$1:$I$89,3,0)*VLOOKUP('Données projet'!$B$14,Paramètres!$A$1:$I$89,5,0)</f>
        <v>369.20519999999948</v>
      </c>
      <c r="DQ143" s="14">
        <f t="shared" si="151"/>
        <v>85.504682960059498</v>
      </c>
      <c r="DR143" s="22">
        <f t="shared" si="124"/>
        <v>791.95304615543603</v>
      </c>
      <c r="DS143" s="62">
        <f t="shared" si="125"/>
        <v>1077.3761340596604</v>
      </c>
      <c r="DT143" s="62">
        <f ca="1">AVERAGE(OFFSET($DS$3,0,0,'Données projet'!$E$14+1,1))-AVERAGE(OFFSET($H$3,0,0,'Données projet'!$E$14+1,1))</f>
        <v>638.58602907610805</v>
      </c>
      <c r="DU143" s="62">
        <f t="shared" si="152"/>
        <v>341.9250949809848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43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3.3992364478763198E-14</v>
      </c>
      <c r="EL143" s="14">
        <f t="shared" si="153"/>
        <v>5.790027782444094E-13</v>
      </c>
      <c r="EM143" s="22">
        <f t="shared" si="127"/>
        <v>1.0676332069095257E-12</v>
      </c>
      <c r="EN143" s="62">
        <f t="shared" si="128"/>
        <v>285.42308790422544</v>
      </c>
      <c r="EO143" s="62">
        <f ca="1">AVERAGE(OFFSET($EN$3,0,0,'Données projet'!$E$15+1,1))-AVERAGE(OFFSET($H$3,0,0,'Données projet'!$E$15+1,1))</f>
        <v>223.57443551076992</v>
      </c>
      <c r="EP143" s="62">
        <f t="shared" si="154"/>
        <v>382.12751862619427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3.0130564522775805</v>
      </c>
      <c r="EW143" s="23">
        <f>EXP(-LN(2)/25)*EW142+(1-EXP(-LN(2)/25))/(LN(2)/25)*Calculateur!ER143*Calculateur!ET143*VLOOKUP('Données projet'!$B$15,Paramètres!$A$1:$I$89,3,0)*0.475*44/12</f>
        <v>0.65744737671317066</v>
      </c>
      <c r="EX143" s="23">
        <f>EXP(-LN(2)/2)*EX142+(1-EXP(-LN(2)/2))/(LN(2)/2)*ER143*EU143*VLOOKUP('Données projet'!$B$15,Paramètres!$A$1:$I$89,3,0)*0.475*44/12</f>
        <v>2.8137485351845339E-16</v>
      </c>
      <c r="EY143" s="24">
        <f t="shared" si="129"/>
        <v>3.6705038289907517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>
        <f>VLOOKUP(A143,'Données projet'!$A$217:$I$237,2,0)</f>
        <v>127.41250000000001</v>
      </c>
      <c r="FC143" s="13">
        <f>VLOOKUP(A143,'Données projet'!$A$217:$I$237,9,0)</f>
        <v>1.1879166666666663</v>
      </c>
      <c r="FD143" s="13">
        <f t="array" ref="FD143">INDEX(FC:FC,MIN(IF(ISNUMBER(FC143:FC339),ROW(FC143:FC339),"")))</f>
        <v>1.1879166666666663</v>
      </c>
      <c r="FE143" s="13">
        <f>IF('Données projet'!$A$218&gt;35,FE142+FD143-FM142,IF(A143&lt;'Données projet'!$A$218,$FB$205^A143,IF(A143='Données projet'!$A$218,'Données projet'!$B$218,FE142+FD143-FM142)))</f>
        <v>127.41249999999998</v>
      </c>
      <c r="FF143" s="18">
        <f>FE143*VLOOKUP('Données projet'!$B$16,Paramètres!$A$1:$I$89,3,0)*VLOOKUP('Données projet'!$B$16,Paramètres!$A$1:$I$89,5,0)</f>
        <v>146.77919999999997</v>
      </c>
      <c r="FG143" s="14">
        <f t="shared" si="155"/>
        <v>37.845725188874766</v>
      </c>
      <c r="FH143" s="22">
        <f t="shared" si="130"/>
        <v>321.55507803729012</v>
      </c>
      <c r="FI143" s="62">
        <f t="shared" si="131"/>
        <v>606.97816594151448</v>
      </c>
      <c r="FJ143" s="62">
        <f ca="1">AVERAGE(OFFSET($FI$3,0,0,'Données projet'!$E$16+1,1))-AVERAGE(OFFSET($H$3,0,0,'Données projet'!$E$16+1,1))</f>
        <v>283.95543623515323</v>
      </c>
      <c r="FK143" s="62">
        <f t="shared" si="156"/>
        <v>196.96883829830929</v>
      </c>
      <c r="FL143" s="16">
        <f>IF(ISNA(VLOOKUP(A143,'Données projet'!$A$217:$I$237,3,0)),0,VLOOKUP(A143,'Données projet'!$A$217:$I$237,3,0))</f>
        <v>12</v>
      </c>
      <c r="FM143" s="16">
        <f>IF(ISNA(VLOOKUP(A143,'Données projet'!$A$217:$I$237,4,0)),0,VLOOKUP(A143,'Données projet'!$A$217:$I$237,4,0))</f>
        <v>8.5416666666666679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5.6843418860808015E-14</v>
      </c>
      <c r="GA143" s="18">
        <f>FZ143*VLOOKUP('Données projet'!$B$17,Paramètres!$A$1:$I$89,3,0)*VLOOKUP('Données projet'!$B$17,Paramètres!$A$1:$I$89,5,0)</f>
        <v>3.3992364478763198E-14</v>
      </c>
      <c r="GB143" s="14">
        <f t="shared" si="157"/>
        <v>5.790027782444094E-13</v>
      </c>
      <c r="GC143" s="22">
        <f t="shared" si="133"/>
        <v>1.0676332069095257E-12</v>
      </c>
      <c r="GD143" s="62">
        <f t="shared" si="134"/>
        <v>285.42308790422544</v>
      </c>
      <c r="GE143" s="62">
        <f ca="1">AVERAGE(OFFSET($GD$3,0,0,'Données projet'!$E$17+1,1))-AVERAGE(OFFSET($H$3,0,0,'Données projet'!$E$17+1,1))</f>
        <v>223.57443551076992</v>
      </c>
      <c r="GF143" s="62">
        <f t="shared" si="158"/>
        <v>382.12751862619427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3.0130564522775805</v>
      </c>
      <c r="GM143" s="23">
        <f>EXP(-LN(2)/25)*GM142+(1-EXP(-LN(2)/25))/(LN(2)/25)*Calculateur!GH143*Calculateur!GJ143*VLOOKUP('Données projet'!$B$17,Paramètres!$A$1:$I$89,3,0)*0.475*44/12</f>
        <v>0.65744737671317066</v>
      </c>
      <c r="GN143" s="23">
        <f>EXP(-LN(2)/2)*GN142+(1-EXP(-LN(2)/2))/(LN(2)/2)*GH143*GK143*VLOOKUP('Données projet'!$B$17,Paramètres!$A$1:$I$89,3,0)*0.475*44/12</f>
        <v>2.8137485351845339E-16</v>
      </c>
      <c r="GO143" s="23">
        <f t="shared" si="135"/>
        <v>3.6705038289907517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5.8013801410682806</v>
      </c>
      <c r="GU143" s="13">
        <f>IF('Données projet'!$A$270&gt;35,GU142+GT143-HC142,IF(A143&lt;'Données projet'!$A$270,$GR$205^A143,IF(A143='Données projet'!$A$270,'Données projet'!$B$270,GU142+GT143-HC142)))</f>
        <v>544.04230611190906</v>
      </c>
      <c r="GV143" s="18">
        <f>GU143*VLOOKUP('Données projet'!$B$18,Paramètres!$A$1:$I$89,3,0)*VLOOKUP('Données projet'!$B$18,Paramètres!$A$1:$I$89,5,0)</f>
        <v>594.09419827420459</v>
      </c>
      <c r="GW143" s="14">
        <f t="shared" si="159"/>
        <v>130.17590866735154</v>
      </c>
      <c r="GX143" s="22">
        <f t="shared" si="136"/>
        <v>1261.4371029232104</v>
      </c>
      <c r="GY143" s="62">
        <f t="shared" si="137"/>
        <v>1546.8601908274347</v>
      </c>
      <c r="GZ143" s="62">
        <f ca="1">AVERAGE(OFFSET($GY$3,0,0,'Données projet'!$E$18+1,1))-AVERAGE(OFFSET($H$3,0,0,'Données projet'!$E$18+1,1))</f>
        <v>754.33260592777049</v>
      </c>
      <c r="HA143" s="62">
        <f t="shared" si="160"/>
        <v>250.97643915279005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9">
        <f t="shared" si="110"/>
        <v>183.33333333333334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303.49999999999955</v>
      </c>
      <c r="O144" s="14">
        <f>N144*VLOOKUP('Données projet'!$B$9,Paramètres!$A$1:$I$89,3,0)*VLOOKUP('Données projet'!$B$9,Paramètres!$A$1:$I$89,5,0)</f>
        <v>274.60679999999957</v>
      </c>
      <c r="P144" s="14">
        <f t="shared" si="141"/>
        <v>65.825983768649721</v>
      </c>
      <c r="Q144" s="22">
        <f t="shared" si="108"/>
        <v>592.92043173039758</v>
      </c>
      <c r="R144" s="62">
        <f t="shared" si="109"/>
        <v>878.48074470815754</v>
      </c>
      <c r="S144" s="62">
        <f ca="1">AVERAGE(OFFSET($R$3,0,0,'Données projet'!$E$9+1,1))-AVERAGE(OFFSET($H$3,0,0,'Données projet'!$E$9+1,1))</f>
        <v>550.39292625253665</v>
      </c>
      <c r="T144" s="62">
        <f t="shared" si="142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3.5</v>
      </c>
      <c r="AI144" s="14">
        <f>IF('Données projet'!$A$62&gt;35,AI143+AH144-AQ143,IF(A144&lt;'Données projet'!$A$62,$AF$205^A144,IF(A144='Données projet'!$A$62,'Données projet'!$B$62,AI143+AH144-AQ143)))</f>
        <v>303.49999999999955</v>
      </c>
      <c r="AJ144" s="14">
        <f>AI144*VLOOKUP('Données projet'!$B$10,Paramètres!$A$1:$I$89,3,0)*VLOOKUP('Données projet'!$B$10,Paramètres!$A$1:$I$89,5,0)</f>
        <v>307.74899999999957</v>
      </c>
      <c r="AK144" s="14">
        <f t="shared" si="143"/>
        <v>72.798532573693379</v>
      </c>
      <c r="AL144" s="22">
        <f t="shared" si="112"/>
        <v>662.78695256584854</v>
      </c>
      <c r="AM144" s="62">
        <f t="shared" si="113"/>
        <v>948.3472655436085</v>
      </c>
      <c r="AN144" s="62">
        <f ca="1">AVERAGE(OFFSET($AM$3,0,0,'Données projet'!$E$10+1,1))-AVERAGE(OFFSET($H$3,0,0,'Données projet'!$E$10+1,1))</f>
        <v>606.55142836375308</v>
      </c>
      <c r="AO144" s="62">
        <f t="shared" si="144"/>
        <v>325.72635759450861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5.1159076974727213E-13</v>
      </c>
      <c r="BE144" s="14">
        <f>BD144*VLOOKUP('Données projet'!$B$11,Paramètres!$A$1:$I$89,3,0)*VLOOKUP('Données projet'!$B$11,Paramètres!$A$1:$I$89,5,0)</f>
        <v>5.3471467253984886E-13</v>
      </c>
      <c r="BF144" s="14">
        <f t="shared" si="145"/>
        <v>6.6087717628803869E-12</v>
      </c>
      <c r="BG144" s="22">
        <f t="shared" si="115"/>
        <v>1.244157220835691E-11</v>
      </c>
      <c r="BH144" s="62">
        <f t="shared" si="116"/>
        <v>285.56031297777247</v>
      </c>
      <c r="BI144" s="62">
        <f ca="1">AVERAGE(OFFSET($BH$3,0,0,'Données projet'!$E$11+1,1))-AVERAGE(OFFSET($H$3,0,0,'Données projet'!$E$11+1,1))</f>
        <v>635.13577238794812</v>
      </c>
      <c r="BJ144" s="62">
        <f t="shared" si="146"/>
        <v>374.35810525172019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-6.8212102632969618E-13</v>
      </c>
      <c r="BZ144" s="14">
        <f>BY144*VLOOKUP('Données projet'!$B$12,Paramètres!$A$1:$I$89,3,0)*VLOOKUP('Données projet'!$B$12,Paramètres!$A$1:$I$89,5,0)</f>
        <v>-3.0149749363772573E-13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580.02817743695846</v>
      </c>
      <c r="CE144" s="62">
        <f t="shared" si="148"/>
        <v>551.23515633208865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3.979039320256561E-13</v>
      </c>
      <c r="CU144" s="18">
        <f>CT144*VLOOKUP('Données projet'!$B$13,Paramètres!$A$1:$I$89,3,0)*VLOOKUP('Données projet'!$B$13,Paramètres!$A$1:$I$89,5,0)</f>
        <v>1.8621904018800707E-13</v>
      </c>
      <c r="CV144" s="14">
        <f t="shared" si="149"/>
        <v>2.6022279988572714E-12</v>
      </c>
      <c r="CW144" s="22">
        <f t="shared" si="121"/>
        <v>4.8565452596705266E-12</v>
      </c>
      <c r="CX144" s="62">
        <f t="shared" si="122"/>
        <v>285.56031297776485</v>
      </c>
      <c r="CY144" s="62">
        <f ca="1">AVERAGE(OFFSET($CX$3,0,0,'Données projet'!$E$13+1,1))-AVERAGE(OFFSET($H$3,0,0,'Données projet'!$E$13+1,1))</f>
        <v>321.05795935196863</v>
      </c>
      <c r="CZ144" s="62">
        <f t="shared" si="150"/>
        <v>209.59551322748908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3.5</v>
      </c>
      <c r="DO144" s="13">
        <f>IF('Données projet'!$A$166&gt;35,DO143+DN144-DW143,IF(A144&lt;'Données projet'!$A$166,$DL$205^A144,IF(A144='Données projet'!$A$166,'Données projet'!$B$166,DO143+DN144-DW143)))</f>
        <v>303.49999999999955</v>
      </c>
      <c r="DP144" s="18">
        <f>DO144*VLOOKUP('Données projet'!$B$14,Paramètres!$A$1:$I$89,3,0)*VLOOKUP('Données projet'!$B$14,Paramètres!$A$1:$I$89,5,0)</f>
        <v>326.68739999999951</v>
      </c>
      <c r="DQ144" s="14">
        <f t="shared" si="151"/>
        <v>76.743117933433624</v>
      </c>
      <c r="DR144" s="22">
        <f t="shared" si="124"/>
        <v>702.64148540072938</v>
      </c>
      <c r="DS144" s="62">
        <f t="shared" si="125"/>
        <v>988.20179837848946</v>
      </c>
      <c r="DT144" s="62">
        <f ca="1">AVERAGE(OFFSET($DS$3,0,0,'Données projet'!$E$14+1,1))-AVERAGE(OFFSET($H$3,0,0,'Données projet'!$E$14+1,1))</f>
        <v>638.58602907610805</v>
      </c>
      <c r="DU144" s="62">
        <f t="shared" si="152"/>
        <v>341.9250949809848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3.3992364478763198E-14</v>
      </c>
      <c r="EL144" s="14">
        <f t="shared" si="153"/>
        <v>5.790027782444094E-13</v>
      </c>
      <c r="EM144" s="22">
        <f t="shared" si="127"/>
        <v>1.0676332069095257E-12</v>
      </c>
      <c r="EN144" s="62">
        <f t="shared" si="128"/>
        <v>285.5603129777611</v>
      </c>
      <c r="EO144" s="62">
        <f ca="1">AVERAGE(OFFSET($EN$3,0,0,'Données projet'!$E$15+1,1))-AVERAGE(OFFSET($H$3,0,0,'Données projet'!$E$15+1,1))</f>
        <v>223.57443551076992</v>
      </c>
      <c r="EP144" s="62">
        <f t="shared" si="154"/>
        <v>382.12751862619427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2.9539722530313868</v>
      </c>
      <c r="EW144" s="23">
        <f>EXP(-LN(2)/25)*EW143+(1-EXP(-LN(2)/25))/(LN(2)/25)*Calculateur!ER144*Calculateur!ET144*VLOOKUP('Données projet'!$B$15,Paramètres!$A$1:$I$89,3,0)*0.475*44/12</f>
        <v>0.63946944362329405</v>
      </c>
      <c r="EX144" s="23">
        <f>EXP(-LN(2)/2)*EX143+(1-EXP(-LN(2)/2))/(LN(2)/2)*ER144*EU144*VLOOKUP('Données projet'!$B$15,Paramètres!$A$1:$I$89,3,0)*0.475*44/12</f>
        <v>1.9896206697826988E-16</v>
      </c>
      <c r="EY144" s="24">
        <f t="shared" si="129"/>
        <v>3.5934416966546809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1.1341666666666668</v>
      </c>
      <c r="FE144" s="13">
        <f>IF('Données projet'!$A$218&gt;35,FE143+FD144-FM143,IF(A144&lt;'Données projet'!$A$218,$FB$205^A144,IF(A144='Données projet'!$A$218,'Données projet'!$B$218,FE143+FD144-FM143)))</f>
        <v>120.00499999999998</v>
      </c>
      <c r="FF144" s="18">
        <f>FE144*VLOOKUP('Données projet'!$B$16,Paramètres!$A$1:$I$89,3,0)*VLOOKUP('Données projet'!$B$16,Paramètres!$A$1:$I$89,5,0)</f>
        <v>138.24575999999996</v>
      </c>
      <c r="FG144" s="14">
        <f t="shared" si="155"/>
        <v>35.89483929910822</v>
      </c>
      <c r="FH144" s="22">
        <f t="shared" si="130"/>
        <v>303.29487711261339</v>
      </c>
      <c r="FI144" s="62">
        <f t="shared" si="131"/>
        <v>588.85519009037341</v>
      </c>
      <c r="FJ144" s="62">
        <f ca="1">AVERAGE(OFFSET($FI$3,0,0,'Données projet'!$E$16+1,1))-AVERAGE(OFFSET($H$3,0,0,'Données projet'!$E$16+1,1))</f>
        <v>283.95543623515323</v>
      </c>
      <c r="FK144" s="62">
        <f t="shared" si="156"/>
        <v>196.96883829830929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5.6843418860808015E-14</v>
      </c>
      <c r="GA144" s="18">
        <f>FZ144*VLOOKUP('Données projet'!$B$17,Paramètres!$A$1:$I$89,3,0)*VLOOKUP('Données projet'!$B$17,Paramètres!$A$1:$I$89,5,0)</f>
        <v>3.3992364478763198E-14</v>
      </c>
      <c r="GB144" s="14">
        <f t="shared" si="157"/>
        <v>5.790027782444094E-13</v>
      </c>
      <c r="GC144" s="22">
        <f t="shared" si="133"/>
        <v>1.0676332069095257E-12</v>
      </c>
      <c r="GD144" s="62">
        <f t="shared" si="134"/>
        <v>285.5603129777611</v>
      </c>
      <c r="GE144" s="62">
        <f ca="1">AVERAGE(OFFSET($GD$3,0,0,'Données projet'!$E$17+1,1))-AVERAGE(OFFSET($H$3,0,0,'Données projet'!$E$17+1,1))</f>
        <v>223.57443551076992</v>
      </c>
      <c r="GF144" s="62">
        <f t="shared" si="158"/>
        <v>382.12751862619427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2.9539722530313868</v>
      </c>
      <c r="GM144" s="23">
        <f>EXP(-LN(2)/25)*GM143+(1-EXP(-LN(2)/25))/(LN(2)/25)*Calculateur!GH144*Calculateur!GJ144*VLOOKUP('Données projet'!$B$17,Paramètres!$A$1:$I$89,3,0)*0.475*44/12</f>
        <v>0.63946944362329405</v>
      </c>
      <c r="GN144" s="23">
        <f>EXP(-LN(2)/2)*GN143+(1-EXP(-LN(2)/2))/(LN(2)/2)*GH144*GK144*VLOOKUP('Données projet'!$B$17,Paramètres!$A$1:$I$89,3,0)*0.475*44/12</f>
        <v>1.9896206697826988E-16</v>
      </c>
      <c r="GO144" s="23">
        <f t="shared" si="135"/>
        <v>3.5934416966546809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5.8013801410682806</v>
      </c>
      <c r="GU144" s="13">
        <f>IF('Données projet'!$A$270&gt;35,GU143+GT144-HC143,IF(A144&lt;'Données projet'!$A$270,$GR$205^A144,IF(A144='Données projet'!$A$270,'Données projet'!$B$270,GU143+GT144-HC143)))</f>
        <v>549.84368625297736</v>
      </c>
      <c r="GV144" s="18">
        <f>GU144*VLOOKUP('Données projet'!$B$18,Paramètres!$A$1:$I$89,3,0)*VLOOKUP('Données projet'!$B$18,Paramètres!$A$1:$I$89,5,0)</f>
        <v>600.42930538825124</v>
      </c>
      <c r="GW144" s="14">
        <f t="shared" si="159"/>
        <v>131.40169966480565</v>
      </c>
      <c r="GX144" s="22">
        <f t="shared" si="136"/>
        <v>1274.6056671340741</v>
      </c>
      <c r="GY144" s="62">
        <f t="shared" si="137"/>
        <v>1560.1659801118342</v>
      </c>
      <c r="GZ144" s="62">
        <f ca="1">AVERAGE(OFFSET($GY$3,0,0,'Données projet'!$E$18+1,1))-AVERAGE(OFFSET($H$3,0,0,'Données projet'!$E$18+1,1))</f>
        <v>754.33260592777049</v>
      </c>
      <c r="HA144" s="62">
        <f t="shared" si="160"/>
        <v>250.97643915279005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9">
        <f t="shared" si="110"/>
        <v>183.33333333333334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306.99999999999955</v>
      </c>
      <c r="O145" s="14">
        <f>N145*VLOOKUP('Données projet'!$B$9,Paramètres!$A$1:$I$89,3,0)*VLOOKUP('Données projet'!$B$9,Paramètres!$A$1:$I$89,5,0)</f>
        <v>277.77359999999959</v>
      </c>
      <c r="P145" s="14">
        <f t="shared" si="141"/>
        <v>66.496288176842299</v>
      </c>
      <c r="Q145" s="22">
        <f t="shared" si="108"/>
        <v>599.60338857466627</v>
      </c>
      <c r="R145" s="62">
        <f t="shared" si="109"/>
        <v>885.2985460777254</v>
      </c>
      <c r="S145" s="62">
        <f ca="1">AVERAGE(OFFSET($R$3,0,0,'Données projet'!$E$9+1,1))-AVERAGE(OFFSET($H$3,0,0,'Données projet'!$E$9+1,1))</f>
        <v>550.39292625253665</v>
      </c>
      <c r="T145" s="62">
        <f t="shared" si="142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3.5</v>
      </c>
      <c r="AI145" s="14">
        <f>IF('Données projet'!$A$62&gt;35,AI144+AH145-AQ144,IF(A145&lt;'Données projet'!$A$62,$AF$205^A145,IF(A145='Données projet'!$A$62,'Données projet'!$B$62,AI144+AH145-AQ144)))</f>
        <v>306.99999999999955</v>
      </c>
      <c r="AJ145" s="14">
        <f>AI145*VLOOKUP('Données projet'!$B$10,Paramètres!$A$1:$I$89,3,0)*VLOOKUP('Données projet'!$B$10,Paramètres!$A$1:$I$89,5,0)</f>
        <v>311.29799999999955</v>
      </c>
      <c r="AK145" s="14">
        <f t="shared" si="143"/>
        <v>73.53983827852862</v>
      </c>
      <c r="AL145" s="22">
        <f t="shared" si="112"/>
        <v>670.25923500176987</v>
      </c>
      <c r="AM145" s="62">
        <f t="shared" si="113"/>
        <v>955.954392504829</v>
      </c>
      <c r="AN145" s="62">
        <f ca="1">AVERAGE(OFFSET($AM$3,0,0,'Données projet'!$E$10+1,1))-AVERAGE(OFFSET($H$3,0,0,'Données projet'!$E$10+1,1))</f>
        <v>606.55142836375308</v>
      </c>
      <c r="AO145" s="62">
        <f t="shared" si="144"/>
        <v>325.72635759450861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5.1159076974727213E-13</v>
      </c>
      <c r="BE145" s="14">
        <f>BD145*VLOOKUP('Données projet'!$B$11,Paramètres!$A$1:$I$89,3,0)*VLOOKUP('Données projet'!$B$11,Paramètres!$A$1:$I$89,5,0)</f>
        <v>5.3471467253984886E-13</v>
      </c>
      <c r="BF145" s="14">
        <f t="shared" si="145"/>
        <v>6.6087717628803869E-12</v>
      </c>
      <c r="BG145" s="22">
        <f t="shared" si="115"/>
        <v>1.244157220835691E-11</v>
      </c>
      <c r="BH145" s="62">
        <f t="shared" si="116"/>
        <v>285.69515750307153</v>
      </c>
      <c r="BI145" s="62">
        <f ca="1">AVERAGE(OFFSET($BH$3,0,0,'Données projet'!$E$11+1,1))-AVERAGE(OFFSET($H$3,0,0,'Données projet'!$E$11+1,1))</f>
        <v>635.13577238794812</v>
      </c>
      <c r="BJ145" s="62">
        <f t="shared" si="146"/>
        <v>374.35810525172019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-6.8212102632969618E-13</v>
      </c>
      <c r="BZ145" s="14">
        <f>BY145*VLOOKUP('Données projet'!$B$12,Paramètres!$A$1:$I$89,3,0)*VLOOKUP('Données projet'!$B$12,Paramètres!$A$1:$I$89,5,0)</f>
        <v>-3.0149749363772573E-13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580.02817743695846</v>
      </c>
      <c r="CE145" s="62">
        <f t="shared" si="148"/>
        <v>551.23515633208865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3.979039320256561E-13</v>
      </c>
      <c r="CU145" s="18">
        <f>CT145*VLOOKUP('Données projet'!$B$13,Paramètres!$A$1:$I$89,3,0)*VLOOKUP('Données projet'!$B$13,Paramètres!$A$1:$I$89,5,0)</f>
        <v>1.8621904018800707E-13</v>
      </c>
      <c r="CV145" s="14">
        <f t="shared" si="149"/>
        <v>2.6022279988572714E-12</v>
      </c>
      <c r="CW145" s="22">
        <f t="shared" si="121"/>
        <v>4.8565452596705266E-12</v>
      </c>
      <c r="CX145" s="62">
        <f t="shared" si="122"/>
        <v>285.69515750306391</v>
      </c>
      <c r="CY145" s="62">
        <f ca="1">AVERAGE(OFFSET($CX$3,0,0,'Données projet'!$E$13+1,1))-AVERAGE(OFFSET($H$3,0,0,'Données projet'!$E$13+1,1))</f>
        <v>321.05795935196863</v>
      </c>
      <c r="CZ145" s="62">
        <f t="shared" si="150"/>
        <v>209.59551322748908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3.5</v>
      </c>
      <c r="DO145" s="13">
        <f>IF('Données projet'!$A$166&gt;35,DO144+DN145-DW144,IF(A145&lt;'Données projet'!$A$166,$DL$205^A145,IF(A145='Données projet'!$A$166,'Données projet'!$B$166,DO144+DN145-DW144)))</f>
        <v>306.99999999999955</v>
      </c>
      <c r="DP145" s="18">
        <f>DO145*VLOOKUP('Données projet'!$B$14,Paramètres!$A$1:$I$89,3,0)*VLOOKUP('Données projet'!$B$14,Paramètres!$A$1:$I$89,5,0)</f>
        <v>330.45479999999952</v>
      </c>
      <c r="DQ145" s="14">
        <f t="shared" si="151"/>
        <v>77.524591256035407</v>
      </c>
      <c r="DR145" s="22">
        <f t="shared" si="124"/>
        <v>710.56410643759409</v>
      </c>
      <c r="DS145" s="62">
        <f t="shared" si="125"/>
        <v>996.25926394065323</v>
      </c>
      <c r="DT145" s="62">
        <f ca="1">AVERAGE(OFFSET($DS$3,0,0,'Données projet'!$E$14+1,1))-AVERAGE(OFFSET($H$3,0,0,'Données projet'!$E$14+1,1))</f>
        <v>638.58602907610805</v>
      </c>
      <c r="DU145" s="62">
        <f t="shared" si="152"/>
        <v>341.9250949809848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3.3992364478763198E-14</v>
      </c>
      <c r="EL145" s="14">
        <f t="shared" si="153"/>
        <v>5.790027782444094E-13</v>
      </c>
      <c r="EM145" s="22">
        <f t="shared" si="127"/>
        <v>1.0676332069095257E-12</v>
      </c>
      <c r="EN145" s="62">
        <f t="shared" si="128"/>
        <v>285.69515750306016</v>
      </c>
      <c r="EO145" s="62">
        <f ca="1">AVERAGE(OFFSET($EN$3,0,0,'Données projet'!$E$15+1,1))-AVERAGE(OFFSET($H$3,0,0,'Données projet'!$E$15+1,1))</f>
        <v>223.57443551076992</v>
      </c>
      <c r="EP145" s="62">
        <f t="shared" si="154"/>
        <v>382.12751862619427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2.8960466588946079</v>
      </c>
      <c r="EW145" s="23">
        <f>EXP(-LN(2)/25)*EW144+(1-EXP(-LN(2)/25))/(LN(2)/25)*Calculateur!ER145*Calculateur!ET145*VLOOKUP('Données projet'!$B$15,Paramètres!$A$1:$I$89,3,0)*0.475*44/12</f>
        <v>0.62198311805917861</v>
      </c>
      <c r="EX145" s="23">
        <f>EXP(-LN(2)/2)*EX144+(1-EXP(-LN(2)/2))/(LN(2)/2)*ER145*EU145*VLOOKUP('Données projet'!$B$15,Paramètres!$A$1:$I$89,3,0)*0.475*44/12</f>
        <v>1.4068742675922669E-16</v>
      </c>
      <c r="EY145" s="24">
        <f t="shared" si="129"/>
        <v>3.5180297769537865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1.1341666666666668</v>
      </c>
      <c r="FE145" s="13">
        <f>IF('Données projet'!$A$218&gt;35,FE144+FD145-FM144,IF(A145&lt;'Données projet'!$A$218,$FB$205^A145,IF(A145='Données projet'!$A$218,'Données projet'!$B$218,FE144+FD145-FM144)))</f>
        <v>121.13916666666665</v>
      </c>
      <c r="FF145" s="18">
        <f>FE145*VLOOKUP('Données projet'!$B$16,Paramètres!$A$1:$I$89,3,0)*VLOOKUP('Données projet'!$B$16,Paramètres!$A$1:$I$89,5,0)</f>
        <v>139.55231999999998</v>
      </c>
      <c r="FG145" s="14">
        <f t="shared" si="155"/>
        <v>36.194429184175888</v>
      </c>
      <c r="FH145" s="22">
        <f t="shared" si="130"/>
        <v>306.09225482910631</v>
      </c>
      <c r="FI145" s="62">
        <f t="shared" si="131"/>
        <v>591.78741233216533</v>
      </c>
      <c r="FJ145" s="62">
        <f ca="1">AVERAGE(OFFSET($FI$3,0,0,'Données projet'!$E$16+1,1))-AVERAGE(OFFSET($H$3,0,0,'Données projet'!$E$16+1,1))</f>
        <v>283.95543623515323</v>
      </c>
      <c r="FK145" s="62">
        <f t="shared" si="156"/>
        <v>196.96883829830929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5.6843418860808015E-14</v>
      </c>
      <c r="GA145" s="18">
        <f>FZ145*VLOOKUP('Données projet'!$B$17,Paramètres!$A$1:$I$89,3,0)*VLOOKUP('Données projet'!$B$17,Paramètres!$A$1:$I$89,5,0)</f>
        <v>3.3992364478763198E-14</v>
      </c>
      <c r="GB145" s="14">
        <f t="shared" si="157"/>
        <v>5.790027782444094E-13</v>
      </c>
      <c r="GC145" s="22">
        <f t="shared" si="133"/>
        <v>1.0676332069095257E-12</v>
      </c>
      <c r="GD145" s="62">
        <f t="shared" si="134"/>
        <v>285.69515750306016</v>
      </c>
      <c r="GE145" s="62">
        <f ca="1">AVERAGE(OFFSET($GD$3,0,0,'Données projet'!$E$17+1,1))-AVERAGE(OFFSET($H$3,0,0,'Données projet'!$E$17+1,1))</f>
        <v>223.57443551076992</v>
      </c>
      <c r="GF145" s="62">
        <f t="shared" si="158"/>
        <v>382.12751862619427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2.8960466588946079</v>
      </c>
      <c r="GM145" s="23">
        <f>EXP(-LN(2)/25)*GM144+(1-EXP(-LN(2)/25))/(LN(2)/25)*Calculateur!GH145*Calculateur!GJ145*VLOOKUP('Données projet'!$B$17,Paramètres!$A$1:$I$89,3,0)*0.475*44/12</f>
        <v>0.62198311805917861</v>
      </c>
      <c r="GN145" s="23">
        <f>EXP(-LN(2)/2)*GN144+(1-EXP(-LN(2)/2))/(LN(2)/2)*GH145*GK145*VLOOKUP('Données projet'!$B$17,Paramètres!$A$1:$I$89,3,0)*0.475*44/12</f>
        <v>1.4068742675922669E-16</v>
      </c>
      <c r="GO145" s="23">
        <f t="shared" si="135"/>
        <v>3.5180297769537865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5.8013801410682806</v>
      </c>
      <c r="GU145" s="13">
        <f>IF('Données projet'!$A$270&gt;35,GU144+GT145-HC144,IF(A145&lt;'Données projet'!$A$270,$GR$205^A145,IF(A145='Données projet'!$A$270,'Données projet'!$B$270,GU144+GT145-HC144)))</f>
        <v>555.64506639404567</v>
      </c>
      <c r="GV145" s="18">
        <f>GU145*VLOOKUP('Données projet'!$B$18,Paramètres!$A$1:$I$89,3,0)*VLOOKUP('Données projet'!$B$18,Paramètres!$A$1:$I$89,5,0)</f>
        <v>606.76441250229789</v>
      </c>
      <c r="GW145" s="14">
        <f t="shared" si="159"/>
        <v>132.62598612359571</v>
      </c>
      <c r="GX145" s="22">
        <f t="shared" si="136"/>
        <v>1287.7716109400978</v>
      </c>
      <c r="GY145" s="62">
        <f t="shared" si="137"/>
        <v>1573.466768443157</v>
      </c>
      <c r="GZ145" s="62">
        <f ca="1">AVERAGE(OFFSET($GY$3,0,0,'Données projet'!$E$18+1,1))-AVERAGE(OFFSET($H$3,0,0,'Données projet'!$E$18+1,1))</f>
        <v>754.33260592777049</v>
      </c>
      <c r="HA145" s="62">
        <f t="shared" si="160"/>
        <v>250.97643915279005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9">
        <f t="shared" si="110"/>
        <v>183.33333333333334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310.49999999999955</v>
      </c>
      <c r="O146" s="14">
        <f>N146*VLOOKUP('Données projet'!$B$9,Paramètres!$A$1:$I$89,3,0)*VLOOKUP('Données projet'!$B$9,Paramètres!$A$1:$I$89,5,0)</f>
        <v>280.94039999999956</v>
      </c>
      <c r="P146" s="14">
        <f t="shared" si="141"/>
        <v>67.165703636653078</v>
      </c>
      <c r="Q146" s="22">
        <f t="shared" si="108"/>
        <v>606.28479716716993</v>
      </c>
      <c r="R146" s="62">
        <f t="shared" si="109"/>
        <v>892.11245994448132</v>
      </c>
      <c r="S146" s="62">
        <f ca="1">AVERAGE(OFFSET($R$3,0,0,'Données projet'!$E$9+1,1))-AVERAGE(OFFSET($H$3,0,0,'Données projet'!$E$9+1,1))</f>
        <v>550.39292625253665</v>
      </c>
      <c r="T146" s="62">
        <f t="shared" si="142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3.5</v>
      </c>
      <c r="AI146" s="14">
        <f>IF('Données projet'!$A$62&gt;35,AI145+AH146-AQ145,IF(A146&lt;'Données projet'!$A$62,$AF$205^A146,IF(A146='Données projet'!$A$62,'Données projet'!$B$62,AI145+AH146-AQ145)))</f>
        <v>310.49999999999955</v>
      </c>
      <c r="AJ146" s="14">
        <f>AI146*VLOOKUP('Données projet'!$B$10,Paramètres!$A$1:$I$89,3,0)*VLOOKUP('Données projet'!$B$10,Paramètres!$A$1:$I$89,5,0)</f>
        <v>314.84699999999953</v>
      </c>
      <c r="AK146" s="14">
        <f t="shared" si="143"/>
        <v>74.280160874050353</v>
      </c>
      <c r="AL146" s="22">
        <f t="shared" si="112"/>
        <v>677.7298051889702</v>
      </c>
      <c r="AM146" s="62">
        <f t="shared" si="113"/>
        <v>963.55746796628159</v>
      </c>
      <c r="AN146" s="62">
        <f ca="1">AVERAGE(OFFSET($AM$3,0,0,'Données projet'!$E$10+1,1))-AVERAGE(OFFSET($H$3,0,0,'Données projet'!$E$10+1,1))</f>
        <v>606.55142836375308</v>
      </c>
      <c r="AO146" s="62">
        <f t="shared" si="144"/>
        <v>325.72635759450861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5.1159076974727213E-13</v>
      </c>
      <c r="BE146" s="14">
        <f>BD146*VLOOKUP('Données projet'!$B$11,Paramètres!$A$1:$I$89,3,0)*VLOOKUP('Données projet'!$B$11,Paramètres!$A$1:$I$89,5,0)</f>
        <v>5.3471467253984886E-13</v>
      </c>
      <c r="BF146" s="14">
        <f t="shared" si="145"/>
        <v>6.6087717628803869E-12</v>
      </c>
      <c r="BG146" s="22">
        <f t="shared" si="115"/>
        <v>1.244157220835691E-11</v>
      </c>
      <c r="BH146" s="62">
        <f t="shared" si="116"/>
        <v>285.82766277732389</v>
      </c>
      <c r="BI146" s="62">
        <f ca="1">AVERAGE(OFFSET($BH$3,0,0,'Données projet'!$E$11+1,1))-AVERAGE(OFFSET($H$3,0,0,'Données projet'!$E$11+1,1))</f>
        <v>635.13577238794812</v>
      </c>
      <c r="BJ146" s="62">
        <f t="shared" si="146"/>
        <v>374.35810525172019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-6.8212102632969618E-13</v>
      </c>
      <c r="BZ146" s="14">
        <f>BY146*VLOOKUP('Données projet'!$B$12,Paramètres!$A$1:$I$89,3,0)*VLOOKUP('Données projet'!$B$12,Paramètres!$A$1:$I$89,5,0)</f>
        <v>-3.0149749363772573E-13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580.02817743695846</v>
      </c>
      <c r="CE146" s="62">
        <f t="shared" si="148"/>
        <v>551.23515633208865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3.979039320256561E-13</v>
      </c>
      <c r="CU146" s="18">
        <f>CT146*VLOOKUP('Données projet'!$B$13,Paramètres!$A$1:$I$89,3,0)*VLOOKUP('Données projet'!$B$13,Paramètres!$A$1:$I$89,5,0)</f>
        <v>1.8621904018800707E-13</v>
      </c>
      <c r="CV146" s="14">
        <f t="shared" si="149"/>
        <v>2.6022279988572714E-12</v>
      </c>
      <c r="CW146" s="22">
        <f t="shared" si="121"/>
        <v>4.8565452596705266E-12</v>
      </c>
      <c r="CX146" s="62">
        <f t="shared" si="122"/>
        <v>285.82766277731628</v>
      </c>
      <c r="CY146" s="62">
        <f ca="1">AVERAGE(OFFSET($CX$3,0,0,'Données projet'!$E$13+1,1))-AVERAGE(OFFSET($H$3,0,0,'Données projet'!$E$13+1,1))</f>
        <v>321.05795935196863</v>
      </c>
      <c r="CZ146" s="62">
        <f t="shared" si="150"/>
        <v>209.59551322748908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3.5</v>
      </c>
      <c r="DO146" s="13">
        <f>IF('Données projet'!$A$166&gt;35,DO145+DN146-DW145,IF(A146&lt;'Données projet'!$A$166,$DL$205^A146,IF(A146='Données projet'!$A$166,'Données projet'!$B$166,DO145+DN146-DW145)))</f>
        <v>310.49999999999955</v>
      </c>
      <c r="DP146" s="18">
        <f>DO146*VLOOKUP('Données projet'!$B$14,Paramètres!$A$1:$I$89,3,0)*VLOOKUP('Données projet'!$B$14,Paramètres!$A$1:$I$89,5,0)</f>
        <v>334.22219999999948</v>
      </c>
      <c r="DQ146" s="14">
        <f t="shared" si="151"/>
        <v>78.305028199587696</v>
      </c>
      <c r="DR146" s="22">
        <f t="shared" si="124"/>
        <v>718.48492244761428</v>
      </c>
      <c r="DS146" s="62">
        <f t="shared" si="125"/>
        <v>1004.3125852249257</v>
      </c>
      <c r="DT146" s="62">
        <f ca="1">AVERAGE(OFFSET($DS$3,0,0,'Données projet'!$E$14+1,1))-AVERAGE(OFFSET($H$3,0,0,'Données projet'!$E$14+1,1))</f>
        <v>638.58602907610805</v>
      </c>
      <c r="DU146" s="62">
        <f t="shared" si="152"/>
        <v>341.9250949809848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3.3992364478763198E-14</v>
      </c>
      <c r="EL146" s="14">
        <f t="shared" si="153"/>
        <v>5.790027782444094E-13</v>
      </c>
      <c r="EM146" s="22">
        <f t="shared" si="127"/>
        <v>1.0676332069095257E-12</v>
      </c>
      <c r="EN146" s="62">
        <f t="shared" si="128"/>
        <v>285.82766277731253</v>
      </c>
      <c r="EO146" s="62">
        <f ca="1">AVERAGE(OFFSET($EN$3,0,0,'Données projet'!$E$15+1,1))-AVERAGE(OFFSET($H$3,0,0,'Données projet'!$E$15+1,1))</f>
        <v>223.57443551076992</v>
      </c>
      <c r="EP146" s="62">
        <f t="shared" si="154"/>
        <v>382.12751862619427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2.8392569503277278</v>
      </c>
      <c r="EW146" s="23">
        <f>EXP(-LN(2)/25)*EW145+(1-EXP(-LN(2)/25))/(LN(2)/25)*Calculateur!ER146*Calculateur!ET146*VLOOKUP('Données projet'!$B$15,Paramètres!$A$1:$I$89,3,0)*0.475*44/12</f>
        <v>0.60497495698717974</v>
      </c>
      <c r="EX146" s="23">
        <f>EXP(-LN(2)/2)*EX145+(1-EXP(-LN(2)/2))/(LN(2)/2)*ER146*EU146*VLOOKUP('Données projet'!$B$15,Paramètres!$A$1:$I$89,3,0)*0.475*44/12</f>
        <v>9.9481033489134942E-17</v>
      </c>
      <c r="EY146" s="24">
        <f t="shared" si="129"/>
        <v>3.4442319073149075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1.1341666666666668</v>
      </c>
      <c r="FE146" s="13">
        <f>IF('Données projet'!$A$218&gt;35,FE145+FD146-FM145,IF(A146&lt;'Données projet'!$A$218,$FB$205^A146,IF(A146='Données projet'!$A$218,'Données projet'!$B$218,FE145+FD146-FM145)))</f>
        <v>122.27333333333333</v>
      </c>
      <c r="FF146" s="18">
        <f>FE146*VLOOKUP('Données projet'!$B$16,Paramètres!$A$1:$I$89,3,0)*VLOOKUP('Données projet'!$B$16,Paramètres!$A$1:$I$89,5,0)</f>
        <v>140.85887999999997</v>
      </c>
      <c r="FG146" s="14">
        <f t="shared" si="155"/>
        <v>36.49369275013197</v>
      </c>
      <c r="FH146" s="22">
        <f t="shared" si="130"/>
        <v>308.88906420647976</v>
      </c>
      <c r="FI146" s="62">
        <f t="shared" si="131"/>
        <v>594.7167269837912</v>
      </c>
      <c r="FJ146" s="62">
        <f ca="1">AVERAGE(OFFSET($FI$3,0,0,'Données projet'!$E$16+1,1))-AVERAGE(OFFSET($H$3,0,0,'Données projet'!$E$16+1,1))</f>
        <v>283.95543623515323</v>
      </c>
      <c r="FK146" s="62">
        <f t="shared" si="156"/>
        <v>196.96883829830929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5.6843418860808015E-14</v>
      </c>
      <c r="GA146" s="18">
        <f>FZ146*VLOOKUP('Données projet'!$B$17,Paramètres!$A$1:$I$89,3,0)*VLOOKUP('Données projet'!$B$17,Paramètres!$A$1:$I$89,5,0)</f>
        <v>3.3992364478763198E-14</v>
      </c>
      <c r="GB146" s="14">
        <f t="shared" si="157"/>
        <v>5.790027782444094E-13</v>
      </c>
      <c r="GC146" s="22">
        <f t="shared" si="133"/>
        <v>1.0676332069095257E-12</v>
      </c>
      <c r="GD146" s="62">
        <f t="shared" si="134"/>
        <v>285.82766277731253</v>
      </c>
      <c r="GE146" s="62">
        <f ca="1">AVERAGE(OFFSET($GD$3,0,0,'Données projet'!$E$17+1,1))-AVERAGE(OFFSET($H$3,0,0,'Données projet'!$E$17+1,1))</f>
        <v>223.57443551076992</v>
      </c>
      <c r="GF146" s="62">
        <f t="shared" si="158"/>
        <v>382.12751862619427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2.8392569503277278</v>
      </c>
      <c r="GM146" s="23">
        <f>EXP(-LN(2)/25)*GM145+(1-EXP(-LN(2)/25))/(LN(2)/25)*Calculateur!GH146*Calculateur!GJ146*VLOOKUP('Données projet'!$B$17,Paramètres!$A$1:$I$89,3,0)*0.475*44/12</f>
        <v>0.60497495698717974</v>
      </c>
      <c r="GN146" s="23">
        <f>EXP(-LN(2)/2)*GN145+(1-EXP(-LN(2)/2))/(LN(2)/2)*GH146*GK146*VLOOKUP('Données projet'!$B$17,Paramètres!$A$1:$I$89,3,0)*0.475*44/12</f>
        <v>9.9481033489134942E-17</v>
      </c>
      <c r="GO146" s="23">
        <f t="shared" si="135"/>
        <v>3.4442319073149075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5.8013801410682806</v>
      </c>
      <c r="GU146" s="13">
        <f>IF('Données projet'!$A$270&gt;35,GU145+GT146-HC145,IF(A146&lt;'Données projet'!$A$270,$GR$205^A146,IF(A146='Données projet'!$A$270,'Données projet'!$B$270,GU145+GT146-HC145)))</f>
        <v>561.44644653511398</v>
      </c>
      <c r="GV146" s="18">
        <f>GU146*VLOOKUP('Données projet'!$B$18,Paramètres!$A$1:$I$89,3,0)*VLOOKUP('Données projet'!$B$18,Paramètres!$A$1:$I$89,5,0)</f>
        <v>613.09951961634442</v>
      </c>
      <c r="GW146" s="14">
        <f t="shared" si="159"/>
        <v>133.84878557077928</v>
      </c>
      <c r="GX146" s="22">
        <f t="shared" si="136"/>
        <v>1300.9349648675736</v>
      </c>
      <c r="GY146" s="62">
        <f t="shared" si="137"/>
        <v>1586.762627644885</v>
      </c>
      <c r="GZ146" s="62">
        <f ca="1">AVERAGE(OFFSET($GY$3,0,0,'Données projet'!$E$18+1,1))-AVERAGE(OFFSET($H$3,0,0,'Données projet'!$E$18+1,1))</f>
        <v>754.33260592777049</v>
      </c>
      <c r="HA146" s="62">
        <f t="shared" si="160"/>
        <v>250.97643915279005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9">
        <f t="shared" si="110"/>
        <v>183.33333333333334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313.99999999999955</v>
      </c>
      <c r="O147" s="14">
        <f>N147*VLOOKUP('Données projet'!$B$9,Paramètres!$A$1:$I$89,3,0)*VLOOKUP('Données projet'!$B$9,Paramètres!$A$1:$I$89,5,0)</f>
        <v>284.10719999999958</v>
      </c>
      <c r="P147" s="14">
        <f t="shared" si="141"/>
        <v>67.834241327943658</v>
      </c>
      <c r="Q147" s="22">
        <f t="shared" si="108"/>
        <v>612.96467697950118</v>
      </c>
      <c r="R147" s="62">
        <f t="shared" si="109"/>
        <v>898.92254636079406</v>
      </c>
      <c r="S147" s="62">
        <f ca="1">AVERAGE(OFFSET($R$3,0,0,'Données projet'!$E$9+1,1))-AVERAGE(OFFSET($H$3,0,0,'Données projet'!$E$9+1,1))</f>
        <v>550.39292625253665</v>
      </c>
      <c r="T147" s="62">
        <f t="shared" si="142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3.5</v>
      </c>
      <c r="AI147" s="14">
        <f>IF('Données projet'!$A$62&gt;35,AI146+AH147-AQ146,IF(A147&lt;'Données projet'!$A$62,$AF$205^A147,IF(A147='Données projet'!$A$62,'Données projet'!$B$62,AI146+AH147-AQ146)))</f>
        <v>313.99999999999955</v>
      </c>
      <c r="AJ147" s="14">
        <f>AI147*VLOOKUP('Données projet'!$B$10,Paramètres!$A$1:$I$89,3,0)*VLOOKUP('Données projet'!$B$10,Paramètres!$A$1:$I$89,5,0)</f>
        <v>318.39599999999956</v>
      </c>
      <c r="AK147" s="14">
        <f t="shared" si="143"/>
        <v>75.019512724334874</v>
      </c>
      <c r="AL147" s="22">
        <f t="shared" si="112"/>
        <v>685.19868466154912</v>
      </c>
      <c r="AM147" s="62">
        <f t="shared" si="113"/>
        <v>971.156554042842</v>
      </c>
      <c r="AN147" s="62">
        <f ca="1">AVERAGE(OFFSET($AM$3,0,0,'Données projet'!$E$10+1,1))-AVERAGE(OFFSET($H$3,0,0,'Données projet'!$E$10+1,1))</f>
        <v>606.55142836375308</v>
      </c>
      <c r="AO147" s="62">
        <f t="shared" si="144"/>
        <v>325.72635759450861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5.1159076974727213E-13</v>
      </c>
      <c r="BE147" s="14">
        <f>BD147*VLOOKUP('Données projet'!$B$11,Paramètres!$A$1:$I$89,3,0)*VLOOKUP('Données projet'!$B$11,Paramètres!$A$1:$I$89,5,0)</f>
        <v>5.3471467253984886E-13</v>
      </c>
      <c r="BF147" s="14">
        <f t="shared" si="145"/>
        <v>6.6087717628803869E-12</v>
      </c>
      <c r="BG147" s="22">
        <f t="shared" si="115"/>
        <v>1.244157220835691E-11</v>
      </c>
      <c r="BH147" s="62">
        <f t="shared" si="116"/>
        <v>285.95786938130533</v>
      </c>
      <c r="BI147" s="62">
        <f ca="1">AVERAGE(OFFSET($BH$3,0,0,'Données projet'!$E$11+1,1))-AVERAGE(OFFSET($H$3,0,0,'Données projet'!$E$11+1,1))</f>
        <v>635.13577238794812</v>
      </c>
      <c r="BJ147" s="62">
        <f t="shared" si="146"/>
        <v>374.35810525172019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-6.8212102632969618E-13</v>
      </c>
      <c r="BZ147" s="14">
        <f>BY147*VLOOKUP('Données projet'!$B$12,Paramètres!$A$1:$I$89,3,0)*VLOOKUP('Données projet'!$B$12,Paramètres!$A$1:$I$89,5,0)</f>
        <v>-3.0149749363772573E-13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580.02817743695846</v>
      </c>
      <c r="CE147" s="62">
        <f t="shared" si="148"/>
        <v>551.23515633208865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3.979039320256561E-13</v>
      </c>
      <c r="CU147" s="18">
        <f>CT147*VLOOKUP('Données projet'!$B$13,Paramètres!$A$1:$I$89,3,0)*VLOOKUP('Données projet'!$B$13,Paramètres!$A$1:$I$89,5,0)</f>
        <v>1.8621904018800707E-13</v>
      </c>
      <c r="CV147" s="14">
        <f t="shared" si="149"/>
        <v>2.6022279988572714E-12</v>
      </c>
      <c r="CW147" s="22">
        <f t="shared" si="121"/>
        <v>4.8565452596705266E-12</v>
      </c>
      <c r="CX147" s="62">
        <f t="shared" si="122"/>
        <v>285.95786938129771</v>
      </c>
      <c r="CY147" s="62">
        <f ca="1">AVERAGE(OFFSET($CX$3,0,0,'Données projet'!$E$13+1,1))-AVERAGE(OFFSET($H$3,0,0,'Données projet'!$E$13+1,1))</f>
        <v>321.05795935196863</v>
      </c>
      <c r="CZ147" s="62">
        <f t="shared" si="150"/>
        <v>209.59551322748908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3.5</v>
      </c>
      <c r="DO147" s="13">
        <f>IF('Données projet'!$A$166&gt;35,DO146+DN147-DW146,IF(A147&lt;'Données projet'!$A$166,$DL$205^A147,IF(A147='Données projet'!$A$166,'Données projet'!$B$166,DO146+DN147-DW146)))</f>
        <v>313.99999999999955</v>
      </c>
      <c r="DP147" s="18">
        <f>DO147*VLOOKUP('Données projet'!$B$14,Paramètres!$A$1:$I$89,3,0)*VLOOKUP('Données projet'!$B$14,Paramètres!$A$1:$I$89,5,0)</f>
        <v>337.98959999999948</v>
      </c>
      <c r="DQ147" s="14">
        <f t="shared" si="151"/>
        <v>79.084441798113929</v>
      </c>
      <c r="DR147" s="22">
        <f t="shared" si="124"/>
        <v>726.40395613171404</v>
      </c>
      <c r="DS147" s="62">
        <f t="shared" si="125"/>
        <v>1012.3618255130069</v>
      </c>
      <c r="DT147" s="62">
        <f ca="1">AVERAGE(OFFSET($DS$3,0,0,'Données projet'!$E$14+1,1))-AVERAGE(OFFSET($H$3,0,0,'Données projet'!$E$14+1,1))</f>
        <v>638.58602907610805</v>
      </c>
      <c r="DU147" s="62">
        <f t="shared" si="152"/>
        <v>341.9250949809848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3.3992364478763198E-14</v>
      </c>
      <c r="EL147" s="14">
        <f t="shared" si="153"/>
        <v>5.790027782444094E-13</v>
      </c>
      <c r="EM147" s="22">
        <f t="shared" si="127"/>
        <v>1.0676332069095257E-12</v>
      </c>
      <c r="EN147" s="62">
        <f t="shared" si="128"/>
        <v>285.95786938129396</v>
      </c>
      <c r="EO147" s="62">
        <f ca="1">AVERAGE(OFFSET($EN$3,0,0,'Données projet'!$E$15+1,1))-AVERAGE(OFFSET($H$3,0,0,'Données projet'!$E$15+1,1))</f>
        <v>223.57443551076992</v>
      </c>
      <c r="EP147" s="62">
        <f t="shared" si="154"/>
        <v>382.12751862619427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2.7835808533075421</v>
      </c>
      <c r="EW147" s="23">
        <f>EXP(-LN(2)/25)*EW146+(1-EXP(-LN(2)/25))/(LN(2)/25)*Calculateur!ER147*Calculateur!ET147*VLOOKUP('Données projet'!$B$15,Paramètres!$A$1:$I$89,3,0)*0.475*44/12</f>
        <v>0.58843188497411503</v>
      </c>
      <c r="EX147" s="23">
        <f>EXP(-LN(2)/2)*EX146+(1-EXP(-LN(2)/2))/(LN(2)/2)*ER147*EU147*VLOOKUP('Données projet'!$B$15,Paramètres!$A$1:$I$89,3,0)*0.475*44/12</f>
        <v>7.0343713379613347E-17</v>
      </c>
      <c r="EY147" s="24">
        <f t="shared" si="129"/>
        <v>3.3720127382816569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1.1341666666666668</v>
      </c>
      <c r="FE147" s="13">
        <f>IF('Données projet'!$A$218&gt;35,FE146+FD147-FM146,IF(A147&lt;'Données projet'!$A$218,$FB$205^A147,IF(A147='Données projet'!$A$218,'Données projet'!$B$218,FE146+FD147-FM146)))</f>
        <v>123.4075</v>
      </c>
      <c r="FF147" s="18">
        <f>FE147*VLOOKUP('Données projet'!$B$16,Paramètres!$A$1:$I$89,3,0)*VLOOKUP('Données projet'!$B$16,Paramètres!$A$1:$I$89,5,0)</f>
        <v>142.16543999999999</v>
      </c>
      <c r="FG147" s="14">
        <f t="shared" si="155"/>
        <v>36.792633374400118</v>
      </c>
      <c r="FH147" s="22">
        <f t="shared" si="130"/>
        <v>311.68531112708018</v>
      </c>
      <c r="FI147" s="62">
        <f t="shared" si="131"/>
        <v>597.64318050837301</v>
      </c>
      <c r="FJ147" s="62">
        <f ca="1">AVERAGE(OFFSET($FI$3,0,0,'Données projet'!$E$16+1,1))-AVERAGE(OFFSET($H$3,0,0,'Données projet'!$E$16+1,1))</f>
        <v>283.95543623515323</v>
      </c>
      <c r="FK147" s="62">
        <f t="shared" si="156"/>
        <v>196.96883829830929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5.6843418860808015E-14</v>
      </c>
      <c r="GA147" s="18">
        <f>FZ147*VLOOKUP('Données projet'!$B$17,Paramètres!$A$1:$I$89,3,0)*VLOOKUP('Données projet'!$B$17,Paramètres!$A$1:$I$89,5,0)</f>
        <v>3.3992364478763198E-14</v>
      </c>
      <c r="GB147" s="14">
        <f t="shared" si="157"/>
        <v>5.790027782444094E-13</v>
      </c>
      <c r="GC147" s="22">
        <f t="shared" si="133"/>
        <v>1.0676332069095257E-12</v>
      </c>
      <c r="GD147" s="62">
        <f t="shared" si="134"/>
        <v>285.95786938129396</v>
      </c>
      <c r="GE147" s="62">
        <f ca="1">AVERAGE(OFFSET($GD$3,0,0,'Données projet'!$E$17+1,1))-AVERAGE(OFFSET($H$3,0,0,'Données projet'!$E$17+1,1))</f>
        <v>223.57443551076992</v>
      </c>
      <c r="GF147" s="62">
        <f t="shared" si="158"/>
        <v>382.12751862619427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2.7835808533075421</v>
      </c>
      <c r="GM147" s="23">
        <f>EXP(-LN(2)/25)*GM146+(1-EXP(-LN(2)/25))/(LN(2)/25)*Calculateur!GH147*Calculateur!GJ147*VLOOKUP('Données projet'!$B$17,Paramètres!$A$1:$I$89,3,0)*0.475*44/12</f>
        <v>0.58843188497411503</v>
      </c>
      <c r="GN147" s="23">
        <f>EXP(-LN(2)/2)*GN146+(1-EXP(-LN(2)/2))/(LN(2)/2)*GH147*GK147*VLOOKUP('Données projet'!$B$17,Paramètres!$A$1:$I$89,3,0)*0.475*44/12</f>
        <v>7.0343713379613347E-17</v>
      </c>
      <c r="GO147" s="23">
        <f t="shared" si="135"/>
        <v>3.3720127382816569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5.8013801410682806</v>
      </c>
      <c r="GU147" s="13">
        <f>IF('Données projet'!$A$270&gt;35,GU146+GT147-HC146,IF(A147&lt;'Données projet'!$A$270,$GR$205^A147,IF(A147='Données projet'!$A$270,'Données projet'!$B$270,GU146+GT147-HC146)))</f>
        <v>567.24782667618229</v>
      </c>
      <c r="GV147" s="18">
        <f>GU147*VLOOKUP('Données projet'!$B$18,Paramètres!$A$1:$I$89,3,0)*VLOOKUP('Données projet'!$B$18,Paramètres!$A$1:$I$89,5,0)</f>
        <v>619.43462673039107</v>
      </c>
      <c r="GW147" s="14">
        <f t="shared" si="159"/>
        <v>135.07011515033281</v>
      </c>
      <c r="GX147" s="22">
        <f t="shared" si="136"/>
        <v>1314.0957587755943</v>
      </c>
      <c r="GY147" s="62">
        <f t="shared" si="137"/>
        <v>1600.053628156887</v>
      </c>
      <c r="GZ147" s="62">
        <f ca="1">AVERAGE(OFFSET($GY$3,0,0,'Données projet'!$E$18+1,1))-AVERAGE(OFFSET($H$3,0,0,'Données projet'!$E$18+1,1))</f>
        <v>754.33260592777049</v>
      </c>
      <c r="HA147" s="62">
        <f t="shared" si="160"/>
        <v>250.97643915279005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9">
        <f t="shared" si="110"/>
        <v>183.33333333333334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317.49999999999955</v>
      </c>
      <c r="O148" s="14">
        <f>N148*VLOOKUP('Données projet'!$B$9,Paramètres!$A$1:$I$89,3,0)*VLOOKUP('Données projet'!$B$9,Paramètres!$A$1:$I$89,5,0)</f>
        <v>287.2739999999996</v>
      </c>
      <c r="P148" s="14">
        <f t="shared" si="141"/>
        <v>68.501912166991971</v>
      </c>
      <c r="Q148" s="22">
        <f t="shared" si="108"/>
        <v>619.64304702417701</v>
      </c>
      <c r="R148" s="62">
        <f t="shared" si="109"/>
        <v>905.72886421597059</v>
      </c>
      <c r="S148" s="62">
        <f ca="1">AVERAGE(OFFSET($R$3,0,0,'Données projet'!$E$9+1,1))-AVERAGE(OFFSET($H$3,0,0,'Données projet'!$E$9+1,1))</f>
        <v>550.39292625253665</v>
      </c>
      <c r="T148" s="62">
        <f t="shared" si="142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3.5</v>
      </c>
      <c r="AI148" s="14">
        <f>IF('Données projet'!$A$62&gt;35,AI147+AH148-AQ147,IF(A148&lt;'Données projet'!$A$62,$AF$205^A148,IF(A148='Données projet'!$A$62,'Données projet'!$B$62,AI147+AH148-AQ147)))</f>
        <v>317.49999999999955</v>
      </c>
      <c r="AJ148" s="14">
        <f>AI148*VLOOKUP('Données projet'!$B$10,Paramètres!$A$1:$I$89,3,0)*VLOOKUP('Données projet'!$B$10,Paramètres!$A$1:$I$89,5,0)</f>
        <v>321.9449999999996</v>
      </c>
      <c r="AK148" s="14">
        <f t="shared" si="143"/>
        <v>75.757905901955908</v>
      </c>
      <c r="AL148" s="22">
        <f t="shared" si="112"/>
        <v>692.66589444590579</v>
      </c>
      <c r="AM148" s="62">
        <f t="shared" si="113"/>
        <v>978.75171163769937</v>
      </c>
      <c r="AN148" s="62">
        <f ca="1">AVERAGE(OFFSET($AM$3,0,0,'Données projet'!$E$10+1,1))-AVERAGE(OFFSET($H$3,0,0,'Données projet'!$E$10+1,1))</f>
        <v>606.55142836375308</v>
      </c>
      <c r="AO148" s="62">
        <f t="shared" si="144"/>
        <v>325.72635759450861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5.1159076974727213E-13</v>
      </c>
      <c r="BE148" s="14">
        <f>BD148*VLOOKUP('Données projet'!$B$11,Paramètres!$A$1:$I$89,3,0)*VLOOKUP('Données projet'!$B$11,Paramètres!$A$1:$I$89,5,0)</f>
        <v>5.3471467253984886E-13</v>
      </c>
      <c r="BF148" s="14">
        <f t="shared" si="145"/>
        <v>6.6087717628803869E-12</v>
      </c>
      <c r="BG148" s="22">
        <f t="shared" si="115"/>
        <v>1.244157220835691E-11</v>
      </c>
      <c r="BH148" s="62">
        <f t="shared" si="116"/>
        <v>286.08581719180603</v>
      </c>
      <c r="BI148" s="62">
        <f ca="1">AVERAGE(OFFSET($BH$3,0,0,'Données projet'!$E$11+1,1))-AVERAGE(OFFSET($H$3,0,0,'Données projet'!$E$11+1,1))</f>
        <v>635.13577238794812</v>
      </c>
      <c r="BJ148" s="62">
        <f t="shared" si="146"/>
        <v>374.35810525172019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-6.8212102632969618E-13</v>
      </c>
      <c r="BZ148" s="14">
        <f>BY148*VLOOKUP('Données projet'!$B$12,Paramètres!$A$1:$I$89,3,0)*VLOOKUP('Données projet'!$B$12,Paramètres!$A$1:$I$89,5,0)</f>
        <v>-3.0149749363772573E-13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580.02817743695846</v>
      </c>
      <c r="CE148" s="62">
        <f t="shared" si="148"/>
        <v>551.23515633208865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3.979039320256561E-13</v>
      </c>
      <c r="CU148" s="18">
        <f>CT148*VLOOKUP('Données projet'!$B$13,Paramètres!$A$1:$I$89,3,0)*VLOOKUP('Données projet'!$B$13,Paramètres!$A$1:$I$89,5,0)</f>
        <v>1.8621904018800707E-13</v>
      </c>
      <c r="CV148" s="14">
        <f t="shared" si="149"/>
        <v>2.6022279988572714E-12</v>
      </c>
      <c r="CW148" s="22">
        <f t="shared" si="121"/>
        <v>4.8565452596705266E-12</v>
      </c>
      <c r="CX148" s="62">
        <f t="shared" si="122"/>
        <v>286.08581719179841</v>
      </c>
      <c r="CY148" s="62">
        <f ca="1">AVERAGE(OFFSET($CX$3,0,0,'Données projet'!$E$13+1,1))-AVERAGE(OFFSET($H$3,0,0,'Données projet'!$E$13+1,1))</f>
        <v>321.05795935196863</v>
      </c>
      <c r="CZ148" s="62">
        <f t="shared" si="150"/>
        <v>209.59551322748908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3.5</v>
      </c>
      <c r="DO148" s="13">
        <f>IF('Données projet'!$A$166&gt;35,DO147+DN148-DW147,IF(A148&lt;'Données projet'!$A$166,$DL$205^A148,IF(A148='Données projet'!$A$166,'Données projet'!$B$166,DO147+DN148-DW147)))</f>
        <v>317.49999999999955</v>
      </c>
      <c r="DP148" s="18">
        <f>DO148*VLOOKUP('Données projet'!$B$14,Paramètres!$A$1:$I$89,3,0)*VLOOKUP('Données projet'!$B$14,Paramètres!$A$1:$I$89,5,0)</f>
        <v>341.75699999999949</v>
      </c>
      <c r="DQ148" s="14">
        <f t="shared" si="151"/>
        <v>79.862844778339536</v>
      </c>
      <c r="DR148" s="22">
        <f t="shared" si="124"/>
        <v>734.32122965560711</v>
      </c>
      <c r="DS148" s="62">
        <f t="shared" si="125"/>
        <v>1020.4070468474007</v>
      </c>
      <c r="DT148" s="62">
        <f ca="1">AVERAGE(OFFSET($DS$3,0,0,'Données projet'!$E$14+1,1))-AVERAGE(OFFSET($H$3,0,0,'Données projet'!$E$14+1,1))</f>
        <v>638.58602907610805</v>
      </c>
      <c r="DU148" s="62">
        <f t="shared" si="152"/>
        <v>341.9250949809848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3.3992364478763198E-14</v>
      </c>
      <c r="EL148" s="14">
        <f t="shared" si="153"/>
        <v>5.790027782444094E-13</v>
      </c>
      <c r="EM148" s="22">
        <f t="shared" si="127"/>
        <v>1.0676332069095257E-12</v>
      </c>
      <c r="EN148" s="62">
        <f t="shared" si="128"/>
        <v>286.08581719179466</v>
      </c>
      <c r="EO148" s="62">
        <f ca="1">AVERAGE(OFFSET($EN$3,0,0,'Données projet'!$E$15+1,1))-AVERAGE(OFFSET($H$3,0,0,'Données projet'!$E$15+1,1))</f>
        <v>223.57443551076992</v>
      </c>
      <c r="EP148" s="62">
        <f t="shared" si="154"/>
        <v>382.12751862619427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2.7289965305908561</v>
      </c>
      <c r="EW148" s="23">
        <f>EXP(-LN(2)/25)*EW147+(1-EXP(-LN(2)/25))/(LN(2)/25)*Calculateur!ER148*Calculateur!ET148*VLOOKUP('Données projet'!$B$15,Paramètres!$A$1:$I$89,3,0)*0.475*44/12</f>
        <v>0.57234118413520985</v>
      </c>
      <c r="EX148" s="23">
        <f>EXP(-LN(2)/2)*EX147+(1-EXP(-LN(2)/2))/(LN(2)/2)*ER148*EU148*VLOOKUP('Données projet'!$B$15,Paramètres!$A$1:$I$89,3,0)*0.475*44/12</f>
        <v>4.9740516744567471E-17</v>
      </c>
      <c r="EY148" s="24">
        <f t="shared" si="129"/>
        <v>3.3013377147260661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1.1341666666666668</v>
      </c>
      <c r="FE148" s="13">
        <f>IF('Données projet'!$A$218&gt;35,FE147+FD148-FM147,IF(A148&lt;'Données projet'!$A$218,$FB$205^A148,IF(A148='Données projet'!$A$218,'Données projet'!$B$218,FE147+FD148-FM147)))</f>
        <v>124.54166666666667</v>
      </c>
      <c r="FF148" s="18">
        <f>FE148*VLOOKUP('Données projet'!$B$16,Paramètres!$A$1:$I$89,3,0)*VLOOKUP('Données projet'!$B$16,Paramètres!$A$1:$I$89,5,0)</f>
        <v>143.47200000000001</v>
      </c>
      <c r="FG148" s="14">
        <f t="shared" si="155"/>
        <v>37.091254368743478</v>
      </c>
      <c r="FH148" s="22">
        <f t="shared" si="130"/>
        <v>314.4810013588949</v>
      </c>
      <c r="FI148" s="62">
        <f t="shared" si="131"/>
        <v>600.56681855068848</v>
      </c>
      <c r="FJ148" s="62">
        <f ca="1">AVERAGE(OFFSET($FI$3,0,0,'Données projet'!$E$16+1,1))-AVERAGE(OFFSET($H$3,0,0,'Données projet'!$E$16+1,1))</f>
        <v>283.95543623515323</v>
      </c>
      <c r="FK148" s="62">
        <f t="shared" si="156"/>
        <v>196.96883829830929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5.6843418860808015E-14</v>
      </c>
      <c r="GA148" s="18">
        <f>FZ148*VLOOKUP('Données projet'!$B$17,Paramètres!$A$1:$I$89,3,0)*VLOOKUP('Données projet'!$B$17,Paramètres!$A$1:$I$89,5,0)</f>
        <v>3.3992364478763198E-14</v>
      </c>
      <c r="GB148" s="14">
        <f t="shared" si="157"/>
        <v>5.790027782444094E-13</v>
      </c>
      <c r="GC148" s="22">
        <f t="shared" si="133"/>
        <v>1.0676332069095257E-12</v>
      </c>
      <c r="GD148" s="62">
        <f t="shared" si="134"/>
        <v>286.08581719179466</v>
      </c>
      <c r="GE148" s="62">
        <f ca="1">AVERAGE(OFFSET($GD$3,0,0,'Données projet'!$E$17+1,1))-AVERAGE(OFFSET($H$3,0,0,'Données projet'!$E$17+1,1))</f>
        <v>223.57443551076992</v>
      </c>
      <c r="GF148" s="62">
        <f t="shared" si="158"/>
        <v>382.12751862619427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2.7289965305908561</v>
      </c>
      <c r="GM148" s="23">
        <f>EXP(-LN(2)/25)*GM147+(1-EXP(-LN(2)/25))/(LN(2)/25)*Calculateur!GH148*Calculateur!GJ148*VLOOKUP('Données projet'!$B$17,Paramètres!$A$1:$I$89,3,0)*0.475*44/12</f>
        <v>0.57234118413520985</v>
      </c>
      <c r="GN148" s="23">
        <f>EXP(-LN(2)/2)*GN147+(1-EXP(-LN(2)/2))/(LN(2)/2)*GH148*GK148*VLOOKUP('Données projet'!$B$17,Paramètres!$A$1:$I$89,3,0)*0.475*44/12</f>
        <v>4.9740516744567471E-17</v>
      </c>
      <c r="GO148" s="23">
        <f t="shared" si="135"/>
        <v>3.3013377147260661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5.8013801410682806</v>
      </c>
      <c r="GU148" s="13">
        <f>IF('Données projet'!$A$270&gt;35,GU147+GT148-HC147,IF(A148&lt;'Données projet'!$A$270,$GR$205^A148,IF(A148='Données projet'!$A$270,'Données projet'!$B$270,GU147+GT148-HC147)))</f>
        <v>573.04920681725059</v>
      </c>
      <c r="GV148" s="18">
        <f>GU148*VLOOKUP('Données projet'!$B$18,Paramètres!$A$1:$I$89,3,0)*VLOOKUP('Données projet'!$B$18,Paramètres!$A$1:$I$89,5,0)</f>
        <v>625.76973384443761</v>
      </c>
      <c r="GW148" s="14">
        <f t="shared" si="159"/>
        <v>136.28999163535357</v>
      </c>
      <c r="GX148" s="22">
        <f t="shared" si="136"/>
        <v>1327.2540218773029</v>
      </c>
      <c r="GY148" s="62">
        <f t="shared" si="137"/>
        <v>1613.3398390690963</v>
      </c>
      <c r="GZ148" s="62">
        <f ca="1">AVERAGE(OFFSET($GY$3,0,0,'Données projet'!$E$18+1,1))-AVERAGE(OFFSET($H$3,0,0,'Données projet'!$E$18+1,1))</f>
        <v>754.33260592777049</v>
      </c>
      <c r="HA148" s="62">
        <f t="shared" si="160"/>
        <v>250.97643915279005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9">
        <f t="shared" si="110"/>
        <v>183.33333333333334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320.99999999999955</v>
      </c>
      <c r="O149" s="14">
        <f>N149*VLOOKUP('Données projet'!$B$9,Paramètres!$A$1:$I$89,3,0)*VLOOKUP('Données projet'!$B$9,Paramètres!$A$1:$I$89,5,0)</f>
        <v>290.44079999999957</v>
      </c>
      <c r="P149" s="14">
        <f t="shared" si="141"/>
        <v>69.168726815543238</v>
      </c>
      <c r="Q149" s="22">
        <f t="shared" si="108"/>
        <v>626.31992587040372</v>
      </c>
      <c r="R149" s="62">
        <f t="shared" si="109"/>
        <v>912.53147126423437</v>
      </c>
      <c r="S149" s="62">
        <f ca="1">AVERAGE(OFFSET($R$3,0,0,'Données projet'!$E$9+1,1))-AVERAGE(OFFSET($H$3,0,0,'Données projet'!$E$9+1,1))</f>
        <v>550.39292625253665</v>
      </c>
      <c r="T149" s="62">
        <f t="shared" si="142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3.5</v>
      </c>
      <c r="AI149" s="14">
        <f>IF('Données projet'!$A$62&gt;35,AI148+AH149-AQ148,IF(A149&lt;'Données projet'!$A$62,$AF$205^A149,IF(A149='Données projet'!$A$62,'Données projet'!$B$62,AI148+AH149-AQ148)))</f>
        <v>320.99999999999955</v>
      </c>
      <c r="AJ149" s="14">
        <f>AI149*VLOOKUP('Données projet'!$B$10,Paramètres!$A$1:$I$89,3,0)*VLOOKUP('Données projet'!$B$10,Paramètres!$A$1:$I$89,5,0)</f>
        <v>325.49399999999957</v>
      </c>
      <c r="AK149" s="14">
        <f t="shared" si="143"/>
        <v>76.495352197992801</v>
      </c>
      <c r="AL149" s="22">
        <f t="shared" si="112"/>
        <v>700.13145507817001</v>
      </c>
      <c r="AM149" s="62">
        <f t="shared" si="113"/>
        <v>986.34300047200065</v>
      </c>
      <c r="AN149" s="62">
        <f ca="1">AVERAGE(OFFSET($AM$3,0,0,'Données projet'!$E$10+1,1))-AVERAGE(OFFSET($H$3,0,0,'Données projet'!$E$10+1,1))</f>
        <v>606.55142836375308</v>
      </c>
      <c r="AO149" s="62">
        <f t="shared" si="144"/>
        <v>325.72635759450861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5.1159076974727213E-13</v>
      </c>
      <c r="BE149" s="14">
        <f>BD149*VLOOKUP('Données projet'!$B$11,Paramètres!$A$1:$I$89,3,0)*VLOOKUP('Données projet'!$B$11,Paramètres!$A$1:$I$89,5,0)</f>
        <v>5.3471467253984886E-13</v>
      </c>
      <c r="BF149" s="14">
        <f t="shared" si="145"/>
        <v>6.6087717628803869E-12</v>
      </c>
      <c r="BG149" s="22">
        <f t="shared" si="115"/>
        <v>1.244157220835691E-11</v>
      </c>
      <c r="BH149" s="62">
        <f t="shared" si="116"/>
        <v>286.2115453938431</v>
      </c>
      <c r="BI149" s="62">
        <f ca="1">AVERAGE(OFFSET($BH$3,0,0,'Données projet'!$E$11+1,1))-AVERAGE(OFFSET($H$3,0,0,'Données projet'!$E$11+1,1))</f>
        <v>635.13577238794812</v>
      </c>
      <c r="BJ149" s="62">
        <f t="shared" si="146"/>
        <v>374.35810525172019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-6.8212102632969618E-13</v>
      </c>
      <c r="BZ149" s="14">
        <f>BY149*VLOOKUP('Données projet'!$B$12,Paramètres!$A$1:$I$89,3,0)*VLOOKUP('Données projet'!$B$12,Paramètres!$A$1:$I$89,5,0)</f>
        <v>-3.0149749363772573E-13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580.02817743695846</v>
      </c>
      <c r="CE149" s="62">
        <f t="shared" si="148"/>
        <v>551.23515633208865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3.979039320256561E-13</v>
      </c>
      <c r="CU149" s="18">
        <f>CT149*VLOOKUP('Données projet'!$B$13,Paramètres!$A$1:$I$89,3,0)*VLOOKUP('Données projet'!$B$13,Paramètres!$A$1:$I$89,5,0)</f>
        <v>1.8621904018800707E-13</v>
      </c>
      <c r="CV149" s="14">
        <f t="shared" si="149"/>
        <v>2.6022279988572714E-12</v>
      </c>
      <c r="CW149" s="22">
        <f t="shared" si="121"/>
        <v>4.8565452596705266E-12</v>
      </c>
      <c r="CX149" s="62">
        <f t="shared" si="122"/>
        <v>286.21154539383548</v>
      </c>
      <c r="CY149" s="62">
        <f ca="1">AVERAGE(OFFSET($CX$3,0,0,'Données projet'!$E$13+1,1))-AVERAGE(OFFSET($H$3,0,0,'Données projet'!$E$13+1,1))</f>
        <v>321.05795935196863</v>
      </c>
      <c r="CZ149" s="62">
        <f t="shared" si="150"/>
        <v>209.59551322748908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3.5</v>
      </c>
      <c r="DO149" s="13">
        <f>IF('Données projet'!$A$166&gt;35,DO148+DN149-DW148,IF(A149&lt;'Données projet'!$A$166,$DL$205^A149,IF(A149='Données projet'!$A$166,'Données projet'!$B$166,DO148+DN149-DW148)))</f>
        <v>320.99999999999955</v>
      </c>
      <c r="DP149" s="18">
        <f>DO149*VLOOKUP('Données projet'!$B$14,Paramètres!$A$1:$I$89,3,0)*VLOOKUP('Données projet'!$B$14,Paramètres!$A$1:$I$89,5,0)</f>
        <v>345.5243999999995</v>
      </c>
      <c r="DQ149" s="14">
        <f t="shared" si="151"/>
        <v>80.640249570243057</v>
      </c>
      <c r="DR149" s="22">
        <f t="shared" si="124"/>
        <v>742.23676466817244</v>
      </c>
      <c r="DS149" s="62">
        <f t="shared" si="125"/>
        <v>1028.4483100620032</v>
      </c>
      <c r="DT149" s="62">
        <f ca="1">AVERAGE(OFFSET($DS$3,0,0,'Données projet'!$E$14+1,1))-AVERAGE(OFFSET($H$3,0,0,'Données projet'!$E$14+1,1))</f>
        <v>638.58602907610805</v>
      </c>
      <c r="DU149" s="62">
        <f t="shared" si="152"/>
        <v>341.9250949809848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3.3992364478763198E-14</v>
      </c>
      <c r="EL149" s="14">
        <f t="shared" si="153"/>
        <v>5.790027782444094E-13</v>
      </c>
      <c r="EM149" s="22">
        <f t="shared" si="127"/>
        <v>1.0676332069095257E-12</v>
      </c>
      <c r="EN149" s="62">
        <f t="shared" si="128"/>
        <v>286.21154539383173</v>
      </c>
      <c r="EO149" s="62">
        <f ca="1">AVERAGE(OFFSET($EN$3,0,0,'Données projet'!$E$15+1,1))-AVERAGE(OFFSET($H$3,0,0,'Données projet'!$E$15+1,1))</f>
        <v>223.57443551076992</v>
      </c>
      <c r="EP149" s="62">
        <f t="shared" si="154"/>
        <v>382.12751862619427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2.6754825731494951</v>
      </c>
      <c r="EW149" s="23">
        <f>EXP(-LN(2)/25)*EW148+(1-EXP(-LN(2)/25))/(LN(2)/25)*Calculateur!ER149*Calculateur!ET149*VLOOKUP('Données projet'!$B$15,Paramètres!$A$1:$I$89,3,0)*0.475*44/12</f>
        <v>0.55669048435691781</v>
      </c>
      <c r="EX149" s="23">
        <f>EXP(-LN(2)/2)*EX148+(1-EXP(-LN(2)/2))/(LN(2)/2)*ER149*EU149*VLOOKUP('Données projet'!$B$15,Paramètres!$A$1:$I$89,3,0)*0.475*44/12</f>
        <v>3.5171856689806673E-17</v>
      </c>
      <c r="EY149" s="24">
        <f t="shared" si="129"/>
        <v>3.2321730575064129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1.1341666666666668</v>
      </c>
      <c r="FE149" s="13">
        <f>IF('Données projet'!$A$218&gt;35,FE148+FD149-FM148,IF(A149&lt;'Données projet'!$A$218,$FB$205^A149,IF(A149='Données projet'!$A$218,'Données projet'!$B$218,FE148+FD149-FM148)))</f>
        <v>125.67583333333334</v>
      </c>
      <c r="FF149" s="18">
        <f>FE149*VLOOKUP('Données projet'!$B$16,Paramètres!$A$1:$I$89,3,0)*VLOOKUP('Données projet'!$B$16,Paramètres!$A$1:$I$89,5,0)</f>
        <v>144.77856</v>
      </c>
      <c r="FG149" s="14">
        <f t="shared" si="155"/>
        <v>37.389558981127166</v>
      </c>
      <c r="FH149" s="22">
        <f t="shared" si="130"/>
        <v>317.2761405587965</v>
      </c>
      <c r="FI149" s="62">
        <f t="shared" si="131"/>
        <v>603.48768595262709</v>
      </c>
      <c r="FJ149" s="62">
        <f ca="1">AVERAGE(OFFSET($FI$3,0,0,'Données projet'!$E$16+1,1))-AVERAGE(OFFSET($H$3,0,0,'Données projet'!$E$16+1,1))</f>
        <v>283.95543623515323</v>
      </c>
      <c r="FK149" s="62">
        <f t="shared" si="156"/>
        <v>196.96883829830929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5.6843418860808015E-14</v>
      </c>
      <c r="GA149" s="18">
        <f>FZ149*VLOOKUP('Données projet'!$B$17,Paramètres!$A$1:$I$89,3,0)*VLOOKUP('Données projet'!$B$17,Paramètres!$A$1:$I$89,5,0)</f>
        <v>3.3992364478763198E-14</v>
      </c>
      <c r="GB149" s="14">
        <f t="shared" si="157"/>
        <v>5.790027782444094E-13</v>
      </c>
      <c r="GC149" s="22">
        <f t="shared" si="133"/>
        <v>1.0676332069095257E-12</v>
      </c>
      <c r="GD149" s="62">
        <f t="shared" si="134"/>
        <v>286.21154539383173</v>
      </c>
      <c r="GE149" s="62">
        <f ca="1">AVERAGE(OFFSET($GD$3,0,0,'Données projet'!$E$17+1,1))-AVERAGE(OFFSET($H$3,0,0,'Données projet'!$E$17+1,1))</f>
        <v>223.57443551076992</v>
      </c>
      <c r="GF149" s="62">
        <f t="shared" si="158"/>
        <v>382.12751862619427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2.6754825731494951</v>
      </c>
      <c r="GM149" s="23">
        <f>EXP(-LN(2)/25)*GM148+(1-EXP(-LN(2)/25))/(LN(2)/25)*Calculateur!GH149*Calculateur!GJ149*VLOOKUP('Données projet'!$B$17,Paramètres!$A$1:$I$89,3,0)*0.475*44/12</f>
        <v>0.55669048435691781</v>
      </c>
      <c r="GN149" s="23">
        <f>EXP(-LN(2)/2)*GN148+(1-EXP(-LN(2)/2))/(LN(2)/2)*GH149*GK149*VLOOKUP('Données projet'!$B$17,Paramètres!$A$1:$I$89,3,0)*0.475*44/12</f>
        <v>3.5171856689806673E-17</v>
      </c>
      <c r="GO149" s="23">
        <f t="shared" si="135"/>
        <v>3.2321730575064129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5.8013801410682806</v>
      </c>
      <c r="GU149" s="13">
        <f>IF('Données projet'!$A$270&gt;35,GU148+GT149-HC148,IF(A149&lt;'Données projet'!$A$270,$GR$205^A149,IF(A149='Données projet'!$A$270,'Données projet'!$B$270,GU148+GT149-HC148)))</f>
        <v>578.8505869583189</v>
      </c>
      <c r="GV149" s="18">
        <f>GU149*VLOOKUP('Données projet'!$B$18,Paramètres!$A$1:$I$89,3,0)*VLOOKUP('Données projet'!$B$18,Paramètres!$A$1:$I$89,5,0)</f>
        <v>632.10484095848426</v>
      </c>
      <c r="GW149" s="14">
        <f t="shared" si="159"/>
        <v>137.50843143975536</v>
      </c>
      <c r="GX149" s="22">
        <f t="shared" si="136"/>
        <v>1340.4097827602673</v>
      </c>
      <c r="GY149" s="62">
        <f t="shared" si="137"/>
        <v>1626.6213281540979</v>
      </c>
      <c r="GZ149" s="62">
        <f ca="1">AVERAGE(OFFSET($GY$3,0,0,'Données projet'!$E$18+1,1))-AVERAGE(OFFSET($H$3,0,0,'Données projet'!$E$18+1,1))</f>
        <v>754.33260592777049</v>
      </c>
      <c r="HA149" s="62">
        <f t="shared" si="160"/>
        <v>250.97643915279005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9">
        <f t="shared" si="110"/>
        <v>183.33333333333334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324.49999999999955</v>
      </c>
      <c r="O150" s="14">
        <f>N150*VLOOKUP('Données projet'!$B$9,Paramètres!$A$1:$I$89,3,0)*VLOOKUP('Données projet'!$B$9,Paramètres!$A$1:$I$89,5,0)</f>
        <v>293.60759999999959</v>
      </c>
      <c r="P150" s="14">
        <f t="shared" si="141"/>
        <v>69.834695689453554</v>
      </c>
      <c r="Q150" s="22">
        <f t="shared" si="108"/>
        <v>632.99533165913078</v>
      </c>
      <c r="R150" s="62">
        <f t="shared" si="109"/>
        <v>919.3304241517792</v>
      </c>
      <c r="S150" s="62">
        <f ca="1">AVERAGE(OFFSET($R$3,0,0,'Données projet'!$E$9+1,1))-AVERAGE(OFFSET($H$3,0,0,'Données projet'!$E$9+1,1))</f>
        <v>550.39292625253665</v>
      </c>
      <c r="T150" s="62">
        <f t="shared" si="142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3.5</v>
      </c>
      <c r="AI150" s="14">
        <f>IF('Données projet'!$A$62&gt;35,AI149+AH150-AQ149,IF(A150&lt;'Données projet'!$A$62,$AF$205^A150,IF(A150='Données projet'!$A$62,'Données projet'!$B$62,AI149+AH150-AQ149)))</f>
        <v>324.49999999999955</v>
      </c>
      <c r="AJ150" s="14">
        <f>AI150*VLOOKUP('Données projet'!$B$10,Paramètres!$A$1:$I$89,3,0)*VLOOKUP('Données projet'!$B$10,Paramètres!$A$1:$I$89,5,0)</f>
        <v>329.04299999999955</v>
      </c>
      <c r="AK150" s="14">
        <f t="shared" si="143"/>
        <v>77.231863131590359</v>
      </c>
      <c r="AL150" s="22">
        <f t="shared" si="112"/>
        <v>707.59538662085242</v>
      </c>
      <c r="AM150" s="62">
        <f t="shared" si="113"/>
        <v>993.93047911350084</v>
      </c>
      <c r="AN150" s="62">
        <f ca="1">AVERAGE(OFFSET($AM$3,0,0,'Données projet'!$E$10+1,1))-AVERAGE(OFFSET($H$3,0,0,'Données projet'!$E$10+1,1))</f>
        <v>606.55142836375308</v>
      </c>
      <c r="AO150" s="62">
        <f t="shared" si="144"/>
        <v>325.72635759450861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5.1159076974727213E-13</v>
      </c>
      <c r="BE150" s="14">
        <f>BD150*VLOOKUP('Données projet'!$B$11,Paramètres!$A$1:$I$89,3,0)*VLOOKUP('Données projet'!$B$11,Paramètres!$A$1:$I$89,5,0)</f>
        <v>5.3471467253984886E-13</v>
      </c>
      <c r="BF150" s="14">
        <f t="shared" si="145"/>
        <v>6.6087717628803869E-12</v>
      </c>
      <c r="BG150" s="22">
        <f t="shared" si="115"/>
        <v>1.244157220835691E-11</v>
      </c>
      <c r="BH150" s="62">
        <f t="shared" si="116"/>
        <v>286.33509249266086</v>
      </c>
      <c r="BI150" s="62">
        <f ca="1">AVERAGE(OFFSET($BH$3,0,0,'Données projet'!$E$11+1,1))-AVERAGE(OFFSET($H$3,0,0,'Données projet'!$E$11+1,1))</f>
        <v>635.13577238794812</v>
      </c>
      <c r="BJ150" s="62">
        <f t="shared" si="146"/>
        <v>374.35810525172019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-6.8212102632969618E-13</v>
      </c>
      <c r="BZ150" s="14">
        <f>BY150*VLOOKUP('Données projet'!$B$12,Paramètres!$A$1:$I$89,3,0)*VLOOKUP('Données projet'!$B$12,Paramètres!$A$1:$I$89,5,0)</f>
        <v>-3.0149749363772573E-13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580.02817743695846</v>
      </c>
      <c r="CE150" s="62">
        <f t="shared" si="148"/>
        <v>551.23515633208865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3.979039320256561E-13</v>
      </c>
      <c r="CU150" s="18">
        <f>CT150*VLOOKUP('Données projet'!$B$13,Paramètres!$A$1:$I$89,3,0)*VLOOKUP('Données projet'!$B$13,Paramètres!$A$1:$I$89,5,0)</f>
        <v>1.8621904018800707E-13</v>
      </c>
      <c r="CV150" s="14">
        <f t="shared" si="149"/>
        <v>2.6022279988572714E-12</v>
      </c>
      <c r="CW150" s="22">
        <f t="shared" si="121"/>
        <v>4.8565452596705266E-12</v>
      </c>
      <c r="CX150" s="62">
        <f t="shared" si="122"/>
        <v>286.33509249265325</v>
      </c>
      <c r="CY150" s="62">
        <f ca="1">AVERAGE(OFFSET($CX$3,0,0,'Données projet'!$E$13+1,1))-AVERAGE(OFFSET($H$3,0,0,'Données projet'!$E$13+1,1))</f>
        <v>321.05795935196863</v>
      </c>
      <c r="CZ150" s="62">
        <f t="shared" si="150"/>
        <v>209.59551322748908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3.5</v>
      </c>
      <c r="DO150" s="13">
        <f>IF('Données projet'!$A$166&gt;35,DO149+DN150-DW149,IF(A150&lt;'Données projet'!$A$166,$DL$205^A150,IF(A150='Données projet'!$A$166,'Données projet'!$B$166,DO149+DN150-DW149)))</f>
        <v>324.49999999999955</v>
      </c>
      <c r="DP150" s="18">
        <f>DO150*VLOOKUP('Données projet'!$B$14,Paramètres!$A$1:$I$89,3,0)*VLOOKUP('Données projet'!$B$14,Paramètres!$A$1:$I$89,5,0)</f>
        <v>349.29179999999945</v>
      </c>
      <c r="DQ150" s="14">
        <f t="shared" si="151"/>
        <v>81.416668317133713</v>
      </c>
      <c r="DR150" s="22">
        <f t="shared" si="124"/>
        <v>750.15058231900696</v>
      </c>
      <c r="DS150" s="62">
        <f t="shared" si="125"/>
        <v>1036.4856748116554</v>
      </c>
      <c r="DT150" s="62">
        <f ca="1">AVERAGE(OFFSET($DS$3,0,0,'Données projet'!$E$14+1,1))-AVERAGE(OFFSET($H$3,0,0,'Données projet'!$E$14+1,1))</f>
        <v>638.58602907610805</v>
      </c>
      <c r="DU150" s="62">
        <f t="shared" si="152"/>
        <v>341.9250949809848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3.3992364478763198E-14</v>
      </c>
      <c r="EL150" s="14">
        <f t="shared" si="153"/>
        <v>5.790027782444094E-13</v>
      </c>
      <c r="EM150" s="22">
        <f t="shared" si="127"/>
        <v>1.0676332069095257E-12</v>
      </c>
      <c r="EN150" s="62">
        <f t="shared" si="128"/>
        <v>286.33509249264949</v>
      </c>
      <c r="EO150" s="62">
        <f ca="1">AVERAGE(OFFSET($EN$3,0,0,'Données projet'!$E$15+1,1))-AVERAGE(OFFSET($H$3,0,0,'Données projet'!$E$15+1,1))</f>
        <v>223.57443551076992</v>
      </c>
      <c r="EP150" s="62">
        <f t="shared" si="154"/>
        <v>382.12751862619427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2.6230179917732679</v>
      </c>
      <c r="EW150" s="23">
        <f>EXP(-LN(2)/25)*EW149+(1-EXP(-LN(2)/25))/(LN(2)/25)*Calculateur!ER150*Calculateur!ET150*VLOOKUP('Données projet'!$B$15,Paramètres!$A$1:$I$89,3,0)*0.475*44/12</f>
        <v>0.54146775378709766</v>
      </c>
      <c r="EX150" s="23">
        <f>EXP(-LN(2)/2)*EX149+(1-EXP(-LN(2)/2))/(LN(2)/2)*ER150*EU150*VLOOKUP('Données projet'!$B$15,Paramètres!$A$1:$I$89,3,0)*0.475*44/12</f>
        <v>2.4870258372283736E-17</v>
      </c>
      <c r="EY150" s="24">
        <f t="shared" si="129"/>
        <v>3.1644857455603654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1.1341666666666668</v>
      </c>
      <c r="FE150" s="13">
        <f>IF('Données projet'!$A$218&gt;35,FE149+FD150-FM149,IF(A150&lt;'Données projet'!$A$218,$FB$205^A150,IF(A150='Données projet'!$A$218,'Données projet'!$B$218,FE149+FD150-FM149)))</f>
        <v>126.81000000000002</v>
      </c>
      <c r="FF150" s="18">
        <f>FE150*VLOOKUP('Données projet'!$B$16,Paramètres!$A$1:$I$89,3,0)*VLOOKUP('Données projet'!$B$16,Paramètres!$A$1:$I$89,5,0)</f>
        <v>146.08512000000002</v>
      </c>
      <c r="FG150" s="14">
        <f t="shared" si="155"/>
        <v>37.687550397511806</v>
      </c>
      <c r="FH150" s="22">
        <f t="shared" si="130"/>
        <v>320.07073427566644</v>
      </c>
      <c r="FI150" s="62">
        <f t="shared" si="131"/>
        <v>606.40582676831491</v>
      </c>
      <c r="FJ150" s="62">
        <f ca="1">AVERAGE(OFFSET($FI$3,0,0,'Données projet'!$E$16+1,1))-AVERAGE(OFFSET($H$3,0,0,'Données projet'!$E$16+1,1))</f>
        <v>283.95543623515323</v>
      </c>
      <c r="FK150" s="62">
        <f t="shared" si="156"/>
        <v>196.96883829830929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5.6843418860808015E-14</v>
      </c>
      <c r="GA150" s="18">
        <f>FZ150*VLOOKUP('Données projet'!$B$17,Paramètres!$A$1:$I$89,3,0)*VLOOKUP('Données projet'!$B$17,Paramètres!$A$1:$I$89,5,0)</f>
        <v>3.3992364478763198E-14</v>
      </c>
      <c r="GB150" s="14">
        <f t="shared" si="157"/>
        <v>5.790027782444094E-13</v>
      </c>
      <c r="GC150" s="22">
        <f t="shared" si="133"/>
        <v>1.0676332069095257E-12</v>
      </c>
      <c r="GD150" s="62">
        <f t="shared" si="134"/>
        <v>286.33509249264949</v>
      </c>
      <c r="GE150" s="62">
        <f ca="1">AVERAGE(OFFSET($GD$3,0,0,'Données projet'!$E$17+1,1))-AVERAGE(OFFSET($H$3,0,0,'Données projet'!$E$17+1,1))</f>
        <v>223.57443551076992</v>
      </c>
      <c r="GF150" s="62">
        <f t="shared" si="158"/>
        <v>382.12751862619427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2.6230179917732679</v>
      </c>
      <c r="GM150" s="23">
        <f>EXP(-LN(2)/25)*GM149+(1-EXP(-LN(2)/25))/(LN(2)/25)*Calculateur!GH150*Calculateur!GJ150*VLOOKUP('Données projet'!$B$17,Paramètres!$A$1:$I$89,3,0)*0.475*44/12</f>
        <v>0.54146775378709766</v>
      </c>
      <c r="GN150" s="23">
        <f>EXP(-LN(2)/2)*GN149+(1-EXP(-LN(2)/2))/(LN(2)/2)*GH150*GK150*VLOOKUP('Données projet'!$B$17,Paramètres!$A$1:$I$89,3,0)*0.475*44/12</f>
        <v>2.4870258372283736E-17</v>
      </c>
      <c r="GO150" s="23">
        <f t="shared" si="135"/>
        <v>3.1644857455603654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5.8013801410682806</v>
      </c>
      <c r="GU150" s="13">
        <f>IF('Données projet'!$A$270&gt;35,GU149+GT150-HC149,IF(A150&lt;'Données projet'!$A$270,$GR$205^A150,IF(A150='Données projet'!$A$270,'Données projet'!$B$270,GU149+GT150-HC149)))</f>
        <v>584.65196709938721</v>
      </c>
      <c r="GV150" s="18">
        <f>GU150*VLOOKUP('Données projet'!$B$18,Paramètres!$A$1:$I$89,3,0)*VLOOKUP('Données projet'!$B$18,Paramètres!$A$1:$I$89,5,0)</f>
        <v>638.4399480725308</v>
      </c>
      <c r="GW150" s="14">
        <f t="shared" si="159"/>
        <v>138.72545062948106</v>
      </c>
      <c r="GX150" s="22">
        <f t="shared" si="136"/>
        <v>1353.5630694060039</v>
      </c>
      <c r="GY150" s="62">
        <f t="shared" si="137"/>
        <v>1639.8981618986522</v>
      </c>
      <c r="GZ150" s="62">
        <f ca="1">AVERAGE(OFFSET($GY$3,0,0,'Données projet'!$E$18+1,1))-AVERAGE(OFFSET($H$3,0,0,'Données projet'!$E$18+1,1))</f>
        <v>754.33260592777049</v>
      </c>
      <c r="HA150" s="62">
        <f t="shared" si="160"/>
        <v>250.97643915279005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9">
        <f t="shared" si="110"/>
        <v>183.33333333333334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327.99999999999955</v>
      </c>
      <c r="O151" s="14">
        <f>N151*VLOOKUP('Données projet'!$B$9,Paramètres!$A$1:$I$89,3,0)*VLOOKUP('Données projet'!$B$9,Paramètres!$A$1:$I$89,5,0)</f>
        <v>296.77439999999956</v>
      </c>
      <c r="P151" s="14">
        <f t="shared" si="141"/>
        <v>70.499828966950616</v>
      </c>
      <c r="Q151" s="22">
        <f t="shared" si="108"/>
        <v>639.66928211743823</v>
      </c>
      <c r="R151" s="62">
        <f t="shared" si="109"/>
        <v>926.12577844294992</v>
      </c>
      <c r="S151" s="62">
        <f ca="1">AVERAGE(OFFSET($R$3,0,0,'Données projet'!$E$9+1,1))-AVERAGE(OFFSET($H$3,0,0,'Données projet'!$E$9+1,1))</f>
        <v>550.39292625253665</v>
      </c>
      <c r="T151" s="62">
        <f t="shared" si="142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3.5</v>
      </c>
      <c r="AI151" s="14">
        <f>IF('Données projet'!$A$62&gt;35,AI150+AH151-AQ150,IF(A151&lt;'Données projet'!$A$62,$AF$205^A151,IF(A151='Données projet'!$A$62,'Données projet'!$B$62,AI150+AH151-AQ150)))</f>
        <v>327.99999999999955</v>
      </c>
      <c r="AJ151" s="14">
        <f>AI151*VLOOKUP('Données projet'!$B$10,Paramètres!$A$1:$I$89,3,0)*VLOOKUP('Données projet'!$B$10,Paramètres!$A$1:$I$89,5,0)</f>
        <v>332.59199999999953</v>
      </c>
      <c r="AK151" s="14">
        <f t="shared" si="143"/>
        <v>77.967449959094523</v>
      </c>
      <c r="AL151" s="22">
        <f t="shared" si="112"/>
        <v>715.05770867875538</v>
      </c>
      <c r="AM151" s="62">
        <f t="shared" si="113"/>
        <v>1001.5142050042671</v>
      </c>
      <c r="AN151" s="62">
        <f ca="1">AVERAGE(OFFSET($AM$3,0,0,'Données projet'!$E$10+1,1))-AVERAGE(OFFSET($H$3,0,0,'Données projet'!$E$10+1,1))</f>
        <v>606.55142836375308</v>
      </c>
      <c r="AO151" s="62">
        <f t="shared" si="144"/>
        <v>325.72635759450861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5.1159076974727213E-13</v>
      </c>
      <c r="BE151" s="14">
        <f>BD151*VLOOKUP('Données projet'!$B$11,Paramètres!$A$1:$I$89,3,0)*VLOOKUP('Données projet'!$B$11,Paramètres!$A$1:$I$89,5,0)</f>
        <v>5.3471467253984886E-13</v>
      </c>
      <c r="BF151" s="14">
        <f t="shared" si="145"/>
        <v>6.6087717628803869E-12</v>
      </c>
      <c r="BG151" s="22">
        <f t="shared" si="115"/>
        <v>1.244157220835691E-11</v>
      </c>
      <c r="BH151" s="62">
        <f t="shared" si="116"/>
        <v>286.45649632552414</v>
      </c>
      <c r="BI151" s="62">
        <f ca="1">AVERAGE(OFFSET($BH$3,0,0,'Données projet'!$E$11+1,1))-AVERAGE(OFFSET($H$3,0,0,'Données projet'!$E$11+1,1))</f>
        <v>635.13577238794812</v>
      </c>
      <c r="BJ151" s="62">
        <f t="shared" si="146"/>
        <v>374.35810525172019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-6.8212102632969618E-13</v>
      </c>
      <c r="BZ151" s="14">
        <f>BY151*VLOOKUP('Données projet'!$B$12,Paramètres!$A$1:$I$89,3,0)*VLOOKUP('Données projet'!$B$12,Paramètres!$A$1:$I$89,5,0)</f>
        <v>-3.0149749363772573E-13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580.02817743695846</v>
      </c>
      <c r="CE151" s="62">
        <f t="shared" si="148"/>
        <v>551.23515633208865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3.979039320256561E-13</v>
      </c>
      <c r="CU151" s="18">
        <f>CT151*VLOOKUP('Données projet'!$B$13,Paramètres!$A$1:$I$89,3,0)*VLOOKUP('Données projet'!$B$13,Paramètres!$A$1:$I$89,5,0)</f>
        <v>1.8621904018800707E-13</v>
      </c>
      <c r="CV151" s="14">
        <f t="shared" si="149"/>
        <v>2.6022279988572714E-12</v>
      </c>
      <c r="CW151" s="22">
        <f t="shared" si="121"/>
        <v>4.8565452596705266E-12</v>
      </c>
      <c r="CX151" s="62">
        <f t="shared" si="122"/>
        <v>286.45649632551653</v>
      </c>
      <c r="CY151" s="62">
        <f ca="1">AVERAGE(OFFSET($CX$3,0,0,'Données projet'!$E$13+1,1))-AVERAGE(OFFSET($H$3,0,0,'Données projet'!$E$13+1,1))</f>
        <v>321.05795935196863</v>
      </c>
      <c r="CZ151" s="62">
        <f t="shared" si="150"/>
        <v>209.59551322748908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3.5</v>
      </c>
      <c r="DO151" s="13">
        <f>IF('Données projet'!$A$166&gt;35,DO150+DN151-DW150,IF(A151&lt;'Données projet'!$A$166,$DL$205^A151,IF(A151='Données projet'!$A$166,'Données projet'!$B$166,DO150+DN151-DW150)))</f>
        <v>327.99999999999955</v>
      </c>
      <c r="DP151" s="18">
        <f>DO151*VLOOKUP('Données projet'!$B$14,Paramètres!$A$1:$I$89,3,0)*VLOOKUP('Données projet'!$B$14,Paramètres!$A$1:$I$89,5,0)</f>
        <v>353.05919999999952</v>
      </c>
      <c r="DQ151" s="14">
        <f t="shared" si="151"/>
        <v>82.192112885281873</v>
      </c>
      <c r="DR151" s="22">
        <f t="shared" si="124"/>
        <v>758.06270327519826</v>
      </c>
      <c r="DS151" s="62">
        <f t="shared" si="125"/>
        <v>1044.51919960071</v>
      </c>
      <c r="DT151" s="62">
        <f ca="1">AVERAGE(OFFSET($DS$3,0,0,'Données projet'!$E$14+1,1))-AVERAGE(OFFSET($H$3,0,0,'Données projet'!$E$14+1,1))</f>
        <v>638.58602907610805</v>
      </c>
      <c r="DU151" s="62">
        <f t="shared" si="152"/>
        <v>341.9250949809848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3.3992364478763198E-14</v>
      </c>
      <c r="EL151" s="14">
        <f t="shared" si="153"/>
        <v>5.790027782444094E-13</v>
      </c>
      <c r="EM151" s="22">
        <f t="shared" si="127"/>
        <v>1.0676332069095257E-12</v>
      </c>
      <c r="EN151" s="62">
        <f t="shared" si="128"/>
        <v>286.45649632551277</v>
      </c>
      <c r="EO151" s="62">
        <f ca="1">AVERAGE(OFFSET($EN$3,0,0,'Données projet'!$E$15+1,1))-AVERAGE(OFFSET($H$3,0,0,'Données projet'!$E$15+1,1))</f>
        <v>223.57443551076992</v>
      </c>
      <c r="EP151" s="62">
        <f t="shared" si="154"/>
        <v>382.12751862619427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2.5715822088375937</v>
      </c>
      <c r="EW151" s="23">
        <f>EXP(-LN(2)/25)*EW150+(1-EXP(-LN(2)/25))/(LN(2)/25)*Calculateur!ER151*Calculateur!ET151*VLOOKUP('Données projet'!$B$15,Paramètres!$A$1:$I$89,3,0)*0.475*44/12</f>
        <v>0.52666128958523784</v>
      </c>
      <c r="EX151" s="23">
        <f>EXP(-LN(2)/2)*EX150+(1-EXP(-LN(2)/2))/(LN(2)/2)*ER151*EU151*VLOOKUP('Données projet'!$B$15,Paramètres!$A$1:$I$89,3,0)*0.475*44/12</f>
        <v>1.7585928344903337E-17</v>
      </c>
      <c r="EY151" s="24">
        <f t="shared" si="129"/>
        <v>3.0982434984228315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1.1341666666666668</v>
      </c>
      <c r="FE151" s="13">
        <f>IF('Données projet'!$A$218&gt;35,FE150+FD151-FM150,IF(A151&lt;'Données projet'!$A$218,$FB$205^A151,IF(A151='Données projet'!$A$218,'Données projet'!$B$218,FE150+FD151-FM150)))</f>
        <v>127.94416666666669</v>
      </c>
      <c r="FF151" s="18">
        <f>FE151*VLOOKUP('Données projet'!$B$16,Paramètres!$A$1:$I$89,3,0)*VLOOKUP('Données projet'!$B$16,Paramètres!$A$1:$I$89,5,0)</f>
        <v>147.39168000000001</v>
      </c>
      <c r="FG151" s="14">
        <f t="shared" si="155"/>
        <v>37.985231743580776</v>
      </c>
      <c r="FH151" s="22">
        <f t="shared" si="130"/>
        <v>322.86478795340321</v>
      </c>
      <c r="FI151" s="62">
        <f t="shared" si="131"/>
        <v>609.32128427891485</v>
      </c>
      <c r="FJ151" s="62">
        <f ca="1">AVERAGE(OFFSET($FI$3,0,0,'Données projet'!$E$16+1,1))-AVERAGE(OFFSET($H$3,0,0,'Données projet'!$E$16+1,1))</f>
        <v>283.95543623515323</v>
      </c>
      <c r="FK151" s="62">
        <f t="shared" si="156"/>
        <v>196.96883829830929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5.6843418860808015E-14</v>
      </c>
      <c r="GA151" s="18">
        <f>FZ151*VLOOKUP('Données projet'!$B$17,Paramètres!$A$1:$I$89,3,0)*VLOOKUP('Données projet'!$B$17,Paramètres!$A$1:$I$89,5,0)</f>
        <v>3.3992364478763198E-14</v>
      </c>
      <c r="GB151" s="14">
        <f t="shared" si="157"/>
        <v>5.790027782444094E-13</v>
      </c>
      <c r="GC151" s="22">
        <f t="shared" si="133"/>
        <v>1.0676332069095257E-12</v>
      </c>
      <c r="GD151" s="62">
        <f t="shared" si="134"/>
        <v>286.45649632551277</v>
      </c>
      <c r="GE151" s="62">
        <f ca="1">AVERAGE(OFFSET($GD$3,0,0,'Données projet'!$E$17+1,1))-AVERAGE(OFFSET($H$3,0,0,'Données projet'!$E$17+1,1))</f>
        <v>223.57443551076992</v>
      </c>
      <c r="GF151" s="62">
        <f t="shared" si="158"/>
        <v>382.12751862619427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2.5715822088375937</v>
      </c>
      <c r="GM151" s="23">
        <f>EXP(-LN(2)/25)*GM150+(1-EXP(-LN(2)/25))/(LN(2)/25)*Calculateur!GH151*Calculateur!GJ151*VLOOKUP('Données projet'!$B$17,Paramètres!$A$1:$I$89,3,0)*0.475*44/12</f>
        <v>0.52666128958523784</v>
      </c>
      <c r="GN151" s="23">
        <f>EXP(-LN(2)/2)*GN150+(1-EXP(-LN(2)/2))/(LN(2)/2)*GH151*GK151*VLOOKUP('Données projet'!$B$17,Paramètres!$A$1:$I$89,3,0)*0.475*44/12</f>
        <v>1.7585928344903337E-17</v>
      </c>
      <c r="GO151" s="23">
        <f t="shared" si="135"/>
        <v>3.0982434984228315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5.8013801410682806</v>
      </c>
      <c r="GU151" s="13">
        <f>IF('Données projet'!$A$270&gt;35,GU150+GT151-HC150,IF(A151&lt;'Données projet'!$A$270,$GR$205^A151,IF(A151='Données projet'!$A$270,'Données projet'!$B$270,GU150+GT151-HC150)))</f>
        <v>590.45334724045551</v>
      </c>
      <c r="GV151" s="18">
        <f>GU151*VLOOKUP('Données projet'!$B$18,Paramètres!$A$1:$I$89,3,0)*VLOOKUP('Données projet'!$B$18,Paramètres!$A$1:$I$89,5,0)</f>
        <v>644.77505518657745</v>
      </c>
      <c r="GW151" s="14">
        <f t="shared" si="159"/>
        <v>139.94106493325759</v>
      </c>
      <c r="GX151" s="22">
        <f t="shared" si="136"/>
        <v>1366.7139092087127</v>
      </c>
      <c r="GY151" s="62">
        <f t="shared" si="137"/>
        <v>1653.1704055342243</v>
      </c>
      <c r="GZ151" s="62">
        <f ca="1">AVERAGE(OFFSET($GY$3,0,0,'Données projet'!$E$18+1,1))-AVERAGE(OFFSET($H$3,0,0,'Données projet'!$E$18+1,1))</f>
        <v>754.33260592777049</v>
      </c>
      <c r="HA151" s="62">
        <f t="shared" si="160"/>
        <v>250.97643915279005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9">
        <f t="shared" si="110"/>
        <v>183.33333333333334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331.49999999999955</v>
      </c>
      <c r="O152" s="14">
        <f>N152*VLOOKUP('Données projet'!$B$9,Paramètres!$A$1:$I$89,3,0)*VLOOKUP('Données projet'!$B$9,Paramètres!$A$1:$I$89,5,0)</f>
        <v>299.94119999999958</v>
      </c>
      <c r="P152" s="14">
        <f t="shared" si="141"/>
        <v>71.164136596531449</v>
      </c>
      <c r="Q152" s="22">
        <f t="shared" si="108"/>
        <v>646.34179457229163</v>
      </c>
      <c r="R152" s="62">
        <f t="shared" si="109"/>
        <v>932.91758864558471</v>
      </c>
      <c r="S152" s="62">
        <f ca="1">AVERAGE(OFFSET($R$3,0,0,'Données projet'!$E$9+1,1))-AVERAGE(OFFSET($H$3,0,0,'Données projet'!$E$9+1,1))</f>
        <v>550.39292625253665</v>
      </c>
      <c r="T152" s="62">
        <f t="shared" si="142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3.5</v>
      </c>
      <c r="AI152" s="14">
        <f>IF('Données projet'!$A$62&gt;35,AI151+AH152-AQ151,IF(A152&lt;'Données projet'!$A$62,$AF$205^A152,IF(A152='Données projet'!$A$62,'Données projet'!$B$62,AI151+AH152-AQ151)))</f>
        <v>331.49999999999955</v>
      </c>
      <c r="AJ152" s="14">
        <f>AI152*VLOOKUP('Données projet'!$B$10,Paramètres!$A$1:$I$89,3,0)*VLOOKUP('Données projet'!$B$10,Paramètres!$A$1:$I$89,5,0)</f>
        <v>336.14099999999956</v>
      </c>
      <c r="AK152" s="14">
        <f t="shared" si="143"/>
        <v>78.702123682786379</v>
      </c>
      <c r="AL152" s="22">
        <f t="shared" si="112"/>
        <v>722.51844041418553</v>
      </c>
      <c r="AM152" s="62">
        <f t="shared" si="113"/>
        <v>1009.0942344874786</v>
      </c>
      <c r="AN152" s="62">
        <f ca="1">AVERAGE(OFFSET($AM$3,0,0,'Données projet'!$E$10+1,1))-AVERAGE(OFFSET($H$3,0,0,'Données projet'!$E$10+1,1))</f>
        <v>606.55142836375308</v>
      </c>
      <c r="AO152" s="62">
        <f t="shared" si="144"/>
        <v>325.72635759450861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5.1159076974727213E-13</v>
      </c>
      <c r="BE152" s="14">
        <f>BD152*VLOOKUP('Données projet'!$B$11,Paramètres!$A$1:$I$89,3,0)*VLOOKUP('Données projet'!$B$11,Paramètres!$A$1:$I$89,5,0)</f>
        <v>5.3471467253984886E-13</v>
      </c>
      <c r="BF152" s="14">
        <f t="shared" si="145"/>
        <v>6.6087717628803869E-12</v>
      </c>
      <c r="BG152" s="22">
        <f t="shared" si="115"/>
        <v>1.244157220835691E-11</v>
      </c>
      <c r="BH152" s="62">
        <f t="shared" si="116"/>
        <v>286.57579407330553</v>
      </c>
      <c r="BI152" s="62">
        <f ca="1">AVERAGE(OFFSET($BH$3,0,0,'Données projet'!$E$11+1,1))-AVERAGE(OFFSET($H$3,0,0,'Données projet'!$E$11+1,1))</f>
        <v>635.13577238794812</v>
      </c>
      <c r="BJ152" s="62">
        <f t="shared" si="146"/>
        <v>374.35810525172019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-6.8212102632969618E-13</v>
      </c>
      <c r="BZ152" s="14">
        <f>BY152*VLOOKUP('Données projet'!$B$12,Paramètres!$A$1:$I$89,3,0)*VLOOKUP('Données projet'!$B$12,Paramètres!$A$1:$I$89,5,0)</f>
        <v>-3.0149749363772573E-13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580.02817743695846</v>
      </c>
      <c r="CE152" s="62">
        <f t="shared" si="148"/>
        <v>551.23515633208865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3.979039320256561E-13</v>
      </c>
      <c r="CU152" s="18">
        <f>CT152*VLOOKUP('Données projet'!$B$13,Paramètres!$A$1:$I$89,3,0)*VLOOKUP('Données projet'!$B$13,Paramètres!$A$1:$I$89,5,0)</f>
        <v>1.8621904018800707E-13</v>
      </c>
      <c r="CV152" s="14">
        <f t="shared" si="149"/>
        <v>2.6022279988572714E-12</v>
      </c>
      <c r="CW152" s="22">
        <f t="shared" si="121"/>
        <v>4.8565452596705266E-12</v>
      </c>
      <c r="CX152" s="62">
        <f t="shared" si="122"/>
        <v>286.57579407329791</v>
      </c>
      <c r="CY152" s="62">
        <f ca="1">AVERAGE(OFFSET($CX$3,0,0,'Données projet'!$E$13+1,1))-AVERAGE(OFFSET($H$3,0,0,'Données projet'!$E$13+1,1))</f>
        <v>321.05795935196863</v>
      </c>
      <c r="CZ152" s="62">
        <f t="shared" si="150"/>
        <v>209.59551322748908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3.5</v>
      </c>
      <c r="DO152" s="13">
        <f>IF('Données projet'!$A$166&gt;35,DO151+DN152-DW151,IF(A152&lt;'Données projet'!$A$166,$DL$205^A152,IF(A152='Données projet'!$A$166,'Données projet'!$B$166,DO151+DN152-DW151)))</f>
        <v>331.49999999999955</v>
      </c>
      <c r="DP152" s="18">
        <f>DO152*VLOOKUP('Données projet'!$B$14,Paramètres!$A$1:$I$89,3,0)*VLOOKUP('Données projet'!$B$14,Paramètres!$A$1:$I$89,5,0)</f>
        <v>356.82659999999947</v>
      </c>
      <c r="DQ152" s="14">
        <f t="shared" si="151"/>
        <v>82.966594873126951</v>
      </c>
      <c r="DR152" s="22">
        <f t="shared" si="124"/>
        <v>765.97314773736196</v>
      </c>
      <c r="DS152" s="62">
        <f t="shared" si="125"/>
        <v>1052.5489418106549</v>
      </c>
      <c r="DT152" s="62">
        <f ca="1">AVERAGE(OFFSET($DS$3,0,0,'Données projet'!$E$14+1,1))-AVERAGE(OFFSET($H$3,0,0,'Données projet'!$E$14+1,1))</f>
        <v>638.58602907610805</v>
      </c>
      <c r="DU152" s="62">
        <f t="shared" si="152"/>
        <v>341.9250949809848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3.3992364478763198E-14</v>
      </c>
      <c r="EL152" s="14">
        <f t="shared" si="153"/>
        <v>5.790027782444094E-13</v>
      </c>
      <c r="EM152" s="22">
        <f t="shared" si="127"/>
        <v>1.0676332069095257E-12</v>
      </c>
      <c r="EN152" s="62">
        <f t="shared" si="128"/>
        <v>286.57579407329416</v>
      </c>
      <c r="EO152" s="62">
        <f ca="1">AVERAGE(OFFSET($EN$3,0,0,'Données projet'!$E$15+1,1))-AVERAGE(OFFSET($H$3,0,0,'Données projet'!$E$15+1,1))</f>
        <v>223.57443551076992</v>
      </c>
      <c r="EP152" s="62">
        <f t="shared" si="154"/>
        <v>382.12751862619427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2.5211550502325584</v>
      </c>
      <c r="EW152" s="23">
        <f>EXP(-LN(2)/25)*EW151+(1-EXP(-LN(2)/25))/(LN(2)/25)*Calculateur!ER152*Calculateur!ET152*VLOOKUP('Données projet'!$B$15,Paramètres!$A$1:$I$89,3,0)*0.475*44/12</f>
        <v>0.51225970892561601</v>
      </c>
      <c r="EX152" s="23">
        <f>EXP(-LN(2)/2)*EX151+(1-EXP(-LN(2)/2))/(LN(2)/2)*ER152*EU152*VLOOKUP('Données projet'!$B$15,Paramètres!$A$1:$I$89,3,0)*0.475*44/12</f>
        <v>1.2435129186141868E-17</v>
      </c>
      <c r="EY152" s="24">
        <f t="shared" si="129"/>
        <v>3.0334147591581742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1.1341666666666668</v>
      </c>
      <c r="FE152" s="13">
        <f>IF('Données projet'!$A$218&gt;35,FE151+FD152-FM151,IF(A152&lt;'Données projet'!$A$218,$FB$205^A152,IF(A152='Données projet'!$A$218,'Données projet'!$B$218,FE151+FD152-FM151)))</f>
        <v>129.07833333333335</v>
      </c>
      <c r="FF152" s="18">
        <f>FE152*VLOOKUP('Données projet'!$B$16,Paramètres!$A$1:$I$89,3,0)*VLOOKUP('Données projet'!$B$16,Paramètres!$A$1:$I$89,5,0)</f>
        <v>148.69824</v>
      </c>
      <c r="FG152" s="14">
        <f t="shared" si="155"/>
        <v>38.282606086404904</v>
      </c>
      <c r="FH152" s="22">
        <f t="shared" si="130"/>
        <v>325.65830693382185</v>
      </c>
      <c r="FI152" s="62">
        <f t="shared" si="131"/>
        <v>612.23410100711499</v>
      </c>
      <c r="FJ152" s="62">
        <f ca="1">AVERAGE(OFFSET($FI$3,0,0,'Données projet'!$E$16+1,1))-AVERAGE(OFFSET($H$3,0,0,'Données projet'!$E$16+1,1))</f>
        <v>283.95543623515323</v>
      </c>
      <c r="FK152" s="62">
        <f t="shared" si="156"/>
        <v>196.96883829830929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5.6843418860808015E-14</v>
      </c>
      <c r="GA152" s="18">
        <f>FZ152*VLOOKUP('Données projet'!$B$17,Paramètres!$A$1:$I$89,3,0)*VLOOKUP('Données projet'!$B$17,Paramètres!$A$1:$I$89,5,0)</f>
        <v>3.3992364478763198E-14</v>
      </c>
      <c r="GB152" s="14">
        <f t="shared" si="157"/>
        <v>5.790027782444094E-13</v>
      </c>
      <c r="GC152" s="22">
        <f t="shared" si="133"/>
        <v>1.0676332069095257E-12</v>
      </c>
      <c r="GD152" s="62">
        <f t="shared" si="134"/>
        <v>286.57579407329416</v>
      </c>
      <c r="GE152" s="62">
        <f ca="1">AVERAGE(OFFSET($GD$3,0,0,'Données projet'!$E$17+1,1))-AVERAGE(OFFSET($H$3,0,0,'Données projet'!$E$17+1,1))</f>
        <v>223.57443551076992</v>
      </c>
      <c r="GF152" s="62">
        <f t="shared" si="158"/>
        <v>382.12751862619427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2.5211550502325584</v>
      </c>
      <c r="GM152" s="23">
        <f>EXP(-LN(2)/25)*GM151+(1-EXP(-LN(2)/25))/(LN(2)/25)*Calculateur!GH152*Calculateur!GJ152*VLOOKUP('Données projet'!$B$17,Paramètres!$A$1:$I$89,3,0)*0.475*44/12</f>
        <v>0.51225970892561601</v>
      </c>
      <c r="GN152" s="23">
        <f>EXP(-LN(2)/2)*GN151+(1-EXP(-LN(2)/2))/(LN(2)/2)*GH152*GK152*VLOOKUP('Données projet'!$B$17,Paramètres!$A$1:$I$89,3,0)*0.475*44/12</f>
        <v>1.2435129186141868E-17</v>
      </c>
      <c r="GO152" s="23">
        <f t="shared" si="135"/>
        <v>3.0334147591581742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5.8013801410682806</v>
      </c>
      <c r="GU152" s="13">
        <f>IF('Données projet'!$A$270&gt;35,GU151+GT152-HC151,IF(A152&lt;'Données projet'!$A$270,$GR$205^A152,IF(A152='Données projet'!$A$270,'Données projet'!$B$270,GU151+GT152-HC151)))</f>
        <v>596.25472738152382</v>
      </c>
      <c r="GV152" s="18">
        <f>GU152*VLOOKUP('Données projet'!$B$18,Paramètres!$A$1:$I$89,3,0)*VLOOKUP('Données projet'!$B$18,Paramètres!$A$1:$I$89,5,0)</f>
        <v>651.11016230062398</v>
      </c>
      <c r="GW152" s="14">
        <f t="shared" si="159"/>
        <v>141.15528975291534</v>
      </c>
      <c r="GX152" s="22">
        <f t="shared" si="136"/>
        <v>1379.8623289932475</v>
      </c>
      <c r="GY152" s="62">
        <f t="shared" si="137"/>
        <v>1666.4381230665406</v>
      </c>
      <c r="GZ152" s="62">
        <f ca="1">AVERAGE(OFFSET($GY$3,0,0,'Données projet'!$E$18+1,1))-AVERAGE(OFFSET($H$3,0,0,'Données projet'!$E$18+1,1))</f>
        <v>754.33260592777049</v>
      </c>
      <c r="HA152" s="62">
        <f t="shared" si="160"/>
        <v>250.97643915279005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9">
        <f t="shared" si="110"/>
        <v>183.33333333333334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335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334.99999999999955</v>
      </c>
      <c r="O153" s="14">
        <f>N153*VLOOKUP('Données projet'!$B$9,Paramètres!$A$1:$I$89,3,0)*VLOOKUP('Données projet'!$B$9,Paramètres!$A$1:$I$89,5,0)</f>
        <v>303.10799999999961</v>
      </c>
      <c r="P153" s="14">
        <f t="shared" si="141"/>
        <v>71.827628304517162</v>
      </c>
      <c r="Q153" s="22">
        <f t="shared" si="108"/>
        <v>653.0128859637</v>
      </c>
      <c r="R153" s="62">
        <f t="shared" si="109"/>
        <v>939.7059082355604</v>
      </c>
      <c r="S153" s="62">
        <f ca="1">AVERAGE(OFFSET($R$3,0,0,'Données projet'!$E$9+1,1))-AVERAGE(OFFSET($H$3,0,0,'Données projet'!$E$9+1,1))</f>
        <v>550.39292625253665</v>
      </c>
      <c r="T153" s="62">
        <f t="shared" si="142"/>
        <v>297.32483725004136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335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335</v>
      </c>
      <c r="AG153" s="13">
        <f>VLOOKUP(A153,'Données projet'!$A$61:$I$81,9,0)</f>
        <v>3.5</v>
      </c>
      <c r="AH153" s="13">
        <f t="array" ref="AH153">INDEX(AG:AG,MIN(IF(ISNUMBER(AG153:AG349),ROW(AG153:AG349),"")))</f>
        <v>3.5</v>
      </c>
      <c r="AI153" s="14">
        <f>IF('Données projet'!$A$62&gt;35,AI152+AH153-AQ152,IF(A153&lt;'Données projet'!$A$62,$AF$205^A153,IF(A153='Données projet'!$A$62,'Données projet'!$B$62,AI152+AH153-AQ152)))</f>
        <v>334.99999999999955</v>
      </c>
      <c r="AJ153" s="14">
        <f>AI153*VLOOKUP('Données projet'!$B$10,Paramètres!$A$1:$I$89,3,0)*VLOOKUP('Données projet'!$B$10,Paramètres!$A$1:$I$89,5,0)</f>
        <v>339.68999999999954</v>
      </c>
      <c r="AK153" s="14">
        <f t="shared" si="143"/>
        <v>79.435895059237467</v>
      </c>
      <c r="AL153" s="22">
        <f t="shared" si="112"/>
        <v>729.97760056150446</v>
      </c>
      <c r="AM153" s="62">
        <f t="shared" si="113"/>
        <v>1016.6706228333649</v>
      </c>
      <c r="AN153" s="62">
        <f ca="1">AVERAGE(OFFSET($AM$3,0,0,'Données projet'!$E$10+1,1))-AVERAGE(OFFSET($H$3,0,0,'Données projet'!$E$10+1,1))</f>
        <v>606.55142836375308</v>
      </c>
      <c r="AO153" s="62">
        <f t="shared" si="144"/>
        <v>325.72635759450861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335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5.1159076974727213E-13</v>
      </c>
      <c r="BE153" s="14">
        <f>BD153*VLOOKUP('Données projet'!$B$11,Paramètres!$A$1:$I$89,3,0)*VLOOKUP('Données projet'!$B$11,Paramètres!$A$1:$I$89,5,0)</f>
        <v>5.3471467253984886E-13</v>
      </c>
      <c r="BF153" s="14">
        <f t="shared" si="145"/>
        <v>6.6087717628803869E-12</v>
      </c>
      <c r="BG153" s="22">
        <f t="shared" si="115"/>
        <v>1.244157220835691E-11</v>
      </c>
      <c r="BH153" s="62">
        <f t="shared" si="116"/>
        <v>286.69302227187279</v>
      </c>
      <c r="BI153" s="62">
        <f ca="1">AVERAGE(OFFSET($BH$3,0,0,'Données projet'!$E$11+1,1))-AVERAGE(OFFSET($H$3,0,0,'Données projet'!$E$11+1,1))</f>
        <v>635.13577238794812</v>
      </c>
      <c r="BJ153" s="62">
        <f t="shared" si="146"/>
        <v>374.35810525172019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-6.8212102632969618E-13</v>
      </c>
      <c r="BZ153" s="14">
        <f>BY153*VLOOKUP('Données projet'!$B$12,Paramètres!$A$1:$I$89,3,0)*VLOOKUP('Données projet'!$B$12,Paramètres!$A$1:$I$89,5,0)</f>
        <v>-3.0149749363772573E-13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580.02817743695846</v>
      </c>
      <c r="CE153" s="62">
        <f t="shared" si="148"/>
        <v>551.23515633208865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3.979039320256561E-13</v>
      </c>
      <c r="CU153" s="18">
        <f>CT153*VLOOKUP('Données projet'!$B$13,Paramètres!$A$1:$I$89,3,0)*VLOOKUP('Données projet'!$B$13,Paramètres!$A$1:$I$89,5,0)</f>
        <v>1.8621904018800707E-13</v>
      </c>
      <c r="CV153" s="14">
        <f t="shared" si="149"/>
        <v>2.6022279988572714E-12</v>
      </c>
      <c r="CW153" s="22">
        <f t="shared" si="121"/>
        <v>4.8565452596705266E-12</v>
      </c>
      <c r="CX153" s="62">
        <f t="shared" si="122"/>
        <v>286.69302227186517</v>
      </c>
      <c r="CY153" s="62">
        <f ca="1">AVERAGE(OFFSET($CX$3,0,0,'Données projet'!$E$13+1,1))-AVERAGE(OFFSET($H$3,0,0,'Données projet'!$E$13+1,1))</f>
        <v>321.05795935196863</v>
      </c>
      <c r="CZ153" s="62">
        <f t="shared" si="150"/>
        <v>209.59551322748908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335</v>
      </c>
      <c r="DM153" s="13">
        <f>VLOOKUP(A153,'Données projet'!$A$165:$I$185,9,0)</f>
        <v>3.5</v>
      </c>
      <c r="DN153" s="13">
        <f t="array" ref="DN153">INDEX(DM:DM,MIN(IF(ISNUMBER(DM153:DM349),ROW(DM153:DM349),"")))</f>
        <v>3.5</v>
      </c>
      <c r="DO153" s="13">
        <f>IF('Données projet'!$A$166&gt;35,DO152+DN153-DW152,IF(A153&lt;'Données projet'!$A$166,$DL$205^A153,IF(A153='Données projet'!$A$166,'Données projet'!$B$166,DO152+DN153-DW152)))</f>
        <v>334.99999999999955</v>
      </c>
      <c r="DP153" s="18">
        <f>DO153*VLOOKUP('Données projet'!$B$14,Paramètres!$A$1:$I$89,3,0)*VLOOKUP('Données projet'!$B$14,Paramètres!$A$1:$I$89,5,0)</f>
        <v>360.59399999999948</v>
      </c>
      <c r="DQ153" s="14">
        <f t="shared" si="151"/>
        <v>83.740125620084783</v>
      </c>
      <c r="DR153" s="22">
        <f t="shared" si="124"/>
        <v>773.88193545498007</v>
      </c>
      <c r="DS153" s="62">
        <f t="shared" si="125"/>
        <v>1060.5749577268405</v>
      </c>
      <c r="DT153" s="62">
        <f ca="1">AVERAGE(OFFSET($DS$3,0,0,'Données projet'!$E$14+1,1))-AVERAGE(OFFSET($H$3,0,0,'Données projet'!$E$14+1,1))</f>
        <v>638.58602907610805</v>
      </c>
      <c r="DU153" s="62">
        <f t="shared" si="152"/>
        <v>341.9250949809848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335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3.3992364478763198E-14</v>
      </c>
      <c r="EL153" s="14">
        <f t="shared" si="153"/>
        <v>5.790027782444094E-13</v>
      </c>
      <c r="EM153" s="22">
        <f t="shared" si="127"/>
        <v>1.0676332069095257E-12</v>
      </c>
      <c r="EN153" s="62">
        <f t="shared" si="128"/>
        <v>286.69302227186142</v>
      </c>
      <c r="EO153" s="62">
        <f ca="1">AVERAGE(OFFSET($EN$3,0,0,'Données projet'!$E$15+1,1))-AVERAGE(OFFSET($H$3,0,0,'Données projet'!$E$15+1,1))</f>
        <v>223.57443551076992</v>
      </c>
      <c r="EP153" s="62">
        <f t="shared" si="154"/>
        <v>382.12751862619427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2.471716737450238</v>
      </c>
      <c r="EW153" s="23">
        <f>EXP(-LN(2)/25)*EW152+(1-EXP(-LN(2)/25))/(LN(2)/25)*Calculateur!ER153*Calculateur!ET153*VLOOKUP('Données projet'!$B$15,Paramètres!$A$1:$I$89,3,0)*0.475*44/12</f>
        <v>0.49825194024647773</v>
      </c>
      <c r="EX153" s="23">
        <f>EXP(-LN(2)/2)*EX152+(1-EXP(-LN(2)/2))/(LN(2)/2)*ER153*EU153*VLOOKUP('Données projet'!$B$15,Paramètres!$A$1:$I$89,3,0)*0.475*44/12</f>
        <v>8.7929641724516684E-18</v>
      </c>
      <c r="EY153" s="24">
        <f t="shared" si="129"/>
        <v>2.9699686776967158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130.21250000000001</v>
      </c>
      <c r="FC153" s="13">
        <f>VLOOKUP(A153,'Données projet'!$A$217:$I$237,9,0)</f>
        <v>1.1341666666666668</v>
      </c>
      <c r="FD153" s="13">
        <f t="array" ref="FD153">INDEX(FC:FC,MIN(IF(ISNUMBER(FC153:FC349),ROW(FC153:FC349),"")))</f>
        <v>1.1341666666666668</v>
      </c>
      <c r="FE153" s="13">
        <f>IF('Données projet'!$A$218&gt;35,FE152+FD153-FM152,IF(A153&lt;'Données projet'!$A$218,$FB$205^A153,IF(A153='Données projet'!$A$218,'Données projet'!$B$218,FE152+FD153-FM152)))</f>
        <v>130.21250000000001</v>
      </c>
      <c r="FF153" s="18">
        <f>FE153*VLOOKUP('Données projet'!$B$16,Paramètres!$A$1:$I$89,3,0)*VLOOKUP('Données projet'!$B$16,Paramètres!$A$1:$I$89,5,0)</f>
        <v>150.00479999999999</v>
      </c>
      <c r="FG153" s="14">
        <f t="shared" si="155"/>
        <v>38.579676436046306</v>
      </c>
      <c r="FH153" s="22">
        <f t="shared" si="130"/>
        <v>328.45129645944729</v>
      </c>
      <c r="FI153" s="62">
        <f t="shared" si="131"/>
        <v>615.14431873130764</v>
      </c>
      <c r="FJ153" s="62">
        <f ca="1">AVERAGE(OFFSET($FI$3,0,0,'Données projet'!$E$16+1,1))-AVERAGE(OFFSET($H$3,0,0,'Données projet'!$E$16+1,1))</f>
        <v>283.95543623515323</v>
      </c>
      <c r="FK153" s="62">
        <f t="shared" si="156"/>
        <v>196.96883829830929</v>
      </c>
      <c r="FL153" s="16">
        <f>IF(ISNA(VLOOKUP(A153,'Données projet'!$A$217:$I$237,3,0)),0,VLOOKUP(A153,'Données projet'!$A$217:$I$237,3,0))</f>
        <v>13</v>
      </c>
      <c r="FM153" s="16">
        <f>IF(ISNA(VLOOKUP(A153,'Données projet'!$A$217:$I$237,4,0)),0,VLOOKUP(A153,'Données projet'!$A$217:$I$237,4,0))</f>
        <v>130.21250000000001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5.6843418860808015E-14</v>
      </c>
      <c r="GA153" s="18">
        <f>FZ153*VLOOKUP('Données projet'!$B$17,Paramètres!$A$1:$I$89,3,0)*VLOOKUP('Données projet'!$B$17,Paramètres!$A$1:$I$89,5,0)</f>
        <v>3.3992364478763198E-14</v>
      </c>
      <c r="GB153" s="14">
        <f t="shared" si="157"/>
        <v>5.790027782444094E-13</v>
      </c>
      <c r="GC153" s="22">
        <f t="shared" si="133"/>
        <v>1.0676332069095257E-12</v>
      </c>
      <c r="GD153" s="62">
        <f t="shared" si="134"/>
        <v>286.69302227186142</v>
      </c>
      <c r="GE153" s="62">
        <f ca="1">AVERAGE(OFFSET($GD$3,0,0,'Données projet'!$E$17+1,1))-AVERAGE(OFFSET($H$3,0,0,'Données projet'!$E$17+1,1))</f>
        <v>223.57443551076992</v>
      </c>
      <c r="GF153" s="62">
        <f t="shared" si="158"/>
        <v>382.12751862619427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2.471716737450238</v>
      </c>
      <c r="GM153" s="23">
        <f>EXP(-LN(2)/25)*GM152+(1-EXP(-LN(2)/25))/(LN(2)/25)*Calculateur!GH153*Calculateur!GJ153*VLOOKUP('Données projet'!$B$17,Paramètres!$A$1:$I$89,3,0)*0.475*44/12</f>
        <v>0.49825194024647773</v>
      </c>
      <c r="GN153" s="23">
        <f>EXP(-LN(2)/2)*GN152+(1-EXP(-LN(2)/2))/(LN(2)/2)*GH153*GK153*VLOOKUP('Données projet'!$B$17,Paramètres!$A$1:$I$89,3,0)*0.475*44/12</f>
        <v>8.7929641724516684E-18</v>
      </c>
      <c r="GO153" s="23">
        <f t="shared" si="135"/>
        <v>2.9699686776967158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5.8013801410682806</v>
      </c>
      <c r="GU153" s="13">
        <f>IF('Données projet'!$A$270&gt;35,GU152+GT153-HC152,IF(A153&lt;'Données projet'!$A$270,$GR$205^A153,IF(A153='Données projet'!$A$270,'Données projet'!$B$270,GU152+GT153-HC152)))</f>
        <v>602.05610752259213</v>
      </c>
      <c r="GV153" s="18">
        <f>GU153*VLOOKUP('Données projet'!$B$18,Paramètres!$A$1:$I$89,3,0)*VLOOKUP('Données projet'!$B$18,Paramètres!$A$1:$I$89,5,0)</f>
        <v>657.44526941467052</v>
      </c>
      <c r="GW153" s="14">
        <f t="shared" si="159"/>
        <v>142.36814017329672</v>
      </c>
      <c r="GX153" s="22">
        <f t="shared" si="136"/>
        <v>1393.0083550323761</v>
      </c>
      <c r="GY153" s="62">
        <f t="shared" si="137"/>
        <v>1679.7013773042365</v>
      </c>
      <c r="GZ153" s="62">
        <f ca="1">AVERAGE(OFFSET($GY$3,0,0,'Données projet'!$E$18+1,1))-AVERAGE(OFFSET($H$3,0,0,'Données projet'!$E$18+1,1))</f>
        <v>754.33260592777049</v>
      </c>
      <c r="HA153" s="62">
        <f t="shared" si="160"/>
        <v>250.97643915279005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9">
        <f t="shared" si="110"/>
        <v>183.33333333333334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-4.1145540308207271E-13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550.39292625253665</v>
      </c>
      <c r="T154" s="62">
        <f t="shared" si="142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-4.5474735088646412E-13</v>
      </c>
      <c r="AJ154" s="14">
        <f>AI154*VLOOKUP('Données projet'!$B$10,Paramètres!$A$1:$I$89,3,0)*VLOOKUP('Données projet'!$B$10,Paramètres!$A$1:$I$89,5,0)</f>
        <v>-4.6111381379887462E-13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606.55142836375308</v>
      </c>
      <c r="AO154" s="62">
        <f t="shared" si="144"/>
        <v>325.72635759450861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5.1159076974727213E-13</v>
      </c>
      <c r="BE154" s="14">
        <f>BD154*VLOOKUP('Données projet'!$B$11,Paramètres!$A$1:$I$89,3,0)*VLOOKUP('Données projet'!$B$11,Paramètres!$A$1:$I$89,5,0)</f>
        <v>5.3471467253984886E-13</v>
      </c>
      <c r="BF154" s="14">
        <f t="shared" ref="BF154:BF203" si="167">EXP(-1.0587+0.8836*LN(BE154)+0.284)</f>
        <v>6.6087717628803869E-12</v>
      </c>
      <c r="BG154" s="22">
        <f t="shared" ref="BG154:BG203" si="168">(BE154+BF154)*0.475*44/12</f>
        <v>1.244157220835691E-11</v>
      </c>
      <c r="BH154" s="62">
        <f t="shared" si="116"/>
        <v>286.8082168232778</v>
      </c>
      <c r="BI154" s="62">
        <f ca="1">AVERAGE(OFFSET($BH$3,0,0,'Données projet'!$E$11+1,1))-AVERAGE(OFFSET($H$3,0,0,'Données projet'!$E$11+1,1))</f>
        <v>635.13577238794812</v>
      </c>
      <c r="BJ154" s="62">
        <f t="shared" si="146"/>
        <v>374.35810525172019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-6.8212102632969618E-13</v>
      </c>
      <c r="BZ154" s="14">
        <f>BY154*VLOOKUP('Données projet'!$B$12,Paramètres!$A$1:$I$89,3,0)*VLOOKUP('Données projet'!$B$12,Paramètres!$A$1:$I$89,5,0)</f>
        <v>-3.0149749363772573E-13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580.02817743695846</v>
      </c>
      <c r="CE154" s="62">
        <f t="shared" si="148"/>
        <v>551.23515633208865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3.979039320256561E-13</v>
      </c>
      <c r="CU154" s="18">
        <f>CT154*VLOOKUP('Données projet'!$B$13,Paramètres!$A$1:$I$89,3,0)*VLOOKUP('Données projet'!$B$13,Paramètres!$A$1:$I$89,5,0)</f>
        <v>1.8621904018800707E-13</v>
      </c>
      <c r="CV154" s="14">
        <f t="shared" ref="CV154:CV203" si="173">EXP(-1.0587+0.8836*LN(CU154)+0.284)</f>
        <v>2.6022279988572714E-12</v>
      </c>
      <c r="CW154" s="22">
        <f t="shared" ref="CW154:CW203" si="174">(CU154+CV154)*0.475*44/12</f>
        <v>4.8565452596705266E-12</v>
      </c>
      <c r="CX154" s="62">
        <f t="shared" si="122"/>
        <v>286.80821682327019</v>
      </c>
      <c r="CY154" s="62">
        <f ca="1">AVERAGE(OFFSET($CX$3,0,0,'Données projet'!$E$13+1,1))-AVERAGE(OFFSET($H$3,0,0,'Données projet'!$E$13+1,1))</f>
        <v>321.05795935196863</v>
      </c>
      <c r="CZ154" s="62">
        <f t="shared" si="150"/>
        <v>209.59551322748908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-4.5474735088646412E-13</v>
      </c>
      <c r="DP154" s="18">
        <f>DO154*VLOOKUP('Données projet'!$B$14,Paramètres!$A$1:$I$89,3,0)*VLOOKUP('Données projet'!$B$14,Paramètres!$A$1:$I$89,5,0)</f>
        <v>-4.8949004849418999E-13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638.58602907610805</v>
      </c>
      <c r="DU154" s="62">
        <f t="shared" si="152"/>
        <v>341.9250949809848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3.3992364478763198E-14</v>
      </c>
      <c r="EL154" s="14">
        <f t="shared" ref="EL154:EL203" si="179">EXP(-1.0587+0.8836*LN(EK154)+0.284)</f>
        <v>5.790027782444094E-13</v>
      </c>
      <c r="EM154" s="22">
        <f t="shared" ref="EM154:EM203" si="180">(EK154+EL154)*0.475*44/12</f>
        <v>1.0676332069095257E-12</v>
      </c>
      <c r="EN154" s="62">
        <f t="shared" si="128"/>
        <v>286.80821682326643</v>
      </c>
      <c r="EO154" s="62">
        <f ca="1">AVERAGE(OFFSET($EN$3,0,0,'Données projet'!$E$15+1,1))-AVERAGE(OFFSET($H$3,0,0,'Données projet'!$E$15+1,1))</f>
        <v>223.57443551076992</v>
      </c>
      <c r="EP154" s="62">
        <f t="shared" si="154"/>
        <v>382.12751862619427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2.4232478798271857</v>
      </c>
      <c r="EW154" s="23">
        <f>EXP(-LN(2)/25)*EW153+(1-EXP(-LN(2)/25))/(LN(2)/25)*Calculateur!ER154*Calculateur!ET154*VLOOKUP('Données projet'!$B$15,Paramètres!$A$1:$I$89,3,0)*0.475*44/12</f>
        <v>0.48462721473850701</v>
      </c>
      <c r="EX154" s="23">
        <f>EXP(-LN(2)/2)*EX153+(1-EXP(-LN(2)/2))/(LN(2)/2)*ER154*EU154*VLOOKUP('Données projet'!$B$15,Paramètres!$A$1:$I$89,3,0)*0.475*44/12</f>
        <v>6.2175645930709339E-18</v>
      </c>
      <c r="EY154" s="24">
        <f t="shared" ref="EY154:EY203" si="181">SUM(EV154:EX154)</f>
        <v>2.9078750945656928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283.95543623515323</v>
      </c>
      <c r="FK154" s="62">
        <f t="shared" si="156"/>
        <v>196.96883829830929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5.6843418860808015E-14</v>
      </c>
      <c r="GA154" s="18">
        <f>FZ154*VLOOKUP('Données projet'!$B$17,Paramètres!$A$1:$I$89,3,0)*VLOOKUP('Données projet'!$B$17,Paramètres!$A$1:$I$89,5,0)</f>
        <v>3.3992364478763198E-14</v>
      </c>
      <c r="GB154" s="14">
        <f t="shared" ref="GB154:GB203" si="185">EXP(-1.0587+0.8836*LN(GA154)+0.284)</f>
        <v>5.790027782444094E-13</v>
      </c>
      <c r="GC154" s="22">
        <f t="shared" ref="GC154:GC203" si="186">(GA154+GB154)*0.475*44/12</f>
        <v>1.0676332069095257E-12</v>
      </c>
      <c r="GD154" s="62">
        <f t="shared" si="134"/>
        <v>286.80821682326643</v>
      </c>
      <c r="GE154" s="62">
        <f ca="1">AVERAGE(OFFSET($GD$3,0,0,'Données projet'!$E$17+1,1))-AVERAGE(OFFSET($H$3,0,0,'Données projet'!$E$17+1,1))</f>
        <v>223.57443551076992</v>
      </c>
      <c r="GF154" s="62">
        <f t="shared" si="158"/>
        <v>382.12751862619427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2.4232478798271857</v>
      </c>
      <c r="GM154" s="23">
        <f>EXP(-LN(2)/25)*GM153+(1-EXP(-LN(2)/25))/(LN(2)/25)*Calculateur!GH154*Calculateur!GJ154*VLOOKUP('Données projet'!$B$17,Paramètres!$A$1:$I$89,3,0)*0.475*44/12</f>
        <v>0.48462721473850701</v>
      </c>
      <c r="GN154" s="23">
        <f>EXP(-LN(2)/2)*GN153+(1-EXP(-LN(2)/2))/(LN(2)/2)*GH154*GK154*VLOOKUP('Données projet'!$B$17,Paramètres!$A$1:$I$89,3,0)*0.475*44/12</f>
        <v>6.2175645930709339E-18</v>
      </c>
      <c r="GO154" s="23">
        <f t="shared" ref="GO154:GO203" si="187">SUM(GL154:GN154)</f>
        <v>2.9078750945656928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5.8013801410682806</v>
      </c>
      <c r="GU154" s="13">
        <f>IF('Données projet'!$A$270&gt;35,GU153+GT154-HC153,IF(A154&lt;'Données projet'!$A$270,$GR$205^A154,IF(A154='Données projet'!$A$270,'Données projet'!$B$270,GU153+GT154-HC153)))</f>
        <v>607.85748766366044</v>
      </c>
      <c r="GV154" s="18">
        <f>GU154*VLOOKUP('Données projet'!$B$18,Paramètres!$A$1:$I$89,3,0)*VLOOKUP('Données projet'!$B$18,Paramètres!$A$1:$I$89,5,0)</f>
        <v>663.78037652871717</v>
      </c>
      <c r="GW154" s="14">
        <f t="shared" ref="GW154:GW203" si="188">EXP(-1.0587+0.8836*LN(GV154)+0.284)</f>
        <v>143.57963097176858</v>
      </c>
      <c r="GX154" s="22">
        <f t="shared" ref="GX154:GX203" si="189">(GV154+GW154)*0.475*44/12</f>
        <v>1406.152013063346</v>
      </c>
      <c r="GY154" s="62">
        <f t="shared" si="137"/>
        <v>1692.9602298866114</v>
      </c>
      <c r="GZ154" s="62">
        <f ca="1">AVERAGE(OFFSET($GY$3,0,0,'Données projet'!$E$18+1,1))-AVERAGE(OFFSET($H$3,0,0,'Données projet'!$E$18+1,1))</f>
        <v>754.33260592777049</v>
      </c>
      <c r="HA154" s="62">
        <f t="shared" si="160"/>
        <v>250.97643915279005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9">
        <f t="shared" si="110"/>
        <v>183.33333333333334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-4.1145540308207271E-13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550.39292625253665</v>
      </c>
      <c r="T155" s="62">
        <f t="shared" si="142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-4.5474735088646412E-13</v>
      </c>
      <c r="AJ155" s="14">
        <f>AI155*VLOOKUP('Données projet'!$B$10,Paramètres!$A$1:$I$89,3,0)*VLOOKUP('Données projet'!$B$10,Paramètres!$A$1:$I$89,5,0)</f>
        <v>-4.6111381379887462E-13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606.55142836375308</v>
      </c>
      <c r="AO155" s="62">
        <f t="shared" si="144"/>
        <v>325.72635759450861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5.1159076974727213E-13</v>
      </c>
      <c r="BE155" s="14">
        <f>BD155*VLOOKUP('Données projet'!$B$11,Paramètres!$A$1:$I$89,3,0)*VLOOKUP('Données projet'!$B$11,Paramètres!$A$1:$I$89,5,0)</f>
        <v>5.3471467253984886E-13</v>
      </c>
      <c r="BF155" s="14">
        <f t="shared" si="167"/>
        <v>6.6087717628803869E-12</v>
      </c>
      <c r="BG155" s="22">
        <f t="shared" si="168"/>
        <v>1.244157220835691E-11</v>
      </c>
      <c r="BH155" s="62">
        <f t="shared" si="116"/>
        <v>286.92141300675235</v>
      </c>
      <c r="BI155" s="62">
        <f ca="1">AVERAGE(OFFSET($BH$3,0,0,'Données projet'!$E$11+1,1))-AVERAGE(OFFSET($H$3,0,0,'Données projet'!$E$11+1,1))</f>
        <v>635.13577238794812</v>
      </c>
      <c r="BJ155" s="62">
        <f t="shared" si="146"/>
        <v>374.35810525172019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-6.8212102632969618E-13</v>
      </c>
      <c r="BZ155" s="14">
        <f>BY155*VLOOKUP('Données projet'!$B$12,Paramètres!$A$1:$I$89,3,0)*VLOOKUP('Données projet'!$B$12,Paramètres!$A$1:$I$89,5,0)</f>
        <v>-3.0149749363772573E-13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580.02817743695846</v>
      </c>
      <c r="CE155" s="62">
        <f t="shared" si="148"/>
        <v>551.23515633208865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3.979039320256561E-13</v>
      </c>
      <c r="CU155" s="18">
        <f>CT155*VLOOKUP('Données projet'!$B$13,Paramètres!$A$1:$I$89,3,0)*VLOOKUP('Données projet'!$B$13,Paramètres!$A$1:$I$89,5,0)</f>
        <v>1.8621904018800707E-13</v>
      </c>
      <c r="CV155" s="14">
        <f t="shared" si="173"/>
        <v>2.6022279988572714E-12</v>
      </c>
      <c r="CW155" s="22">
        <f t="shared" si="174"/>
        <v>4.8565452596705266E-12</v>
      </c>
      <c r="CX155" s="62">
        <f t="shared" si="122"/>
        <v>286.92141300674473</v>
      </c>
      <c r="CY155" s="62">
        <f ca="1">AVERAGE(OFFSET($CX$3,0,0,'Données projet'!$E$13+1,1))-AVERAGE(OFFSET($H$3,0,0,'Données projet'!$E$13+1,1))</f>
        <v>321.05795935196863</v>
      </c>
      <c r="CZ155" s="62">
        <f t="shared" si="150"/>
        <v>209.59551322748908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-4.5474735088646412E-13</v>
      </c>
      <c r="DP155" s="18">
        <f>DO155*VLOOKUP('Données projet'!$B$14,Paramètres!$A$1:$I$89,3,0)*VLOOKUP('Données projet'!$B$14,Paramètres!$A$1:$I$89,5,0)</f>
        <v>-4.8949004849418999E-13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638.58602907610805</v>
      </c>
      <c r="DU155" s="62">
        <f t="shared" si="152"/>
        <v>341.9250949809848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3.3992364478763198E-14</v>
      </c>
      <c r="EL155" s="14">
        <f t="shared" si="179"/>
        <v>5.790027782444094E-13</v>
      </c>
      <c r="EM155" s="22">
        <f t="shared" si="180"/>
        <v>1.0676332069095257E-12</v>
      </c>
      <c r="EN155" s="62">
        <f t="shared" si="128"/>
        <v>286.92141300674098</v>
      </c>
      <c r="EO155" s="62">
        <f ca="1">AVERAGE(OFFSET($EN$3,0,0,'Données projet'!$E$15+1,1))-AVERAGE(OFFSET($H$3,0,0,'Données projet'!$E$15+1,1))</f>
        <v>223.57443551076992</v>
      </c>
      <c r="EP155" s="62">
        <f t="shared" si="154"/>
        <v>382.12751862619427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2.3757294669390374</v>
      </c>
      <c r="EW155" s="23">
        <f>EXP(-LN(2)/25)*EW154+(1-EXP(-LN(2)/25))/(LN(2)/25)*Calculateur!ER155*Calculateur!ET155*VLOOKUP('Données projet'!$B$15,Paramètres!$A$1:$I$89,3,0)*0.475*44/12</f>
        <v>0.47137505806604496</v>
      </c>
      <c r="EX155" s="23">
        <f>EXP(-LN(2)/2)*EX154+(1-EXP(-LN(2)/2))/(LN(2)/2)*ER155*EU155*VLOOKUP('Données projet'!$B$15,Paramètres!$A$1:$I$89,3,0)*0.475*44/12</f>
        <v>4.3964820862258342E-18</v>
      </c>
      <c r="EY155" s="24">
        <f t="shared" si="181"/>
        <v>2.8471045250050824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283.95543623515323</v>
      </c>
      <c r="FK155" s="62">
        <f t="shared" si="156"/>
        <v>196.96883829830929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5.6843418860808015E-14</v>
      </c>
      <c r="GA155" s="18">
        <f>FZ155*VLOOKUP('Données projet'!$B$17,Paramètres!$A$1:$I$89,3,0)*VLOOKUP('Données projet'!$B$17,Paramètres!$A$1:$I$89,5,0)</f>
        <v>3.3992364478763198E-14</v>
      </c>
      <c r="GB155" s="14">
        <f t="shared" si="185"/>
        <v>5.790027782444094E-13</v>
      </c>
      <c r="GC155" s="22">
        <f t="shared" si="186"/>
        <v>1.0676332069095257E-12</v>
      </c>
      <c r="GD155" s="62">
        <f t="shared" si="134"/>
        <v>286.92141300674098</v>
      </c>
      <c r="GE155" s="62">
        <f ca="1">AVERAGE(OFFSET($GD$3,0,0,'Données projet'!$E$17+1,1))-AVERAGE(OFFSET($H$3,0,0,'Données projet'!$E$17+1,1))</f>
        <v>223.57443551076992</v>
      </c>
      <c r="GF155" s="62">
        <f t="shared" si="158"/>
        <v>382.12751862619427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2.3757294669390374</v>
      </c>
      <c r="GM155" s="23">
        <f>EXP(-LN(2)/25)*GM154+(1-EXP(-LN(2)/25))/(LN(2)/25)*Calculateur!GH155*Calculateur!GJ155*VLOOKUP('Données projet'!$B$17,Paramètres!$A$1:$I$89,3,0)*0.475*44/12</f>
        <v>0.47137505806604496</v>
      </c>
      <c r="GN155" s="23">
        <f>EXP(-LN(2)/2)*GN154+(1-EXP(-LN(2)/2))/(LN(2)/2)*GH155*GK155*VLOOKUP('Données projet'!$B$17,Paramètres!$A$1:$I$89,3,0)*0.475*44/12</f>
        <v>4.3964820862258342E-18</v>
      </c>
      <c r="GO155" s="23">
        <f t="shared" si="187"/>
        <v>2.8471045250050824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5.8013801410682806</v>
      </c>
      <c r="GU155" s="13">
        <f>IF('Données projet'!$A$270&gt;35,GU154+GT155-HC154,IF(A155&lt;'Données projet'!$A$270,$GR$205^A155,IF(A155='Données projet'!$A$270,'Données projet'!$B$270,GU154+GT155-HC154)))</f>
        <v>613.65886780472874</v>
      </c>
      <c r="GV155" s="18">
        <f>GU155*VLOOKUP('Données projet'!$B$18,Paramètres!$A$1:$I$89,3,0)*VLOOKUP('Données projet'!$B$18,Paramètres!$A$1:$I$89,5,0)</f>
        <v>670.11548364276382</v>
      </c>
      <c r="GW155" s="14">
        <f t="shared" si="188"/>
        <v>144.78977662736452</v>
      </c>
      <c r="GX155" s="22">
        <f t="shared" si="189"/>
        <v>1419.2933283038067</v>
      </c>
      <c r="GY155" s="62">
        <f t="shared" si="137"/>
        <v>1706.2147413105465</v>
      </c>
      <c r="GZ155" s="62">
        <f ca="1">AVERAGE(OFFSET($GY$3,0,0,'Données projet'!$E$18+1,1))-AVERAGE(OFFSET($H$3,0,0,'Données projet'!$E$18+1,1))</f>
        <v>754.33260592777049</v>
      </c>
      <c r="HA155" s="62">
        <f t="shared" si="160"/>
        <v>250.97643915279005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9">
        <f t="shared" si="110"/>
        <v>183.33333333333334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-4.1145540308207271E-13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550.39292625253665</v>
      </c>
      <c r="T156" s="62">
        <f t="shared" si="142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-4.5474735088646412E-13</v>
      </c>
      <c r="AJ156" s="14">
        <f>AI156*VLOOKUP('Données projet'!$B$10,Paramètres!$A$1:$I$89,3,0)*VLOOKUP('Données projet'!$B$10,Paramètres!$A$1:$I$89,5,0)</f>
        <v>-4.6111381379887462E-13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606.55142836375308</v>
      </c>
      <c r="AO156" s="62">
        <f t="shared" si="144"/>
        <v>325.72635759450861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5.1159076974727213E-13</v>
      </c>
      <c r="BE156" s="14">
        <f>BD156*VLOOKUP('Données projet'!$B$11,Paramètres!$A$1:$I$89,3,0)*VLOOKUP('Données projet'!$B$11,Paramètres!$A$1:$I$89,5,0)</f>
        <v>5.3471467253984886E-13</v>
      </c>
      <c r="BF156" s="14">
        <f t="shared" si="167"/>
        <v>6.6087717628803869E-12</v>
      </c>
      <c r="BG156" s="22">
        <f t="shared" si="168"/>
        <v>1.244157220835691E-11</v>
      </c>
      <c r="BH156" s="62">
        <f t="shared" si="116"/>
        <v>287.03264548951245</v>
      </c>
      <c r="BI156" s="62">
        <f ca="1">AVERAGE(OFFSET($BH$3,0,0,'Données projet'!$E$11+1,1))-AVERAGE(OFFSET($H$3,0,0,'Données projet'!$E$11+1,1))</f>
        <v>635.13577238794812</v>
      </c>
      <c r="BJ156" s="62">
        <f t="shared" si="146"/>
        <v>374.35810525172019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-6.8212102632969618E-13</v>
      </c>
      <c r="BZ156" s="14">
        <f>BY156*VLOOKUP('Données projet'!$B$12,Paramètres!$A$1:$I$89,3,0)*VLOOKUP('Données projet'!$B$12,Paramètres!$A$1:$I$89,5,0)</f>
        <v>-3.0149749363772573E-13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580.02817743695846</v>
      </c>
      <c r="CE156" s="62">
        <f t="shared" si="148"/>
        <v>551.23515633208865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3.979039320256561E-13</v>
      </c>
      <c r="CU156" s="18">
        <f>CT156*VLOOKUP('Données projet'!$B$13,Paramètres!$A$1:$I$89,3,0)*VLOOKUP('Données projet'!$B$13,Paramètres!$A$1:$I$89,5,0)</f>
        <v>1.8621904018800707E-13</v>
      </c>
      <c r="CV156" s="14">
        <f t="shared" si="173"/>
        <v>2.6022279988572714E-12</v>
      </c>
      <c r="CW156" s="22">
        <f t="shared" si="174"/>
        <v>4.8565452596705266E-12</v>
      </c>
      <c r="CX156" s="62">
        <f t="shared" si="122"/>
        <v>287.03264548950483</v>
      </c>
      <c r="CY156" s="62">
        <f ca="1">AVERAGE(OFFSET($CX$3,0,0,'Données projet'!$E$13+1,1))-AVERAGE(OFFSET($H$3,0,0,'Données projet'!$E$13+1,1))</f>
        <v>321.05795935196863</v>
      </c>
      <c r="CZ156" s="62">
        <f t="shared" si="150"/>
        <v>209.59551322748908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-4.5474735088646412E-13</v>
      </c>
      <c r="DP156" s="18">
        <f>DO156*VLOOKUP('Données projet'!$B$14,Paramètres!$A$1:$I$89,3,0)*VLOOKUP('Données projet'!$B$14,Paramètres!$A$1:$I$89,5,0)</f>
        <v>-4.8949004849418999E-13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638.58602907610805</v>
      </c>
      <c r="DU156" s="62">
        <f t="shared" si="152"/>
        <v>341.9250949809848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3.3992364478763198E-14</v>
      </c>
      <c r="EL156" s="14">
        <f t="shared" si="179"/>
        <v>5.790027782444094E-13</v>
      </c>
      <c r="EM156" s="22">
        <f t="shared" si="180"/>
        <v>1.0676332069095257E-12</v>
      </c>
      <c r="EN156" s="62">
        <f t="shared" si="128"/>
        <v>287.03264548950108</v>
      </c>
      <c r="EO156" s="62">
        <f ca="1">AVERAGE(OFFSET($EN$3,0,0,'Données projet'!$E$15+1,1))-AVERAGE(OFFSET($H$3,0,0,'Données projet'!$E$15+1,1))</f>
        <v>223.57443551076992</v>
      </c>
      <c r="EP156" s="62">
        <f t="shared" si="154"/>
        <v>382.12751862619427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2.3291428611442559</v>
      </c>
      <c r="EW156" s="23">
        <f>EXP(-LN(2)/25)*EW155+(1-EXP(-LN(2)/25))/(LN(2)/25)*Calculateur!ER156*Calculateur!ET156*VLOOKUP('Données projet'!$B$15,Paramètres!$A$1:$I$89,3,0)*0.475*44/12</f>
        <v>0.45848528231469199</v>
      </c>
      <c r="EX156" s="23">
        <f>EXP(-LN(2)/2)*EX155+(1-EXP(-LN(2)/2))/(LN(2)/2)*ER156*EU156*VLOOKUP('Données projet'!$B$15,Paramètres!$A$1:$I$89,3,0)*0.475*44/12</f>
        <v>3.108782296535467E-18</v>
      </c>
      <c r="EY156" s="24">
        <f t="shared" si="181"/>
        <v>2.787628143458948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283.95543623515323</v>
      </c>
      <c r="FK156" s="62">
        <f t="shared" si="156"/>
        <v>196.96883829830929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5.6843418860808015E-14</v>
      </c>
      <c r="GA156" s="18">
        <f>FZ156*VLOOKUP('Données projet'!$B$17,Paramètres!$A$1:$I$89,3,0)*VLOOKUP('Données projet'!$B$17,Paramètres!$A$1:$I$89,5,0)</f>
        <v>3.3992364478763198E-14</v>
      </c>
      <c r="GB156" s="14">
        <f t="shared" si="185"/>
        <v>5.790027782444094E-13</v>
      </c>
      <c r="GC156" s="22">
        <f t="shared" si="186"/>
        <v>1.0676332069095257E-12</v>
      </c>
      <c r="GD156" s="62">
        <f t="shared" si="134"/>
        <v>287.03264548950108</v>
      </c>
      <c r="GE156" s="62">
        <f ca="1">AVERAGE(OFFSET($GD$3,0,0,'Données projet'!$E$17+1,1))-AVERAGE(OFFSET($H$3,0,0,'Données projet'!$E$17+1,1))</f>
        <v>223.57443551076992</v>
      </c>
      <c r="GF156" s="62">
        <f t="shared" si="158"/>
        <v>382.12751862619427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2.3291428611442559</v>
      </c>
      <c r="GM156" s="23">
        <f>EXP(-LN(2)/25)*GM155+(1-EXP(-LN(2)/25))/(LN(2)/25)*Calculateur!GH156*Calculateur!GJ156*VLOOKUP('Données projet'!$B$17,Paramètres!$A$1:$I$89,3,0)*0.475*44/12</f>
        <v>0.45848528231469199</v>
      </c>
      <c r="GN156" s="23">
        <f>EXP(-LN(2)/2)*GN155+(1-EXP(-LN(2)/2))/(LN(2)/2)*GH156*GK156*VLOOKUP('Données projet'!$B$17,Paramètres!$A$1:$I$89,3,0)*0.475*44/12</f>
        <v>3.108782296535467E-18</v>
      </c>
      <c r="GO156" s="23">
        <f t="shared" si="187"/>
        <v>2.787628143458948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5.8013801410682806</v>
      </c>
      <c r="GU156" s="13">
        <f>IF('Données projet'!$A$270&gt;35,GU155+GT156-HC155,IF(A156&lt;'Données projet'!$A$270,$GR$205^A156,IF(A156='Données projet'!$A$270,'Données projet'!$B$270,GU155+GT156-HC155)))</f>
        <v>619.46024794579705</v>
      </c>
      <c r="GV156" s="18">
        <f>GU156*VLOOKUP('Données projet'!$B$18,Paramètres!$A$1:$I$89,3,0)*VLOOKUP('Données projet'!$B$18,Paramètres!$A$1:$I$89,5,0)</f>
        <v>676.45059075681036</v>
      </c>
      <c r="GW156" s="14">
        <f t="shared" si="188"/>
        <v>145.99859132956891</v>
      </c>
      <c r="GX156" s="22">
        <f t="shared" si="189"/>
        <v>1432.4323254671108</v>
      </c>
      <c r="GY156" s="62">
        <f t="shared" si="137"/>
        <v>1719.4649709566108</v>
      </c>
      <c r="GZ156" s="62">
        <f ca="1">AVERAGE(OFFSET($GY$3,0,0,'Données projet'!$E$18+1,1))-AVERAGE(OFFSET($H$3,0,0,'Données projet'!$E$18+1,1))</f>
        <v>754.33260592777049</v>
      </c>
      <c r="HA156" s="62">
        <f t="shared" si="160"/>
        <v>250.97643915279005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9">
        <f t="shared" si="110"/>
        <v>183.33333333333334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-4.1145540308207271E-13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550.39292625253665</v>
      </c>
      <c r="T157" s="62">
        <f t="shared" si="142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-4.5474735088646412E-13</v>
      </c>
      <c r="AJ157" s="14">
        <f>AI157*VLOOKUP('Données projet'!$B$10,Paramètres!$A$1:$I$89,3,0)*VLOOKUP('Données projet'!$B$10,Paramètres!$A$1:$I$89,5,0)</f>
        <v>-4.6111381379887462E-13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606.55142836375308</v>
      </c>
      <c r="AO157" s="62">
        <f t="shared" si="144"/>
        <v>325.72635759450861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5.1159076974727213E-13</v>
      </c>
      <c r="BE157" s="14">
        <f>BD157*VLOOKUP('Données projet'!$B$11,Paramètres!$A$1:$I$89,3,0)*VLOOKUP('Données projet'!$B$11,Paramètres!$A$1:$I$89,5,0)</f>
        <v>5.3471467253984886E-13</v>
      </c>
      <c r="BF157" s="14">
        <f t="shared" si="167"/>
        <v>6.6087717628803869E-12</v>
      </c>
      <c r="BG157" s="22">
        <f t="shared" si="168"/>
        <v>1.244157220835691E-11</v>
      </c>
      <c r="BH157" s="62">
        <f t="shared" si="116"/>
        <v>287.1419483373752</v>
      </c>
      <c r="BI157" s="62">
        <f ca="1">AVERAGE(OFFSET($BH$3,0,0,'Données projet'!$E$11+1,1))-AVERAGE(OFFSET($H$3,0,0,'Données projet'!$E$11+1,1))</f>
        <v>635.13577238794812</v>
      </c>
      <c r="BJ157" s="62">
        <f t="shared" si="146"/>
        <v>374.35810525172019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-6.8212102632969618E-13</v>
      </c>
      <c r="BZ157" s="14">
        <f>BY157*VLOOKUP('Données projet'!$B$12,Paramètres!$A$1:$I$89,3,0)*VLOOKUP('Données projet'!$B$12,Paramètres!$A$1:$I$89,5,0)</f>
        <v>-3.0149749363772573E-13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580.02817743695846</v>
      </c>
      <c r="CE157" s="62">
        <f t="shared" si="148"/>
        <v>551.23515633208865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3.979039320256561E-13</v>
      </c>
      <c r="CU157" s="18">
        <f>CT157*VLOOKUP('Données projet'!$B$13,Paramètres!$A$1:$I$89,3,0)*VLOOKUP('Données projet'!$B$13,Paramètres!$A$1:$I$89,5,0)</f>
        <v>1.8621904018800707E-13</v>
      </c>
      <c r="CV157" s="14">
        <f t="shared" si="173"/>
        <v>2.6022279988572714E-12</v>
      </c>
      <c r="CW157" s="22">
        <f t="shared" si="174"/>
        <v>4.8565452596705266E-12</v>
      </c>
      <c r="CX157" s="62">
        <f t="shared" si="122"/>
        <v>287.14194833736758</v>
      </c>
      <c r="CY157" s="62">
        <f ca="1">AVERAGE(OFFSET($CX$3,0,0,'Données projet'!$E$13+1,1))-AVERAGE(OFFSET($H$3,0,0,'Données projet'!$E$13+1,1))</f>
        <v>321.05795935196863</v>
      </c>
      <c r="CZ157" s="62">
        <f t="shared" si="150"/>
        <v>209.59551322748908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-4.5474735088646412E-13</v>
      </c>
      <c r="DP157" s="18">
        <f>DO157*VLOOKUP('Données projet'!$B$14,Paramètres!$A$1:$I$89,3,0)*VLOOKUP('Données projet'!$B$14,Paramètres!$A$1:$I$89,5,0)</f>
        <v>-4.8949004849418999E-13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638.58602907610805</v>
      </c>
      <c r="DU157" s="62">
        <f t="shared" si="152"/>
        <v>341.9250949809848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3.3992364478763198E-14</v>
      </c>
      <c r="EL157" s="14">
        <f t="shared" si="179"/>
        <v>5.790027782444094E-13</v>
      </c>
      <c r="EM157" s="22">
        <f t="shared" si="180"/>
        <v>1.0676332069095257E-12</v>
      </c>
      <c r="EN157" s="62">
        <f t="shared" si="128"/>
        <v>287.14194833736383</v>
      </c>
      <c r="EO157" s="62">
        <f ca="1">AVERAGE(OFFSET($EN$3,0,0,'Données projet'!$E$15+1,1))-AVERAGE(OFFSET($H$3,0,0,'Données projet'!$E$15+1,1))</f>
        <v>223.57443551076992</v>
      </c>
      <c r="EP157" s="62">
        <f t="shared" si="154"/>
        <v>382.12751862619427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2.2834697902740864</v>
      </c>
      <c r="EW157" s="23">
        <f>EXP(-LN(2)/25)*EW156+(1-EXP(-LN(2)/25))/(LN(2)/25)*Calculateur!ER157*Calculateur!ET157*VLOOKUP('Données projet'!$B$15,Paramètres!$A$1:$I$89,3,0)*0.475*44/12</f>
        <v>0.44594797815910364</v>
      </c>
      <c r="EX157" s="23">
        <f>EXP(-LN(2)/2)*EX156+(1-EXP(-LN(2)/2))/(LN(2)/2)*ER157*EU157*VLOOKUP('Données projet'!$B$15,Paramètres!$A$1:$I$89,3,0)*0.475*44/12</f>
        <v>2.1982410431129171E-18</v>
      </c>
      <c r="EY157" s="24">
        <f t="shared" si="181"/>
        <v>2.7294177684331902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283.95543623515323</v>
      </c>
      <c r="FK157" s="62">
        <f t="shared" si="156"/>
        <v>196.96883829830929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5.6843418860808015E-14</v>
      </c>
      <c r="GA157" s="18">
        <f>FZ157*VLOOKUP('Données projet'!$B$17,Paramètres!$A$1:$I$89,3,0)*VLOOKUP('Données projet'!$B$17,Paramètres!$A$1:$I$89,5,0)</f>
        <v>3.3992364478763198E-14</v>
      </c>
      <c r="GB157" s="14">
        <f t="shared" si="185"/>
        <v>5.790027782444094E-13</v>
      </c>
      <c r="GC157" s="22">
        <f t="shared" si="186"/>
        <v>1.0676332069095257E-12</v>
      </c>
      <c r="GD157" s="62">
        <f t="shared" si="134"/>
        <v>287.14194833736383</v>
      </c>
      <c r="GE157" s="62">
        <f ca="1">AVERAGE(OFFSET($GD$3,0,0,'Données projet'!$E$17+1,1))-AVERAGE(OFFSET($H$3,0,0,'Données projet'!$E$17+1,1))</f>
        <v>223.57443551076992</v>
      </c>
      <c r="GF157" s="62">
        <f t="shared" si="158"/>
        <v>382.12751862619427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2.2834697902740864</v>
      </c>
      <c r="GM157" s="23">
        <f>EXP(-LN(2)/25)*GM156+(1-EXP(-LN(2)/25))/(LN(2)/25)*Calculateur!GH157*Calculateur!GJ157*VLOOKUP('Données projet'!$B$17,Paramètres!$A$1:$I$89,3,0)*0.475*44/12</f>
        <v>0.44594797815910364</v>
      </c>
      <c r="GN157" s="23">
        <f>EXP(-LN(2)/2)*GN156+(1-EXP(-LN(2)/2))/(LN(2)/2)*GH157*GK157*VLOOKUP('Données projet'!$B$17,Paramètres!$A$1:$I$89,3,0)*0.475*44/12</f>
        <v>2.1982410431129171E-18</v>
      </c>
      <c r="GO157" s="23">
        <f t="shared" si="187"/>
        <v>2.7294177684331902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5.8013801410682806</v>
      </c>
      <c r="GU157" s="13">
        <f>IF('Données projet'!$A$270&gt;35,GU156+GT157-HC156,IF(A157&lt;'Données projet'!$A$270,$GR$205^A157,IF(A157='Données projet'!$A$270,'Données projet'!$B$270,GU156+GT157-HC156)))</f>
        <v>625.26162808686536</v>
      </c>
      <c r="GV157" s="18">
        <f>GU157*VLOOKUP('Données projet'!$B$18,Paramètres!$A$1:$I$89,3,0)*VLOOKUP('Données projet'!$B$18,Paramètres!$A$1:$I$89,5,0)</f>
        <v>682.78569787085701</v>
      </c>
      <c r="GW157" s="14">
        <f t="shared" si="188"/>
        <v>147.20608898676389</v>
      </c>
      <c r="GX157" s="22">
        <f t="shared" si="189"/>
        <v>1445.569028777023</v>
      </c>
      <c r="GY157" s="62">
        <f t="shared" si="137"/>
        <v>1732.7109771143857</v>
      </c>
      <c r="GZ157" s="62">
        <f ca="1">AVERAGE(OFFSET($GY$3,0,0,'Données projet'!$E$18+1,1))-AVERAGE(OFFSET($H$3,0,0,'Données projet'!$E$18+1,1))</f>
        <v>754.33260592777049</v>
      </c>
      <c r="HA157" s="62">
        <f t="shared" si="160"/>
        <v>250.97643915279005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9">
        <f t="shared" si="110"/>
        <v>183.33333333333334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-4.1145540308207271E-13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550.39292625253665</v>
      </c>
      <c r="T158" s="62">
        <f t="shared" si="142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-4.5474735088646412E-13</v>
      </c>
      <c r="AJ158" s="14">
        <f>AI158*VLOOKUP('Données projet'!$B$10,Paramètres!$A$1:$I$89,3,0)*VLOOKUP('Données projet'!$B$10,Paramètres!$A$1:$I$89,5,0)</f>
        <v>-4.6111381379887462E-13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606.55142836375308</v>
      </c>
      <c r="AO158" s="62">
        <f t="shared" si="144"/>
        <v>325.72635759450861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5.1159076974727213E-13</v>
      </c>
      <c r="BE158" s="14">
        <f>BD158*VLOOKUP('Données projet'!$B$11,Paramètres!$A$1:$I$89,3,0)*VLOOKUP('Données projet'!$B$11,Paramètres!$A$1:$I$89,5,0)</f>
        <v>5.3471467253984886E-13</v>
      </c>
      <c r="BF158" s="14">
        <f t="shared" si="167"/>
        <v>6.6087717628803869E-12</v>
      </c>
      <c r="BG158" s="22">
        <f t="shared" si="168"/>
        <v>1.244157220835691E-11</v>
      </c>
      <c r="BH158" s="62">
        <f t="shared" si="116"/>
        <v>287.24935502519213</v>
      </c>
      <c r="BI158" s="62">
        <f ca="1">AVERAGE(OFFSET($BH$3,0,0,'Données projet'!$E$11+1,1))-AVERAGE(OFFSET($H$3,0,0,'Données projet'!$E$11+1,1))</f>
        <v>635.13577238794812</v>
      </c>
      <c r="BJ158" s="62">
        <f t="shared" si="146"/>
        <v>374.35810525172019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-6.8212102632969618E-13</v>
      </c>
      <c r="BZ158" s="14">
        <f>BY158*VLOOKUP('Données projet'!$B$12,Paramètres!$A$1:$I$89,3,0)*VLOOKUP('Données projet'!$B$12,Paramètres!$A$1:$I$89,5,0)</f>
        <v>-3.0149749363772573E-13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580.02817743695846</v>
      </c>
      <c r="CE158" s="62">
        <f t="shared" si="148"/>
        <v>551.23515633208865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3.979039320256561E-13</v>
      </c>
      <c r="CU158" s="18">
        <f>CT158*VLOOKUP('Données projet'!$B$13,Paramètres!$A$1:$I$89,3,0)*VLOOKUP('Données projet'!$B$13,Paramètres!$A$1:$I$89,5,0)</f>
        <v>1.8621904018800707E-13</v>
      </c>
      <c r="CV158" s="14">
        <f t="shared" si="173"/>
        <v>2.6022279988572714E-12</v>
      </c>
      <c r="CW158" s="22">
        <f t="shared" si="174"/>
        <v>4.8565452596705266E-12</v>
      </c>
      <c r="CX158" s="62">
        <f t="shared" si="122"/>
        <v>287.24935502518451</v>
      </c>
      <c r="CY158" s="62">
        <f ca="1">AVERAGE(OFFSET($CX$3,0,0,'Données projet'!$E$13+1,1))-AVERAGE(OFFSET($H$3,0,0,'Données projet'!$E$13+1,1))</f>
        <v>321.05795935196863</v>
      </c>
      <c r="CZ158" s="62">
        <f t="shared" si="150"/>
        <v>209.59551322748908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-4.5474735088646412E-13</v>
      </c>
      <c r="DP158" s="18">
        <f>DO158*VLOOKUP('Données projet'!$B$14,Paramètres!$A$1:$I$89,3,0)*VLOOKUP('Données projet'!$B$14,Paramètres!$A$1:$I$89,5,0)</f>
        <v>-4.8949004849418999E-13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638.58602907610805</v>
      </c>
      <c r="DU158" s="62">
        <f t="shared" si="152"/>
        <v>341.9250949809848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3.3992364478763198E-14</v>
      </c>
      <c r="EL158" s="14">
        <f t="shared" si="179"/>
        <v>5.790027782444094E-13</v>
      </c>
      <c r="EM158" s="22">
        <f t="shared" si="180"/>
        <v>1.0676332069095257E-12</v>
      </c>
      <c r="EN158" s="62">
        <f t="shared" si="128"/>
        <v>287.24935502518076</v>
      </c>
      <c r="EO158" s="62">
        <f ca="1">AVERAGE(OFFSET($EN$3,0,0,'Données projet'!$E$15+1,1))-AVERAGE(OFFSET($H$3,0,0,'Données projet'!$E$15+1,1))</f>
        <v>223.57443551076992</v>
      </c>
      <c r="EP158" s="62">
        <f t="shared" si="154"/>
        <v>382.12751862619427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2.2386923404658581</v>
      </c>
      <c r="EW158" s="23">
        <f>EXP(-LN(2)/25)*EW157+(1-EXP(-LN(2)/25))/(LN(2)/25)*Calculateur!ER158*Calculateur!ET158*VLOOKUP('Données projet'!$B$15,Paramètres!$A$1:$I$89,3,0)*0.475*44/12</f>
        <v>0.43375350724495804</v>
      </c>
      <c r="EX158" s="23">
        <f>EXP(-LN(2)/2)*EX157+(1-EXP(-LN(2)/2))/(LN(2)/2)*ER158*EU158*VLOOKUP('Données projet'!$B$15,Paramètres!$A$1:$I$89,3,0)*0.475*44/12</f>
        <v>1.5543911482677335E-18</v>
      </c>
      <c r="EY158" s="24">
        <f t="shared" si="181"/>
        <v>2.6724458477108159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283.95543623515323</v>
      </c>
      <c r="FK158" s="62">
        <f t="shared" si="156"/>
        <v>196.96883829830929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5.6843418860808015E-14</v>
      </c>
      <c r="GA158" s="18">
        <f>FZ158*VLOOKUP('Données projet'!$B$17,Paramètres!$A$1:$I$89,3,0)*VLOOKUP('Données projet'!$B$17,Paramètres!$A$1:$I$89,5,0)</f>
        <v>3.3992364478763198E-14</v>
      </c>
      <c r="GB158" s="14">
        <f t="shared" si="185"/>
        <v>5.790027782444094E-13</v>
      </c>
      <c r="GC158" s="22">
        <f t="shared" si="186"/>
        <v>1.0676332069095257E-12</v>
      </c>
      <c r="GD158" s="62">
        <f t="shared" si="134"/>
        <v>287.24935502518076</v>
      </c>
      <c r="GE158" s="62">
        <f ca="1">AVERAGE(OFFSET($GD$3,0,0,'Données projet'!$E$17+1,1))-AVERAGE(OFFSET($H$3,0,0,'Données projet'!$E$17+1,1))</f>
        <v>223.57443551076992</v>
      </c>
      <c r="GF158" s="62">
        <f t="shared" si="158"/>
        <v>382.12751862619427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2.2386923404658581</v>
      </c>
      <c r="GM158" s="23">
        <f>EXP(-LN(2)/25)*GM157+(1-EXP(-LN(2)/25))/(LN(2)/25)*Calculateur!GH158*Calculateur!GJ158*VLOOKUP('Données projet'!$B$17,Paramètres!$A$1:$I$89,3,0)*0.475*44/12</f>
        <v>0.43375350724495804</v>
      </c>
      <c r="GN158" s="23">
        <f>EXP(-LN(2)/2)*GN157+(1-EXP(-LN(2)/2))/(LN(2)/2)*GH158*GK158*VLOOKUP('Données projet'!$B$17,Paramètres!$A$1:$I$89,3,0)*0.475*44/12</f>
        <v>1.5543911482677335E-18</v>
      </c>
      <c r="GO158" s="23">
        <f t="shared" si="187"/>
        <v>2.6724458477108159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5.8013801410682806</v>
      </c>
      <c r="GU158" s="13">
        <f>IF('Données projet'!$A$270&gt;35,GU157+GT158-HC157,IF(A158&lt;'Données projet'!$A$270,$GR$205^A158,IF(A158='Données projet'!$A$270,'Données projet'!$B$270,GU157+GT158-HC157)))</f>
        <v>631.06300822793366</v>
      </c>
      <c r="GV158" s="18">
        <f>GU158*VLOOKUP('Données projet'!$B$18,Paramètres!$A$1:$I$89,3,0)*VLOOKUP('Données projet'!$B$18,Paramètres!$A$1:$I$89,5,0)</f>
        <v>689.12080498490354</v>
      </c>
      <c r="GW158" s="14">
        <f t="shared" si="188"/>
        <v>148.41228323435348</v>
      </c>
      <c r="GX158" s="22">
        <f t="shared" si="189"/>
        <v>1458.7034619818724</v>
      </c>
      <c r="GY158" s="62">
        <f t="shared" si="137"/>
        <v>1745.9528170070521</v>
      </c>
      <c r="GZ158" s="62">
        <f ca="1">AVERAGE(OFFSET($GY$3,0,0,'Données projet'!$E$18+1,1))-AVERAGE(OFFSET($H$3,0,0,'Données projet'!$E$18+1,1))</f>
        <v>754.33260592777049</v>
      </c>
      <c r="HA158" s="62">
        <f t="shared" si="160"/>
        <v>250.97643915279005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9">
        <f t="shared" si="110"/>
        <v>183.33333333333334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-4.1145540308207271E-13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550.39292625253665</v>
      </c>
      <c r="T159" s="62">
        <f t="shared" si="142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-4.5474735088646412E-13</v>
      </c>
      <c r="AJ159" s="14">
        <f>AI159*VLOOKUP('Données projet'!$B$10,Paramètres!$A$1:$I$89,3,0)*VLOOKUP('Données projet'!$B$10,Paramètres!$A$1:$I$89,5,0)</f>
        <v>-4.6111381379887462E-13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606.55142836375308</v>
      </c>
      <c r="AO159" s="62">
        <f t="shared" si="144"/>
        <v>325.72635759450861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5.1159076974727213E-13</v>
      </c>
      <c r="BE159" s="14">
        <f>BD159*VLOOKUP('Données projet'!$B$11,Paramètres!$A$1:$I$89,3,0)*VLOOKUP('Données projet'!$B$11,Paramètres!$A$1:$I$89,5,0)</f>
        <v>5.3471467253984886E-13</v>
      </c>
      <c r="BF159" s="14">
        <f t="shared" si="167"/>
        <v>6.6087717628803869E-12</v>
      </c>
      <c r="BG159" s="22">
        <f t="shared" si="168"/>
        <v>1.244157220835691E-11</v>
      </c>
      <c r="BH159" s="62">
        <f t="shared" si="116"/>
        <v>287.35489844710077</v>
      </c>
      <c r="BI159" s="62">
        <f ca="1">AVERAGE(OFFSET($BH$3,0,0,'Données projet'!$E$11+1,1))-AVERAGE(OFFSET($H$3,0,0,'Données projet'!$E$11+1,1))</f>
        <v>635.13577238794812</v>
      </c>
      <c r="BJ159" s="62">
        <f t="shared" si="146"/>
        <v>374.35810525172019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-6.8212102632969618E-13</v>
      </c>
      <c r="BZ159" s="14">
        <f>BY159*VLOOKUP('Données projet'!$B$12,Paramètres!$A$1:$I$89,3,0)*VLOOKUP('Données projet'!$B$12,Paramètres!$A$1:$I$89,5,0)</f>
        <v>-3.0149749363772573E-13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580.02817743695846</v>
      </c>
      <c r="CE159" s="62">
        <f t="shared" si="148"/>
        <v>551.23515633208865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3.979039320256561E-13</v>
      </c>
      <c r="CU159" s="18">
        <f>CT159*VLOOKUP('Données projet'!$B$13,Paramètres!$A$1:$I$89,3,0)*VLOOKUP('Données projet'!$B$13,Paramètres!$A$1:$I$89,5,0)</f>
        <v>1.8621904018800707E-13</v>
      </c>
      <c r="CV159" s="14">
        <f t="shared" si="173"/>
        <v>2.6022279988572714E-12</v>
      </c>
      <c r="CW159" s="22">
        <f t="shared" si="174"/>
        <v>4.8565452596705266E-12</v>
      </c>
      <c r="CX159" s="62">
        <f t="shared" si="122"/>
        <v>287.35489844709315</v>
      </c>
      <c r="CY159" s="62">
        <f ca="1">AVERAGE(OFFSET($CX$3,0,0,'Données projet'!$E$13+1,1))-AVERAGE(OFFSET($H$3,0,0,'Données projet'!$E$13+1,1))</f>
        <v>321.05795935196863</v>
      </c>
      <c r="CZ159" s="62">
        <f t="shared" si="150"/>
        <v>209.59551322748908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-4.5474735088646412E-13</v>
      </c>
      <c r="DP159" s="18">
        <f>DO159*VLOOKUP('Données projet'!$B$14,Paramètres!$A$1:$I$89,3,0)*VLOOKUP('Données projet'!$B$14,Paramètres!$A$1:$I$89,5,0)</f>
        <v>-4.8949004849418999E-13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638.58602907610805</v>
      </c>
      <c r="DU159" s="62">
        <f t="shared" si="152"/>
        <v>341.9250949809848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3.3992364478763198E-14</v>
      </c>
      <c r="EL159" s="14">
        <f t="shared" si="179"/>
        <v>5.790027782444094E-13</v>
      </c>
      <c r="EM159" s="22">
        <f t="shared" si="180"/>
        <v>1.0676332069095257E-12</v>
      </c>
      <c r="EN159" s="62">
        <f t="shared" si="128"/>
        <v>287.3548984470894</v>
      </c>
      <c r="EO159" s="62">
        <f ca="1">AVERAGE(OFFSET($EN$3,0,0,'Données projet'!$E$15+1,1))-AVERAGE(OFFSET($H$3,0,0,'Données projet'!$E$15+1,1))</f>
        <v>223.57443551076992</v>
      </c>
      <c r="EP159" s="62">
        <f t="shared" si="154"/>
        <v>382.12751862619427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2.1947929491368217</v>
      </c>
      <c r="EW159" s="23">
        <f>EXP(-LN(2)/25)*EW158+(1-EXP(-LN(2)/25))/(LN(2)/25)*Calculateur!ER159*Calculateur!ET159*VLOOKUP('Données projet'!$B$15,Paramètres!$A$1:$I$89,3,0)*0.475*44/12</f>
        <v>0.42189249477923907</v>
      </c>
      <c r="EX159" s="23">
        <f>EXP(-LN(2)/2)*EX158+(1-EXP(-LN(2)/2))/(LN(2)/2)*ER159*EU159*VLOOKUP('Données projet'!$B$15,Paramètres!$A$1:$I$89,3,0)*0.475*44/12</f>
        <v>1.0991205215564585E-18</v>
      </c>
      <c r="EY159" s="24">
        <f t="shared" si="181"/>
        <v>2.6166854439160607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283.95543623515323</v>
      </c>
      <c r="FK159" s="62">
        <f t="shared" si="156"/>
        <v>196.96883829830929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5.6843418860808015E-14</v>
      </c>
      <c r="GA159" s="18">
        <f>FZ159*VLOOKUP('Données projet'!$B$17,Paramètres!$A$1:$I$89,3,0)*VLOOKUP('Données projet'!$B$17,Paramètres!$A$1:$I$89,5,0)</f>
        <v>3.3992364478763198E-14</v>
      </c>
      <c r="GB159" s="14">
        <f t="shared" si="185"/>
        <v>5.790027782444094E-13</v>
      </c>
      <c r="GC159" s="22">
        <f t="shared" si="186"/>
        <v>1.0676332069095257E-12</v>
      </c>
      <c r="GD159" s="62">
        <f t="shared" si="134"/>
        <v>287.3548984470894</v>
      </c>
      <c r="GE159" s="62">
        <f ca="1">AVERAGE(OFFSET($GD$3,0,0,'Données projet'!$E$17+1,1))-AVERAGE(OFFSET($H$3,0,0,'Données projet'!$E$17+1,1))</f>
        <v>223.57443551076992</v>
      </c>
      <c r="GF159" s="62">
        <f t="shared" si="158"/>
        <v>382.12751862619427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2.1947929491368217</v>
      </c>
      <c r="GM159" s="23">
        <f>EXP(-LN(2)/25)*GM158+(1-EXP(-LN(2)/25))/(LN(2)/25)*Calculateur!GH159*Calculateur!GJ159*VLOOKUP('Données projet'!$B$17,Paramètres!$A$1:$I$89,3,0)*0.475*44/12</f>
        <v>0.42189249477923907</v>
      </c>
      <c r="GN159" s="23">
        <f>EXP(-LN(2)/2)*GN158+(1-EXP(-LN(2)/2))/(LN(2)/2)*GH159*GK159*VLOOKUP('Données projet'!$B$17,Paramètres!$A$1:$I$89,3,0)*0.475*44/12</f>
        <v>1.0991205215564585E-18</v>
      </c>
      <c r="GO159" s="23">
        <f t="shared" si="187"/>
        <v>2.6166854439160607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5.8013801410682806</v>
      </c>
      <c r="GU159" s="13">
        <f>IF('Données projet'!$A$270&gt;35,GU158+GT159-HC158,IF(A159&lt;'Données projet'!$A$270,$GR$205^A159,IF(A159='Données projet'!$A$270,'Données projet'!$B$270,GU158+GT159-HC158)))</f>
        <v>636.86438836900197</v>
      </c>
      <c r="GV159" s="18">
        <f>GU159*VLOOKUP('Données projet'!$B$18,Paramètres!$A$1:$I$89,3,0)*VLOOKUP('Données projet'!$B$18,Paramètres!$A$1:$I$89,5,0)</f>
        <v>695.45591209895008</v>
      </c>
      <c r="GW159" s="14">
        <f t="shared" si="188"/>
        <v>149.61718744258008</v>
      </c>
      <c r="GX159" s="22">
        <f t="shared" si="189"/>
        <v>1471.8356483681648</v>
      </c>
      <c r="GY159" s="62">
        <f t="shared" si="137"/>
        <v>1759.1905468152531</v>
      </c>
      <c r="GZ159" s="62">
        <f ca="1">AVERAGE(OFFSET($GY$3,0,0,'Données projet'!$E$18+1,1))-AVERAGE(OFFSET($H$3,0,0,'Données projet'!$E$18+1,1))</f>
        <v>754.33260592777049</v>
      </c>
      <c r="HA159" s="62">
        <f t="shared" si="160"/>
        <v>250.97643915279005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9">
        <f t="shared" si="110"/>
        <v>183.33333333333334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-4.1145540308207271E-13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550.39292625253665</v>
      </c>
      <c r="T160" s="62">
        <f t="shared" si="142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-4.5474735088646412E-13</v>
      </c>
      <c r="AJ160" s="14">
        <f>AI160*VLOOKUP('Données projet'!$B$10,Paramètres!$A$1:$I$89,3,0)*VLOOKUP('Données projet'!$B$10,Paramètres!$A$1:$I$89,5,0)</f>
        <v>-4.6111381379887462E-13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606.55142836375308</v>
      </c>
      <c r="AO160" s="62">
        <f t="shared" si="144"/>
        <v>325.72635759450861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5.1159076974727213E-13</v>
      </c>
      <c r="BE160" s="14">
        <f>BD160*VLOOKUP('Données projet'!$B$11,Paramètres!$A$1:$I$89,3,0)*VLOOKUP('Données projet'!$B$11,Paramètres!$A$1:$I$89,5,0)</f>
        <v>5.3471467253984886E-13</v>
      </c>
      <c r="BF160" s="14">
        <f t="shared" si="167"/>
        <v>6.6087717628803869E-12</v>
      </c>
      <c r="BG160" s="22">
        <f t="shared" si="168"/>
        <v>1.244157220835691E-11</v>
      </c>
      <c r="BH160" s="62">
        <f t="shared" si="116"/>
        <v>287.45861092659902</v>
      </c>
      <c r="BI160" s="62">
        <f ca="1">AVERAGE(OFFSET($BH$3,0,0,'Données projet'!$E$11+1,1))-AVERAGE(OFFSET($H$3,0,0,'Données projet'!$E$11+1,1))</f>
        <v>635.13577238794812</v>
      </c>
      <c r="BJ160" s="62">
        <f t="shared" si="146"/>
        <v>374.35810525172019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-6.8212102632969618E-13</v>
      </c>
      <c r="BZ160" s="14">
        <f>BY160*VLOOKUP('Données projet'!$B$12,Paramètres!$A$1:$I$89,3,0)*VLOOKUP('Données projet'!$B$12,Paramètres!$A$1:$I$89,5,0)</f>
        <v>-3.0149749363772573E-13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580.02817743695846</v>
      </c>
      <c r="CE160" s="62">
        <f t="shared" si="148"/>
        <v>551.23515633208865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3.979039320256561E-13</v>
      </c>
      <c r="CU160" s="18">
        <f>CT160*VLOOKUP('Données projet'!$B$13,Paramètres!$A$1:$I$89,3,0)*VLOOKUP('Données projet'!$B$13,Paramètres!$A$1:$I$89,5,0)</f>
        <v>1.8621904018800707E-13</v>
      </c>
      <c r="CV160" s="14">
        <f t="shared" si="173"/>
        <v>2.6022279988572714E-12</v>
      </c>
      <c r="CW160" s="22">
        <f t="shared" si="174"/>
        <v>4.8565452596705266E-12</v>
      </c>
      <c r="CX160" s="62">
        <f t="shared" si="122"/>
        <v>287.4586109265914</v>
      </c>
      <c r="CY160" s="62">
        <f ca="1">AVERAGE(OFFSET($CX$3,0,0,'Données projet'!$E$13+1,1))-AVERAGE(OFFSET($H$3,0,0,'Données projet'!$E$13+1,1))</f>
        <v>321.05795935196863</v>
      </c>
      <c r="CZ160" s="62">
        <f t="shared" si="150"/>
        <v>209.59551322748908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-4.5474735088646412E-13</v>
      </c>
      <c r="DP160" s="18">
        <f>DO160*VLOOKUP('Données projet'!$B$14,Paramètres!$A$1:$I$89,3,0)*VLOOKUP('Données projet'!$B$14,Paramètres!$A$1:$I$89,5,0)</f>
        <v>-4.8949004849418999E-13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638.58602907610805</v>
      </c>
      <c r="DU160" s="62">
        <f t="shared" si="152"/>
        <v>341.9250949809848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3.3992364478763198E-14</v>
      </c>
      <c r="EL160" s="14">
        <f t="shared" si="179"/>
        <v>5.790027782444094E-13</v>
      </c>
      <c r="EM160" s="22">
        <f t="shared" si="180"/>
        <v>1.0676332069095257E-12</v>
      </c>
      <c r="EN160" s="62">
        <f t="shared" si="128"/>
        <v>287.45861092658765</v>
      </c>
      <c r="EO160" s="62">
        <f ca="1">AVERAGE(OFFSET($EN$3,0,0,'Données projet'!$E$15+1,1))-AVERAGE(OFFSET($H$3,0,0,'Données projet'!$E$15+1,1))</f>
        <v>223.57443551076992</v>
      </c>
      <c r="EP160" s="62">
        <f t="shared" si="154"/>
        <v>382.12751862619427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2.151754398095763</v>
      </c>
      <c r="EW160" s="23">
        <f>EXP(-LN(2)/25)*EW159+(1-EXP(-LN(2)/25))/(LN(2)/25)*Calculateur!ER160*Calculateur!ET160*VLOOKUP('Données projet'!$B$15,Paramètres!$A$1:$I$89,3,0)*0.475*44/12</f>
        <v>0.41035582232313872</v>
      </c>
      <c r="EX160" s="23">
        <f>EXP(-LN(2)/2)*EX159+(1-EXP(-LN(2)/2))/(LN(2)/2)*ER160*EU160*VLOOKUP('Données projet'!$B$15,Paramètres!$A$1:$I$89,3,0)*0.475*44/12</f>
        <v>7.7719557413386674E-19</v>
      </c>
      <c r="EY160" s="24">
        <f t="shared" si="181"/>
        <v>2.5621102204189015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283.95543623515323</v>
      </c>
      <c r="FK160" s="62">
        <f t="shared" si="156"/>
        <v>196.96883829830929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5.6843418860808015E-14</v>
      </c>
      <c r="GA160" s="18">
        <f>FZ160*VLOOKUP('Données projet'!$B$17,Paramètres!$A$1:$I$89,3,0)*VLOOKUP('Données projet'!$B$17,Paramètres!$A$1:$I$89,5,0)</f>
        <v>3.3992364478763198E-14</v>
      </c>
      <c r="GB160" s="14">
        <f t="shared" si="185"/>
        <v>5.790027782444094E-13</v>
      </c>
      <c r="GC160" s="22">
        <f t="shared" si="186"/>
        <v>1.0676332069095257E-12</v>
      </c>
      <c r="GD160" s="62">
        <f t="shared" si="134"/>
        <v>287.45861092658765</v>
      </c>
      <c r="GE160" s="62">
        <f ca="1">AVERAGE(OFFSET($GD$3,0,0,'Données projet'!$E$17+1,1))-AVERAGE(OFFSET($H$3,0,0,'Données projet'!$E$17+1,1))</f>
        <v>223.57443551076992</v>
      </c>
      <c r="GF160" s="62">
        <f t="shared" si="158"/>
        <v>382.12751862619427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2.151754398095763</v>
      </c>
      <c r="GM160" s="23">
        <f>EXP(-LN(2)/25)*GM159+(1-EXP(-LN(2)/25))/(LN(2)/25)*Calculateur!GH160*Calculateur!GJ160*VLOOKUP('Données projet'!$B$17,Paramètres!$A$1:$I$89,3,0)*0.475*44/12</f>
        <v>0.41035582232313872</v>
      </c>
      <c r="GN160" s="23">
        <f>EXP(-LN(2)/2)*GN159+(1-EXP(-LN(2)/2))/(LN(2)/2)*GH160*GK160*VLOOKUP('Données projet'!$B$17,Paramètres!$A$1:$I$89,3,0)*0.475*44/12</f>
        <v>7.7719557413386674E-19</v>
      </c>
      <c r="GO160" s="23">
        <f t="shared" si="187"/>
        <v>2.5621102204189015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5.8013801410682806</v>
      </c>
      <c r="GU160" s="13">
        <f>IF('Données projet'!$A$270&gt;35,GU159+GT160-HC159,IF(A160&lt;'Données projet'!$A$270,$GR$205^A160,IF(A160='Données projet'!$A$270,'Données projet'!$B$270,GU159+GT160-HC159)))</f>
        <v>642.66576851007028</v>
      </c>
      <c r="GV160" s="18">
        <f>GU160*VLOOKUP('Données projet'!$B$18,Paramètres!$A$1:$I$89,3,0)*VLOOKUP('Données projet'!$B$18,Paramètres!$A$1:$I$89,5,0)</f>
        <v>701.79101921299673</v>
      </c>
      <c r="GW160" s="14">
        <f t="shared" si="188"/>
        <v>150.82081472404906</v>
      </c>
      <c r="GX160" s="22">
        <f t="shared" si="189"/>
        <v>1484.965610773688</v>
      </c>
      <c r="GY160" s="62">
        <f t="shared" si="137"/>
        <v>1772.4242217002745</v>
      </c>
      <c r="GZ160" s="62">
        <f ca="1">AVERAGE(OFFSET($GY$3,0,0,'Données projet'!$E$18+1,1))-AVERAGE(OFFSET($H$3,0,0,'Données projet'!$E$18+1,1))</f>
        <v>754.33260592777049</v>
      </c>
      <c r="HA160" s="62">
        <f t="shared" si="160"/>
        <v>250.97643915279005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9">
        <f t="shared" si="110"/>
        <v>183.33333333333334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-4.1145540308207271E-13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550.39292625253665</v>
      </c>
      <c r="T161" s="62">
        <f t="shared" si="142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-4.5474735088646412E-13</v>
      </c>
      <c r="AJ161" s="14">
        <f>AI161*VLOOKUP('Données projet'!$B$10,Paramètres!$A$1:$I$89,3,0)*VLOOKUP('Données projet'!$B$10,Paramètres!$A$1:$I$89,5,0)</f>
        <v>-4.6111381379887462E-13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606.55142836375308</v>
      </c>
      <c r="AO161" s="62">
        <f t="shared" si="144"/>
        <v>325.72635759450861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5.1159076974727213E-13</v>
      </c>
      <c r="BE161" s="14">
        <f>BD161*VLOOKUP('Données projet'!$B$11,Paramètres!$A$1:$I$89,3,0)*VLOOKUP('Données projet'!$B$11,Paramètres!$A$1:$I$89,5,0)</f>
        <v>5.3471467253984886E-13</v>
      </c>
      <c r="BF161" s="14">
        <f t="shared" si="167"/>
        <v>6.6087717628803869E-12</v>
      </c>
      <c r="BG161" s="22">
        <f t="shared" si="168"/>
        <v>1.244157220835691E-11</v>
      </c>
      <c r="BH161" s="62">
        <f t="shared" si="116"/>
        <v>287.56052422644444</v>
      </c>
      <c r="BI161" s="62">
        <f ca="1">AVERAGE(OFFSET($BH$3,0,0,'Données projet'!$E$11+1,1))-AVERAGE(OFFSET($H$3,0,0,'Données projet'!$E$11+1,1))</f>
        <v>635.13577238794812</v>
      </c>
      <c r="BJ161" s="62">
        <f t="shared" si="146"/>
        <v>374.35810525172019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-6.8212102632969618E-13</v>
      </c>
      <c r="BZ161" s="14">
        <f>BY161*VLOOKUP('Données projet'!$B$12,Paramètres!$A$1:$I$89,3,0)*VLOOKUP('Données projet'!$B$12,Paramètres!$A$1:$I$89,5,0)</f>
        <v>-3.0149749363772573E-13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580.02817743695846</v>
      </c>
      <c r="CE161" s="62">
        <f t="shared" si="148"/>
        <v>551.23515633208865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3.979039320256561E-13</v>
      </c>
      <c r="CU161" s="18">
        <f>CT161*VLOOKUP('Données projet'!$B$13,Paramètres!$A$1:$I$89,3,0)*VLOOKUP('Données projet'!$B$13,Paramètres!$A$1:$I$89,5,0)</f>
        <v>1.8621904018800707E-13</v>
      </c>
      <c r="CV161" s="14">
        <f t="shared" si="173"/>
        <v>2.6022279988572714E-12</v>
      </c>
      <c r="CW161" s="22">
        <f t="shared" si="174"/>
        <v>4.8565452596705266E-12</v>
      </c>
      <c r="CX161" s="62">
        <f t="shared" si="122"/>
        <v>287.56052422643683</v>
      </c>
      <c r="CY161" s="62">
        <f ca="1">AVERAGE(OFFSET($CX$3,0,0,'Données projet'!$E$13+1,1))-AVERAGE(OFFSET($H$3,0,0,'Données projet'!$E$13+1,1))</f>
        <v>321.05795935196863</v>
      </c>
      <c r="CZ161" s="62">
        <f t="shared" si="150"/>
        <v>209.59551322748908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-4.5474735088646412E-13</v>
      </c>
      <c r="DP161" s="18">
        <f>DO161*VLOOKUP('Données projet'!$B$14,Paramètres!$A$1:$I$89,3,0)*VLOOKUP('Données projet'!$B$14,Paramètres!$A$1:$I$89,5,0)</f>
        <v>-4.8949004849418999E-13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638.58602907610805</v>
      </c>
      <c r="DU161" s="62">
        <f t="shared" si="152"/>
        <v>341.9250949809848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3.3992364478763198E-14</v>
      </c>
      <c r="EL161" s="14">
        <f t="shared" si="179"/>
        <v>5.790027782444094E-13</v>
      </c>
      <c r="EM161" s="22">
        <f t="shared" si="180"/>
        <v>1.0676332069095257E-12</v>
      </c>
      <c r="EN161" s="62">
        <f t="shared" si="128"/>
        <v>287.56052422643307</v>
      </c>
      <c r="EO161" s="62">
        <f ca="1">AVERAGE(OFFSET($EN$3,0,0,'Données projet'!$E$15+1,1))-AVERAGE(OFFSET($H$3,0,0,'Données projet'!$E$15+1,1))</f>
        <v>223.57443551076992</v>
      </c>
      <c r="EP161" s="62">
        <f t="shared" si="154"/>
        <v>382.12751862619427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2.109559806789695</v>
      </c>
      <c r="EW161" s="23">
        <f>EXP(-LN(2)/25)*EW160+(1-EXP(-LN(2)/25))/(LN(2)/25)*Calculateur!ER161*Calculateur!ET161*VLOOKUP('Données projet'!$B$15,Paramètres!$A$1:$I$89,3,0)*0.475*44/12</f>
        <v>0.39913462078203765</v>
      </c>
      <c r="EX161" s="23">
        <f>EXP(-LN(2)/2)*EX160+(1-EXP(-LN(2)/2))/(LN(2)/2)*ER161*EU161*VLOOKUP('Données projet'!$B$15,Paramètres!$A$1:$I$89,3,0)*0.475*44/12</f>
        <v>5.4956026077822927E-19</v>
      </c>
      <c r="EY161" s="24">
        <f t="shared" si="181"/>
        <v>2.5086944275717329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283.95543623515323</v>
      </c>
      <c r="FK161" s="62">
        <f t="shared" si="156"/>
        <v>196.96883829830929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5.6843418860808015E-14</v>
      </c>
      <c r="GA161" s="18">
        <f>FZ161*VLOOKUP('Données projet'!$B$17,Paramètres!$A$1:$I$89,3,0)*VLOOKUP('Données projet'!$B$17,Paramètres!$A$1:$I$89,5,0)</f>
        <v>3.3992364478763198E-14</v>
      </c>
      <c r="GB161" s="14">
        <f t="shared" si="185"/>
        <v>5.790027782444094E-13</v>
      </c>
      <c r="GC161" s="22">
        <f t="shared" si="186"/>
        <v>1.0676332069095257E-12</v>
      </c>
      <c r="GD161" s="62">
        <f t="shared" si="134"/>
        <v>287.56052422643307</v>
      </c>
      <c r="GE161" s="62">
        <f ca="1">AVERAGE(OFFSET($GD$3,0,0,'Données projet'!$E$17+1,1))-AVERAGE(OFFSET($H$3,0,0,'Données projet'!$E$17+1,1))</f>
        <v>223.57443551076992</v>
      </c>
      <c r="GF161" s="62">
        <f t="shared" si="158"/>
        <v>382.12751862619427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2.109559806789695</v>
      </c>
      <c r="GM161" s="23">
        <f>EXP(-LN(2)/25)*GM160+(1-EXP(-LN(2)/25))/(LN(2)/25)*Calculateur!GH161*Calculateur!GJ161*VLOOKUP('Données projet'!$B$17,Paramètres!$A$1:$I$89,3,0)*0.475*44/12</f>
        <v>0.39913462078203765</v>
      </c>
      <c r="GN161" s="23">
        <f>EXP(-LN(2)/2)*GN160+(1-EXP(-LN(2)/2))/(LN(2)/2)*GH161*GK161*VLOOKUP('Données projet'!$B$17,Paramètres!$A$1:$I$89,3,0)*0.475*44/12</f>
        <v>5.4956026077822927E-19</v>
      </c>
      <c r="GO161" s="23">
        <f t="shared" si="187"/>
        <v>2.5086944275717329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5.8013801410682806</v>
      </c>
      <c r="GU161" s="13">
        <f>IF('Données projet'!$A$270&gt;35,GU160+GT161-HC160,IF(A161&lt;'Données projet'!$A$270,$GR$205^A161,IF(A161='Données projet'!$A$270,'Données projet'!$B$270,GU160+GT161-HC160)))</f>
        <v>648.46714865113859</v>
      </c>
      <c r="GV161" s="18">
        <f>GU161*VLOOKUP('Données projet'!$B$18,Paramètres!$A$1:$I$89,3,0)*VLOOKUP('Données projet'!$B$18,Paramètres!$A$1:$I$89,5,0)</f>
        <v>708.12612632704338</v>
      </c>
      <c r="GW161" s="14">
        <f t="shared" si="188"/>
        <v>152.02317794097266</v>
      </c>
      <c r="GX161" s="22">
        <f t="shared" si="189"/>
        <v>1498.093371600128</v>
      </c>
      <c r="GY161" s="62">
        <f t="shared" si="137"/>
        <v>1785.6538958265601</v>
      </c>
      <c r="GZ161" s="62">
        <f ca="1">AVERAGE(OFFSET($GY$3,0,0,'Données projet'!$E$18+1,1))-AVERAGE(OFFSET($H$3,0,0,'Données projet'!$E$18+1,1))</f>
        <v>754.33260592777049</v>
      </c>
      <c r="HA161" s="62">
        <f t="shared" si="160"/>
        <v>250.97643915279005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9">
        <f t="shared" si="110"/>
        <v>183.33333333333334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-4.1145540308207271E-13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550.39292625253665</v>
      </c>
      <c r="T162" s="62">
        <f t="shared" si="142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-4.5474735088646412E-13</v>
      </c>
      <c r="AJ162" s="14">
        <f>AI162*VLOOKUP('Données projet'!$B$10,Paramètres!$A$1:$I$89,3,0)*VLOOKUP('Données projet'!$B$10,Paramètres!$A$1:$I$89,5,0)</f>
        <v>-4.6111381379887462E-13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606.55142836375308</v>
      </c>
      <c r="AO162" s="62">
        <f t="shared" si="144"/>
        <v>325.72635759450861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5.1159076974727213E-13</v>
      </c>
      <c r="BE162" s="14">
        <f>BD162*VLOOKUP('Données projet'!$B$11,Paramètres!$A$1:$I$89,3,0)*VLOOKUP('Données projet'!$B$11,Paramètres!$A$1:$I$89,5,0)</f>
        <v>5.3471467253984886E-13</v>
      </c>
      <c r="BF162" s="14">
        <f t="shared" si="167"/>
        <v>6.6087717628803869E-12</v>
      </c>
      <c r="BG162" s="22">
        <f t="shared" si="168"/>
        <v>1.244157220835691E-11</v>
      </c>
      <c r="BH162" s="62">
        <f t="shared" si="116"/>
        <v>287.66066955838141</v>
      </c>
      <c r="BI162" s="62">
        <f ca="1">AVERAGE(OFFSET($BH$3,0,0,'Données projet'!$E$11+1,1))-AVERAGE(OFFSET($H$3,0,0,'Données projet'!$E$11+1,1))</f>
        <v>635.13577238794812</v>
      </c>
      <c r="BJ162" s="62">
        <f t="shared" si="146"/>
        <v>374.35810525172019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-6.8212102632969618E-13</v>
      </c>
      <c r="BZ162" s="14">
        <f>BY162*VLOOKUP('Données projet'!$B$12,Paramètres!$A$1:$I$89,3,0)*VLOOKUP('Données projet'!$B$12,Paramètres!$A$1:$I$89,5,0)</f>
        <v>-3.0149749363772573E-13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580.02817743695846</v>
      </c>
      <c r="CE162" s="62">
        <f t="shared" si="148"/>
        <v>551.23515633208865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3.979039320256561E-13</v>
      </c>
      <c r="CU162" s="18">
        <f>CT162*VLOOKUP('Données projet'!$B$13,Paramètres!$A$1:$I$89,3,0)*VLOOKUP('Données projet'!$B$13,Paramètres!$A$1:$I$89,5,0)</f>
        <v>1.8621904018800707E-13</v>
      </c>
      <c r="CV162" s="14">
        <f t="shared" si="173"/>
        <v>2.6022279988572714E-12</v>
      </c>
      <c r="CW162" s="22">
        <f t="shared" si="174"/>
        <v>4.8565452596705266E-12</v>
      </c>
      <c r="CX162" s="62">
        <f t="shared" si="122"/>
        <v>287.6606695583738</v>
      </c>
      <c r="CY162" s="62">
        <f ca="1">AVERAGE(OFFSET($CX$3,0,0,'Données projet'!$E$13+1,1))-AVERAGE(OFFSET($H$3,0,0,'Données projet'!$E$13+1,1))</f>
        <v>321.05795935196863</v>
      </c>
      <c r="CZ162" s="62">
        <f t="shared" si="150"/>
        <v>209.59551322748908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-4.5474735088646412E-13</v>
      </c>
      <c r="DP162" s="18">
        <f>DO162*VLOOKUP('Données projet'!$B$14,Paramètres!$A$1:$I$89,3,0)*VLOOKUP('Données projet'!$B$14,Paramètres!$A$1:$I$89,5,0)</f>
        <v>-4.8949004849418999E-13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638.58602907610805</v>
      </c>
      <c r="DU162" s="62">
        <f t="shared" si="152"/>
        <v>341.9250949809848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3.3992364478763198E-14</v>
      </c>
      <c r="EL162" s="14">
        <f t="shared" si="179"/>
        <v>5.790027782444094E-13</v>
      </c>
      <c r="EM162" s="22">
        <f t="shared" si="180"/>
        <v>1.0676332069095257E-12</v>
      </c>
      <c r="EN162" s="62">
        <f t="shared" si="128"/>
        <v>287.66066955837005</v>
      </c>
      <c r="EO162" s="62">
        <f ca="1">AVERAGE(OFFSET($EN$3,0,0,'Données projet'!$E$15+1,1))-AVERAGE(OFFSET($H$3,0,0,'Données projet'!$E$15+1,1))</f>
        <v>223.57443551076992</v>
      </c>
      <c r="EP162" s="62">
        <f t="shared" si="154"/>
        <v>382.12751862619427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2.0681926256829799</v>
      </c>
      <c r="EW162" s="23">
        <f>EXP(-LN(2)/25)*EW161+(1-EXP(-LN(2)/25))/(LN(2)/25)*Calculateur!ER162*Calculateur!ET162*VLOOKUP('Données projet'!$B$15,Paramètres!$A$1:$I$89,3,0)*0.475*44/12</f>
        <v>0.38822026358717537</v>
      </c>
      <c r="EX162" s="23">
        <f>EXP(-LN(2)/2)*EX161+(1-EXP(-LN(2)/2))/(LN(2)/2)*ER162*EU162*VLOOKUP('Données projet'!$B$15,Paramètres!$A$1:$I$89,3,0)*0.475*44/12</f>
        <v>3.8859778706693337E-19</v>
      </c>
      <c r="EY162" s="24">
        <f t="shared" si="181"/>
        <v>2.4564128892701551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283.95543623515323</v>
      </c>
      <c r="FK162" s="62">
        <f t="shared" si="156"/>
        <v>196.96883829830929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5.6843418860808015E-14</v>
      </c>
      <c r="GA162" s="18">
        <f>FZ162*VLOOKUP('Données projet'!$B$17,Paramètres!$A$1:$I$89,3,0)*VLOOKUP('Données projet'!$B$17,Paramètres!$A$1:$I$89,5,0)</f>
        <v>3.3992364478763198E-14</v>
      </c>
      <c r="GB162" s="14">
        <f t="shared" si="185"/>
        <v>5.790027782444094E-13</v>
      </c>
      <c r="GC162" s="22">
        <f t="shared" si="186"/>
        <v>1.0676332069095257E-12</v>
      </c>
      <c r="GD162" s="62">
        <f t="shared" si="134"/>
        <v>287.66066955837005</v>
      </c>
      <c r="GE162" s="62">
        <f ca="1">AVERAGE(OFFSET($GD$3,0,0,'Données projet'!$E$17+1,1))-AVERAGE(OFFSET($H$3,0,0,'Données projet'!$E$17+1,1))</f>
        <v>223.57443551076992</v>
      </c>
      <c r="GF162" s="62">
        <f t="shared" si="158"/>
        <v>382.12751862619427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2.0681926256829799</v>
      </c>
      <c r="GM162" s="23">
        <f>EXP(-LN(2)/25)*GM161+(1-EXP(-LN(2)/25))/(LN(2)/25)*Calculateur!GH162*Calculateur!GJ162*VLOOKUP('Données projet'!$B$17,Paramètres!$A$1:$I$89,3,0)*0.475*44/12</f>
        <v>0.38822026358717537</v>
      </c>
      <c r="GN162" s="23">
        <f>EXP(-LN(2)/2)*GN161+(1-EXP(-LN(2)/2))/(LN(2)/2)*GH162*GK162*VLOOKUP('Données projet'!$B$17,Paramètres!$A$1:$I$89,3,0)*0.475*44/12</f>
        <v>3.8859778706693337E-19</v>
      </c>
      <c r="GO162" s="23">
        <f t="shared" si="187"/>
        <v>2.4564128892701551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5.8013801410682806</v>
      </c>
      <c r="GU162" s="13">
        <f>IF('Données projet'!$A$270&gt;35,GU161+GT162-HC161,IF(A162&lt;'Données projet'!$A$270,$GR$205^A162,IF(A162='Données projet'!$A$270,'Données projet'!$B$270,GU161+GT162-HC161)))</f>
        <v>654.26852879220689</v>
      </c>
      <c r="GV162" s="18">
        <f>GU162*VLOOKUP('Données projet'!$B$18,Paramètres!$A$1:$I$89,3,0)*VLOOKUP('Données projet'!$B$18,Paramètres!$A$1:$I$89,5,0)</f>
        <v>714.46123344108992</v>
      </c>
      <c r="GW162" s="14">
        <f t="shared" si="188"/>
        <v>153.22428971214757</v>
      </c>
      <c r="GX162" s="22">
        <f t="shared" si="189"/>
        <v>1511.2189528252218</v>
      </c>
      <c r="GY162" s="62">
        <f t="shared" si="137"/>
        <v>1798.8796223835907</v>
      </c>
      <c r="GZ162" s="62">
        <f ca="1">AVERAGE(OFFSET($GY$3,0,0,'Données projet'!$E$18+1,1))-AVERAGE(OFFSET($H$3,0,0,'Données projet'!$E$18+1,1))</f>
        <v>754.33260592777049</v>
      </c>
      <c r="HA162" s="62">
        <f t="shared" si="160"/>
        <v>250.97643915279005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9">
        <f t="shared" si="110"/>
        <v>183.33333333333334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-4.1145540308207271E-13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550.39292625253665</v>
      </c>
      <c r="T163" s="62">
        <f t="shared" si="142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-4.5474735088646412E-13</v>
      </c>
      <c r="AJ163" s="14">
        <f>AI163*VLOOKUP('Données projet'!$B$10,Paramètres!$A$1:$I$89,3,0)*VLOOKUP('Données projet'!$B$10,Paramètres!$A$1:$I$89,5,0)</f>
        <v>-4.6111381379887462E-13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606.55142836375308</v>
      </c>
      <c r="AO163" s="62">
        <f t="shared" si="144"/>
        <v>325.72635759450861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5.1159076974727213E-13</v>
      </c>
      <c r="BE163" s="14">
        <f>BD163*VLOOKUP('Données projet'!$B$11,Paramètres!$A$1:$I$89,3,0)*VLOOKUP('Données projet'!$B$11,Paramètres!$A$1:$I$89,5,0)</f>
        <v>5.3471467253984886E-13</v>
      </c>
      <c r="BF163" s="14">
        <f t="shared" si="167"/>
        <v>6.6087717628803869E-12</v>
      </c>
      <c r="BG163" s="22">
        <f t="shared" si="168"/>
        <v>1.244157220835691E-11</v>
      </c>
      <c r="BH163" s="62">
        <f t="shared" si="116"/>
        <v>287.75907759270081</v>
      </c>
      <c r="BI163" s="62">
        <f ca="1">AVERAGE(OFFSET($BH$3,0,0,'Données projet'!$E$11+1,1))-AVERAGE(OFFSET($H$3,0,0,'Données projet'!$E$11+1,1))</f>
        <v>635.13577238794812</v>
      </c>
      <c r="BJ163" s="62">
        <f t="shared" si="146"/>
        <v>374.35810525172019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-6.8212102632969618E-13</v>
      </c>
      <c r="BZ163" s="14">
        <f>BY163*VLOOKUP('Données projet'!$B$12,Paramètres!$A$1:$I$89,3,0)*VLOOKUP('Données projet'!$B$12,Paramètres!$A$1:$I$89,5,0)</f>
        <v>-3.0149749363772573E-13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580.02817743695846</v>
      </c>
      <c r="CE163" s="62">
        <f t="shared" si="148"/>
        <v>551.23515633208865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3.979039320256561E-13</v>
      </c>
      <c r="CU163" s="18">
        <f>CT163*VLOOKUP('Données projet'!$B$13,Paramètres!$A$1:$I$89,3,0)*VLOOKUP('Données projet'!$B$13,Paramètres!$A$1:$I$89,5,0)</f>
        <v>1.8621904018800707E-13</v>
      </c>
      <c r="CV163" s="14">
        <f t="shared" si="173"/>
        <v>2.6022279988572714E-12</v>
      </c>
      <c r="CW163" s="22">
        <f t="shared" si="174"/>
        <v>4.8565452596705266E-12</v>
      </c>
      <c r="CX163" s="62">
        <f t="shared" si="122"/>
        <v>287.75907759269319</v>
      </c>
      <c r="CY163" s="62">
        <f ca="1">AVERAGE(OFFSET($CX$3,0,0,'Données projet'!$E$13+1,1))-AVERAGE(OFFSET($H$3,0,0,'Données projet'!$E$13+1,1))</f>
        <v>321.05795935196863</v>
      </c>
      <c r="CZ163" s="62">
        <f t="shared" si="150"/>
        <v>209.59551322748908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-4.5474735088646412E-13</v>
      </c>
      <c r="DP163" s="18">
        <f>DO163*VLOOKUP('Données projet'!$B$14,Paramètres!$A$1:$I$89,3,0)*VLOOKUP('Données projet'!$B$14,Paramètres!$A$1:$I$89,5,0)</f>
        <v>-4.8949004849418999E-13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638.58602907610805</v>
      </c>
      <c r="DU163" s="62">
        <f t="shared" si="152"/>
        <v>341.9250949809848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3.3992364478763198E-14</v>
      </c>
      <c r="EL163" s="14">
        <f t="shared" si="179"/>
        <v>5.790027782444094E-13</v>
      </c>
      <c r="EM163" s="22">
        <f t="shared" si="180"/>
        <v>1.0676332069095257E-12</v>
      </c>
      <c r="EN163" s="62">
        <f t="shared" si="128"/>
        <v>287.75907759268944</v>
      </c>
      <c r="EO163" s="62">
        <f ca="1">AVERAGE(OFFSET($EN$3,0,0,'Données projet'!$E$15+1,1))-AVERAGE(OFFSET($H$3,0,0,'Données projet'!$E$15+1,1))</f>
        <v>223.57443551076992</v>
      </c>
      <c r="EP163" s="62">
        <f t="shared" si="154"/>
        <v>382.12751862619427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2.027636629766278</v>
      </c>
      <c r="EW163" s="23">
        <f>EXP(-LN(2)/25)*EW162+(1-EXP(-LN(2)/25))/(LN(2)/25)*Calculateur!ER163*Calculateur!ET163*VLOOKUP('Données projet'!$B$15,Paramètres!$A$1:$I$89,3,0)*0.475*44/12</f>
        <v>0.37760436006376769</v>
      </c>
      <c r="EX163" s="23">
        <f>EXP(-LN(2)/2)*EX162+(1-EXP(-LN(2)/2))/(LN(2)/2)*ER163*EU163*VLOOKUP('Données projet'!$B$15,Paramètres!$A$1:$I$89,3,0)*0.475*44/12</f>
        <v>2.7478013038911464E-19</v>
      </c>
      <c r="EY163" s="24">
        <f t="shared" si="181"/>
        <v>2.4052409898300455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283.95543623515323</v>
      </c>
      <c r="FK163" s="62">
        <f t="shared" si="156"/>
        <v>196.96883829830929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5.6843418860808015E-14</v>
      </c>
      <c r="GA163" s="18">
        <f>FZ163*VLOOKUP('Données projet'!$B$17,Paramètres!$A$1:$I$89,3,0)*VLOOKUP('Données projet'!$B$17,Paramètres!$A$1:$I$89,5,0)</f>
        <v>3.3992364478763198E-14</v>
      </c>
      <c r="GB163" s="14">
        <f t="shared" si="185"/>
        <v>5.790027782444094E-13</v>
      </c>
      <c r="GC163" s="22">
        <f t="shared" si="186"/>
        <v>1.0676332069095257E-12</v>
      </c>
      <c r="GD163" s="62">
        <f t="shared" si="134"/>
        <v>287.75907759268944</v>
      </c>
      <c r="GE163" s="62">
        <f ca="1">AVERAGE(OFFSET($GD$3,0,0,'Données projet'!$E$17+1,1))-AVERAGE(OFFSET($H$3,0,0,'Données projet'!$E$17+1,1))</f>
        <v>223.57443551076992</v>
      </c>
      <c r="GF163" s="62">
        <f t="shared" si="158"/>
        <v>382.12751862619427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2.027636629766278</v>
      </c>
      <c r="GM163" s="23">
        <f>EXP(-LN(2)/25)*GM162+(1-EXP(-LN(2)/25))/(LN(2)/25)*Calculateur!GH163*Calculateur!GJ163*VLOOKUP('Données projet'!$B$17,Paramètres!$A$1:$I$89,3,0)*0.475*44/12</f>
        <v>0.37760436006376769</v>
      </c>
      <c r="GN163" s="23">
        <f>EXP(-LN(2)/2)*GN162+(1-EXP(-LN(2)/2))/(LN(2)/2)*GH163*GK163*VLOOKUP('Données projet'!$B$17,Paramètres!$A$1:$I$89,3,0)*0.475*44/12</f>
        <v>2.7478013038911464E-19</v>
      </c>
      <c r="GO163" s="23">
        <f t="shared" si="187"/>
        <v>2.4052409898300455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>
        <f>VLOOKUP(A163,'Données projet'!$A$269:$I$289,2,0)</f>
        <v>660.06990893327361</v>
      </c>
      <c r="GS163" s="13">
        <f>VLOOKUP(A163,'Données projet'!$A$269:$I$289,9,0)</f>
        <v>5.8013801410682806</v>
      </c>
      <c r="GT163" s="13">
        <f t="array" ref="GT163">INDEX(GS:GS,MIN(IF(ISNUMBER(GS163:GS359),ROW(GS163:GS359),"")))</f>
        <v>5.8013801410682806</v>
      </c>
      <c r="GU163" s="13">
        <f>IF('Données projet'!$A$270&gt;35,GU162+GT163-HC162,IF(A163&lt;'Données projet'!$A$270,$GR$205^A163,IF(A163='Données projet'!$A$270,'Données projet'!$B$270,GU162+GT163-HC162)))</f>
        <v>660.0699089332752</v>
      </c>
      <c r="GV163" s="18">
        <f>GU163*VLOOKUP('Données projet'!$B$18,Paramètres!$A$1:$I$89,3,0)*VLOOKUP('Données projet'!$B$18,Paramètres!$A$1:$I$89,5,0)</f>
        <v>720.79634055513645</v>
      </c>
      <c r="GW163" s="14">
        <f t="shared" si="188"/>
        <v>154.42416241967851</v>
      </c>
      <c r="GX163" s="22">
        <f t="shared" si="189"/>
        <v>1524.3423760144694</v>
      </c>
      <c r="GY163" s="62">
        <f t="shared" si="137"/>
        <v>1812.1014536071577</v>
      </c>
      <c r="GZ163" s="62">
        <f ca="1">AVERAGE(OFFSET($GY$3,0,0,'Données projet'!$E$18+1,1))-AVERAGE(OFFSET($H$3,0,0,'Données projet'!$E$18+1,1))</f>
        <v>754.33260592777049</v>
      </c>
      <c r="HA163" s="62">
        <f t="shared" si="160"/>
        <v>250.97643915279005</v>
      </c>
      <c r="HB163" s="16">
        <f>IF(ISNA(VLOOKUP(A163,'Données projet'!$A$269:$I$289,3,0)),0,VLOOKUP(A163,'Données projet'!$A$269:$I$289,3,0))</f>
        <v>7</v>
      </c>
      <c r="HC163" s="16">
        <f>IF(ISNA(VLOOKUP(A163,'Données projet'!$A$269:$I$289,4,0)),0,VLOOKUP(A163,'Données projet'!$A$269:$I$289,4,0))</f>
        <v>660.06990893327361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9">
        <f t="shared" si="110"/>
        <v>183.33333333333334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-4.1145540308207271E-13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550.39292625253665</v>
      </c>
      <c r="T164" s="62">
        <f t="shared" si="142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-4.5474735088646412E-13</v>
      </c>
      <c r="AJ164" s="14">
        <f>AI164*VLOOKUP('Données projet'!$B$10,Paramètres!$A$1:$I$89,3,0)*VLOOKUP('Données projet'!$B$10,Paramètres!$A$1:$I$89,5,0)</f>
        <v>-4.6111381379887462E-13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606.55142836375308</v>
      </c>
      <c r="AO164" s="62">
        <f t="shared" si="144"/>
        <v>325.72635759450861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5.1159076974727213E-13</v>
      </c>
      <c r="BE164" s="14">
        <f>BD164*VLOOKUP('Données projet'!$B$11,Paramètres!$A$1:$I$89,3,0)*VLOOKUP('Données projet'!$B$11,Paramètres!$A$1:$I$89,5,0)</f>
        <v>5.3471467253984886E-13</v>
      </c>
      <c r="BF164" s="14">
        <f t="shared" si="167"/>
        <v>6.6087717628803869E-12</v>
      </c>
      <c r="BG164" s="22">
        <f t="shared" si="168"/>
        <v>1.244157220835691E-11</v>
      </c>
      <c r="BH164" s="62">
        <f t="shared" si="116"/>
        <v>287.85577846763215</v>
      </c>
      <c r="BI164" s="62">
        <f ca="1">AVERAGE(OFFSET($BH$3,0,0,'Données projet'!$E$11+1,1))-AVERAGE(OFFSET($H$3,0,0,'Données projet'!$E$11+1,1))</f>
        <v>635.13577238794812</v>
      </c>
      <c r="BJ164" s="62">
        <f t="shared" si="146"/>
        <v>374.35810525172019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-6.8212102632969618E-13</v>
      </c>
      <c r="BZ164" s="14">
        <f>BY164*VLOOKUP('Données projet'!$B$12,Paramètres!$A$1:$I$89,3,0)*VLOOKUP('Données projet'!$B$12,Paramètres!$A$1:$I$89,5,0)</f>
        <v>-3.0149749363772573E-13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580.02817743695846</v>
      </c>
      <c r="CE164" s="62">
        <f t="shared" si="148"/>
        <v>551.23515633208865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3.979039320256561E-13</v>
      </c>
      <c r="CU164" s="18">
        <f>CT164*VLOOKUP('Données projet'!$B$13,Paramètres!$A$1:$I$89,3,0)*VLOOKUP('Données projet'!$B$13,Paramètres!$A$1:$I$89,5,0)</f>
        <v>1.8621904018800707E-13</v>
      </c>
      <c r="CV164" s="14">
        <f t="shared" si="173"/>
        <v>2.6022279988572714E-12</v>
      </c>
      <c r="CW164" s="22">
        <f t="shared" si="174"/>
        <v>4.8565452596705266E-12</v>
      </c>
      <c r="CX164" s="62">
        <f t="shared" si="122"/>
        <v>287.85577846762453</v>
      </c>
      <c r="CY164" s="62">
        <f ca="1">AVERAGE(OFFSET($CX$3,0,0,'Données projet'!$E$13+1,1))-AVERAGE(OFFSET($H$3,0,0,'Données projet'!$E$13+1,1))</f>
        <v>321.05795935196863</v>
      </c>
      <c r="CZ164" s="62">
        <f t="shared" si="150"/>
        <v>209.59551322748908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-4.5474735088646412E-13</v>
      </c>
      <c r="DP164" s="18">
        <f>DO164*VLOOKUP('Données projet'!$B$14,Paramètres!$A$1:$I$89,3,0)*VLOOKUP('Données projet'!$B$14,Paramètres!$A$1:$I$89,5,0)</f>
        <v>-4.8949004849418999E-13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638.58602907610805</v>
      </c>
      <c r="DU164" s="62">
        <f t="shared" si="152"/>
        <v>341.9250949809848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3.3992364478763198E-14</v>
      </c>
      <c r="EL164" s="14">
        <f t="shared" si="179"/>
        <v>5.790027782444094E-13</v>
      </c>
      <c r="EM164" s="22">
        <f t="shared" si="180"/>
        <v>1.0676332069095257E-12</v>
      </c>
      <c r="EN164" s="62">
        <f t="shared" si="128"/>
        <v>287.85577846762078</v>
      </c>
      <c r="EO164" s="62">
        <f ca="1">AVERAGE(OFFSET($EN$3,0,0,'Données projet'!$E$15+1,1))-AVERAGE(OFFSET($H$3,0,0,'Données projet'!$E$15+1,1))</f>
        <v>223.57443551076992</v>
      </c>
      <c r="EP164" s="62">
        <f t="shared" si="154"/>
        <v>382.12751862619427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1.9878759121927878</v>
      </c>
      <c r="EW164" s="23">
        <f>EXP(-LN(2)/25)*EW163+(1-EXP(-LN(2)/25))/(LN(2)/25)*Calculateur!ER164*Calculateur!ET164*VLOOKUP('Données projet'!$B$15,Paramètres!$A$1:$I$89,3,0)*0.475*44/12</f>
        <v>0.36727874898047369</v>
      </c>
      <c r="EX164" s="23">
        <f>EXP(-LN(2)/2)*EX163+(1-EXP(-LN(2)/2))/(LN(2)/2)*ER164*EU164*VLOOKUP('Données projet'!$B$15,Paramètres!$A$1:$I$89,3,0)*0.475*44/12</f>
        <v>1.9429889353346668E-19</v>
      </c>
      <c r="EY164" s="24">
        <f t="shared" si="181"/>
        <v>2.3551546611732617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283.95543623515323</v>
      </c>
      <c r="FK164" s="62">
        <f t="shared" si="156"/>
        <v>196.96883829830929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5.6843418860808015E-14</v>
      </c>
      <c r="GA164" s="18">
        <f>FZ164*VLOOKUP('Données projet'!$B$17,Paramètres!$A$1:$I$89,3,0)*VLOOKUP('Données projet'!$B$17,Paramètres!$A$1:$I$89,5,0)</f>
        <v>3.3992364478763198E-14</v>
      </c>
      <c r="GB164" s="14">
        <f t="shared" si="185"/>
        <v>5.790027782444094E-13</v>
      </c>
      <c r="GC164" s="22">
        <f t="shared" si="186"/>
        <v>1.0676332069095257E-12</v>
      </c>
      <c r="GD164" s="62">
        <f t="shared" si="134"/>
        <v>287.85577846762078</v>
      </c>
      <c r="GE164" s="62">
        <f ca="1">AVERAGE(OFFSET($GD$3,0,0,'Données projet'!$E$17+1,1))-AVERAGE(OFFSET($H$3,0,0,'Données projet'!$E$17+1,1))</f>
        <v>223.57443551076992</v>
      </c>
      <c r="GF164" s="62">
        <f t="shared" si="158"/>
        <v>382.12751862619427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1.9878759121927878</v>
      </c>
      <c r="GM164" s="23">
        <f>EXP(-LN(2)/25)*GM163+(1-EXP(-LN(2)/25))/(LN(2)/25)*Calculateur!GH164*Calculateur!GJ164*VLOOKUP('Données projet'!$B$17,Paramètres!$A$1:$I$89,3,0)*0.475*44/12</f>
        <v>0.36727874898047369</v>
      </c>
      <c r="GN164" s="23">
        <f>EXP(-LN(2)/2)*GN163+(1-EXP(-LN(2)/2))/(LN(2)/2)*GH164*GK164*VLOOKUP('Données projet'!$B$17,Paramètres!$A$1:$I$89,3,0)*0.475*44/12</f>
        <v>1.9429889353346668E-19</v>
      </c>
      <c r="GO164" s="23">
        <f t="shared" si="187"/>
        <v>2.3551546611732617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1.5916157281026244E-12</v>
      </c>
      <c r="GV164" s="18">
        <f>GU164*VLOOKUP('Données projet'!$B$18,Paramètres!$A$1:$I$89,3,0)*VLOOKUP('Données projet'!$B$18,Paramètres!$A$1:$I$89,5,0)</f>
        <v>1.7380443750880657E-12</v>
      </c>
      <c r="GW164" s="14">
        <f t="shared" si="188"/>
        <v>1.8727070317424442E-11</v>
      </c>
      <c r="GX164" s="22">
        <f t="shared" si="189"/>
        <v>3.5643408089459281E-11</v>
      </c>
      <c r="GY164" s="62">
        <f t="shared" si="137"/>
        <v>287.85577846765534</v>
      </c>
      <c r="GZ164" s="62">
        <f ca="1">AVERAGE(OFFSET($GY$3,0,0,'Données projet'!$E$18+1,1))-AVERAGE(OFFSET($H$3,0,0,'Données projet'!$E$18+1,1))</f>
        <v>754.33260592777049</v>
      </c>
      <c r="HA164" s="62">
        <f t="shared" si="160"/>
        <v>250.97643915279005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9">
        <f t="shared" si="110"/>
        <v>183.33333333333334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-4.1145540308207271E-13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550.39292625253665</v>
      </c>
      <c r="T165" s="62">
        <f t="shared" si="142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-4.5474735088646412E-13</v>
      </c>
      <c r="AJ165" s="14">
        <f>AI165*VLOOKUP('Données projet'!$B$10,Paramètres!$A$1:$I$89,3,0)*VLOOKUP('Données projet'!$B$10,Paramètres!$A$1:$I$89,5,0)</f>
        <v>-4.6111381379887462E-13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606.55142836375308</v>
      </c>
      <c r="AO165" s="62">
        <f t="shared" si="144"/>
        <v>325.72635759450861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5.1159076974727213E-13</v>
      </c>
      <c r="BE165" s="14">
        <f>BD165*VLOOKUP('Données projet'!$B$11,Paramètres!$A$1:$I$89,3,0)*VLOOKUP('Données projet'!$B$11,Paramètres!$A$1:$I$89,5,0)</f>
        <v>5.3471467253984886E-13</v>
      </c>
      <c r="BF165" s="14">
        <f t="shared" si="167"/>
        <v>6.6087717628803869E-12</v>
      </c>
      <c r="BG165" s="22">
        <f t="shared" si="168"/>
        <v>1.244157220835691E-11</v>
      </c>
      <c r="BH165" s="62">
        <f t="shared" si="116"/>
        <v>287.95080179857416</v>
      </c>
      <c r="BI165" s="62">
        <f ca="1">AVERAGE(OFFSET($BH$3,0,0,'Données projet'!$E$11+1,1))-AVERAGE(OFFSET($H$3,0,0,'Données projet'!$E$11+1,1))</f>
        <v>635.13577238794812</v>
      </c>
      <c r="BJ165" s="62">
        <f t="shared" si="146"/>
        <v>374.35810525172019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-6.8212102632969618E-13</v>
      </c>
      <c r="BZ165" s="14">
        <f>BY165*VLOOKUP('Données projet'!$B$12,Paramètres!$A$1:$I$89,3,0)*VLOOKUP('Données projet'!$B$12,Paramètres!$A$1:$I$89,5,0)</f>
        <v>-3.0149749363772573E-13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580.02817743695846</v>
      </c>
      <c r="CE165" s="62">
        <f t="shared" si="148"/>
        <v>551.23515633208865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3.979039320256561E-13</v>
      </c>
      <c r="CU165" s="18">
        <f>CT165*VLOOKUP('Données projet'!$B$13,Paramètres!$A$1:$I$89,3,0)*VLOOKUP('Données projet'!$B$13,Paramètres!$A$1:$I$89,5,0)</f>
        <v>1.8621904018800707E-13</v>
      </c>
      <c r="CV165" s="14">
        <f t="shared" si="173"/>
        <v>2.6022279988572714E-12</v>
      </c>
      <c r="CW165" s="22">
        <f t="shared" si="174"/>
        <v>4.8565452596705266E-12</v>
      </c>
      <c r="CX165" s="62">
        <f t="shared" si="122"/>
        <v>287.95080179856654</v>
      </c>
      <c r="CY165" s="62">
        <f ca="1">AVERAGE(OFFSET($CX$3,0,0,'Données projet'!$E$13+1,1))-AVERAGE(OFFSET($H$3,0,0,'Données projet'!$E$13+1,1))</f>
        <v>321.05795935196863</v>
      </c>
      <c r="CZ165" s="62">
        <f t="shared" si="150"/>
        <v>209.59551322748908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-4.5474735088646412E-13</v>
      </c>
      <c r="DP165" s="18">
        <f>DO165*VLOOKUP('Données projet'!$B$14,Paramètres!$A$1:$I$89,3,0)*VLOOKUP('Données projet'!$B$14,Paramètres!$A$1:$I$89,5,0)</f>
        <v>-4.8949004849418999E-13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638.58602907610805</v>
      </c>
      <c r="DU165" s="62">
        <f t="shared" si="152"/>
        <v>341.9250949809848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3.3992364478763198E-14</v>
      </c>
      <c r="EL165" s="14">
        <f t="shared" si="179"/>
        <v>5.790027782444094E-13</v>
      </c>
      <c r="EM165" s="22">
        <f t="shared" si="180"/>
        <v>1.0676332069095257E-12</v>
      </c>
      <c r="EN165" s="62">
        <f t="shared" si="128"/>
        <v>287.95080179856279</v>
      </c>
      <c r="EO165" s="62">
        <f ca="1">AVERAGE(OFFSET($EN$3,0,0,'Données projet'!$E$15+1,1))-AVERAGE(OFFSET($H$3,0,0,'Données projet'!$E$15+1,1))</f>
        <v>223.57443551076992</v>
      </c>
      <c r="EP165" s="62">
        <f t="shared" si="154"/>
        <v>382.12751862619427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1.9488948780392708</v>
      </c>
      <c r="EW165" s="23">
        <f>EXP(-LN(2)/25)*EW164+(1-EXP(-LN(2)/25))/(LN(2)/25)*Calculateur!ER165*Calculateur!ET165*VLOOKUP('Données projet'!$B$15,Paramètres!$A$1:$I$89,3,0)*0.475*44/12</f>
        <v>0.35723549227525264</v>
      </c>
      <c r="EX165" s="23">
        <f>EXP(-LN(2)/2)*EX164+(1-EXP(-LN(2)/2))/(LN(2)/2)*ER165*EU165*VLOOKUP('Données projet'!$B$15,Paramètres!$A$1:$I$89,3,0)*0.475*44/12</f>
        <v>1.3739006519455732E-19</v>
      </c>
      <c r="EY165" s="24">
        <f t="shared" si="181"/>
        <v>2.3061303703145235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283.95543623515323</v>
      </c>
      <c r="FK165" s="62">
        <f t="shared" si="156"/>
        <v>196.96883829830929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5.6843418860808015E-14</v>
      </c>
      <c r="GA165" s="18">
        <f>FZ165*VLOOKUP('Données projet'!$B$17,Paramètres!$A$1:$I$89,3,0)*VLOOKUP('Données projet'!$B$17,Paramètres!$A$1:$I$89,5,0)</f>
        <v>3.3992364478763198E-14</v>
      </c>
      <c r="GB165" s="14">
        <f t="shared" si="185"/>
        <v>5.790027782444094E-13</v>
      </c>
      <c r="GC165" s="22">
        <f t="shared" si="186"/>
        <v>1.0676332069095257E-12</v>
      </c>
      <c r="GD165" s="62">
        <f t="shared" si="134"/>
        <v>287.95080179856279</v>
      </c>
      <c r="GE165" s="62">
        <f ca="1">AVERAGE(OFFSET($GD$3,0,0,'Données projet'!$E$17+1,1))-AVERAGE(OFFSET($H$3,0,0,'Données projet'!$E$17+1,1))</f>
        <v>223.57443551076992</v>
      </c>
      <c r="GF165" s="62">
        <f t="shared" si="158"/>
        <v>382.12751862619427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1.9488948780392708</v>
      </c>
      <c r="GM165" s="23">
        <f>EXP(-LN(2)/25)*GM164+(1-EXP(-LN(2)/25))/(LN(2)/25)*Calculateur!GH165*Calculateur!GJ165*VLOOKUP('Données projet'!$B$17,Paramètres!$A$1:$I$89,3,0)*0.475*44/12</f>
        <v>0.35723549227525264</v>
      </c>
      <c r="GN165" s="23">
        <f>EXP(-LN(2)/2)*GN164+(1-EXP(-LN(2)/2))/(LN(2)/2)*GH165*GK165*VLOOKUP('Données projet'!$B$17,Paramètres!$A$1:$I$89,3,0)*0.475*44/12</f>
        <v>1.3739006519455732E-19</v>
      </c>
      <c r="GO165" s="23">
        <f t="shared" si="187"/>
        <v>2.3061303703145235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1.5916157281026244E-12</v>
      </c>
      <c r="GV165" s="18">
        <f>GU165*VLOOKUP('Données projet'!$B$18,Paramètres!$A$1:$I$89,3,0)*VLOOKUP('Données projet'!$B$18,Paramètres!$A$1:$I$89,5,0)</f>
        <v>1.7380443750880657E-12</v>
      </c>
      <c r="GW165" s="14">
        <f t="shared" si="188"/>
        <v>1.8727070317424442E-11</v>
      </c>
      <c r="GX165" s="22">
        <f t="shared" si="189"/>
        <v>3.5643408089459281E-11</v>
      </c>
      <c r="GY165" s="62">
        <f t="shared" si="137"/>
        <v>287.95080179859735</v>
      </c>
      <c r="GZ165" s="62">
        <f ca="1">AVERAGE(OFFSET($GY$3,0,0,'Données projet'!$E$18+1,1))-AVERAGE(OFFSET($H$3,0,0,'Données projet'!$E$18+1,1))</f>
        <v>754.33260592777049</v>
      </c>
      <c r="HA165" s="62">
        <f t="shared" si="160"/>
        <v>250.97643915279005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9">
        <f t="shared" si="110"/>
        <v>183.33333333333334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-4.1145540308207271E-13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550.39292625253665</v>
      </c>
      <c r="T166" s="62">
        <f t="shared" si="142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-4.5474735088646412E-13</v>
      </c>
      <c r="AJ166" s="14">
        <f>AI166*VLOOKUP('Données projet'!$B$10,Paramètres!$A$1:$I$89,3,0)*VLOOKUP('Données projet'!$B$10,Paramètres!$A$1:$I$89,5,0)</f>
        <v>-4.6111381379887462E-13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606.55142836375308</v>
      </c>
      <c r="AO166" s="62">
        <f t="shared" si="144"/>
        <v>325.72635759450861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5.1159076974727213E-13</v>
      </c>
      <c r="BE166" s="14">
        <f>BD166*VLOOKUP('Données projet'!$B$11,Paramètres!$A$1:$I$89,3,0)*VLOOKUP('Données projet'!$B$11,Paramètres!$A$1:$I$89,5,0)</f>
        <v>5.3471467253984886E-13</v>
      </c>
      <c r="BF166" s="14">
        <f t="shared" si="167"/>
        <v>6.6087717628803869E-12</v>
      </c>
      <c r="BG166" s="22">
        <f t="shared" si="168"/>
        <v>1.244157220835691E-11</v>
      </c>
      <c r="BH166" s="62">
        <f t="shared" si="116"/>
        <v>288.04417668716468</v>
      </c>
      <c r="BI166" s="62">
        <f ca="1">AVERAGE(OFFSET($BH$3,0,0,'Données projet'!$E$11+1,1))-AVERAGE(OFFSET($H$3,0,0,'Données projet'!$E$11+1,1))</f>
        <v>635.13577238794812</v>
      </c>
      <c r="BJ166" s="62">
        <f t="shared" si="146"/>
        <v>374.35810525172019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-6.8212102632969618E-13</v>
      </c>
      <c r="BZ166" s="14">
        <f>BY166*VLOOKUP('Données projet'!$B$12,Paramètres!$A$1:$I$89,3,0)*VLOOKUP('Données projet'!$B$12,Paramètres!$A$1:$I$89,5,0)</f>
        <v>-3.0149749363772573E-13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580.02817743695846</v>
      </c>
      <c r="CE166" s="62">
        <f t="shared" si="148"/>
        <v>551.23515633208865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3.979039320256561E-13</v>
      </c>
      <c r="CU166" s="18">
        <f>CT166*VLOOKUP('Données projet'!$B$13,Paramètres!$A$1:$I$89,3,0)*VLOOKUP('Données projet'!$B$13,Paramètres!$A$1:$I$89,5,0)</f>
        <v>1.8621904018800707E-13</v>
      </c>
      <c r="CV166" s="14">
        <f t="shared" si="173"/>
        <v>2.6022279988572714E-12</v>
      </c>
      <c r="CW166" s="22">
        <f t="shared" si="174"/>
        <v>4.8565452596705266E-12</v>
      </c>
      <c r="CX166" s="62">
        <f t="shared" si="122"/>
        <v>288.04417668715706</v>
      </c>
      <c r="CY166" s="62">
        <f ca="1">AVERAGE(OFFSET($CX$3,0,0,'Données projet'!$E$13+1,1))-AVERAGE(OFFSET($H$3,0,0,'Données projet'!$E$13+1,1))</f>
        <v>321.05795935196863</v>
      </c>
      <c r="CZ166" s="62">
        <f t="shared" si="150"/>
        <v>209.59551322748908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-4.5474735088646412E-13</v>
      </c>
      <c r="DP166" s="18">
        <f>DO166*VLOOKUP('Données projet'!$B$14,Paramètres!$A$1:$I$89,3,0)*VLOOKUP('Données projet'!$B$14,Paramètres!$A$1:$I$89,5,0)</f>
        <v>-4.8949004849418999E-13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638.58602907610805</v>
      </c>
      <c r="DU166" s="62">
        <f t="shared" si="152"/>
        <v>341.9250949809848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3.3992364478763198E-14</v>
      </c>
      <c r="EL166" s="14">
        <f t="shared" si="179"/>
        <v>5.790027782444094E-13</v>
      </c>
      <c r="EM166" s="22">
        <f t="shared" si="180"/>
        <v>1.0676332069095257E-12</v>
      </c>
      <c r="EN166" s="62">
        <f t="shared" si="128"/>
        <v>288.04417668715331</v>
      </c>
      <c r="EO166" s="62">
        <f ca="1">AVERAGE(OFFSET($EN$3,0,0,'Données projet'!$E$15+1,1))-AVERAGE(OFFSET($H$3,0,0,'Données projet'!$E$15+1,1))</f>
        <v>223.57443551076992</v>
      </c>
      <c r="EP166" s="62">
        <f t="shared" si="154"/>
        <v>382.12751862619427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1.910678238189421</v>
      </c>
      <c r="EW166" s="23">
        <f>EXP(-LN(2)/25)*EW165+(1-EXP(-LN(2)/25))/(LN(2)/25)*Calculateur!ER166*Calculateur!ET166*VLOOKUP('Données projet'!$B$15,Paramètres!$A$1:$I$89,3,0)*0.475*44/12</f>
        <v>0.34746686895278778</v>
      </c>
      <c r="EX166" s="23">
        <f>EXP(-LN(2)/2)*EX165+(1-EXP(-LN(2)/2))/(LN(2)/2)*ER166*EU166*VLOOKUP('Données projet'!$B$15,Paramètres!$A$1:$I$89,3,0)*0.475*44/12</f>
        <v>9.7149446766733342E-20</v>
      </c>
      <c r="EY166" s="24">
        <f t="shared" si="181"/>
        <v>2.2581451071422087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283.95543623515323</v>
      </c>
      <c r="FK166" s="62">
        <f t="shared" si="156"/>
        <v>196.96883829830929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5.6843418860808015E-14</v>
      </c>
      <c r="GA166" s="18">
        <f>FZ166*VLOOKUP('Données projet'!$B$17,Paramètres!$A$1:$I$89,3,0)*VLOOKUP('Données projet'!$B$17,Paramètres!$A$1:$I$89,5,0)</f>
        <v>3.3992364478763198E-14</v>
      </c>
      <c r="GB166" s="14">
        <f t="shared" si="185"/>
        <v>5.790027782444094E-13</v>
      </c>
      <c r="GC166" s="22">
        <f t="shared" si="186"/>
        <v>1.0676332069095257E-12</v>
      </c>
      <c r="GD166" s="62">
        <f t="shared" si="134"/>
        <v>288.04417668715331</v>
      </c>
      <c r="GE166" s="62">
        <f ca="1">AVERAGE(OFFSET($GD$3,0,0,'Données projet'!$E$17+1,1))-AVERAGE(OFFSET($H$3,0,0,'Données projet'!$E$17+1,1))</f>
        <v>223.57443551076992</v>
      </c>
      <c r="GF166" s="62">
        <f t="shared" si="158"/>
        <v>382.12751862619427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1.910678238189421</v>
      </c>
      <c r="GM166" s="23">
        <f>EXP(-LN(2)/25)*GM165+(1-EXP(-LN(2)/25))/(LN(2)/25)*Calculateur!GH166*Calculateur!GJ166*VLOOKUP('Données projet'!$B$17,Paramètres!$A$1:$I$89,3,0)*0.475*44/12</f>
        <v>0.34746686895278778</v>
      </c>
      <c r="GN166" s="23">
        <f>EXP(-LN(2)/2)*GN165+(1-EXP(-LN(2)/2))/(LN(2)/2)*GH166*GK166*VLOOKUP('Données projet'!$B$17,Paramètres!$A$1:$I$89,3,0)*0.475*44/12</f>
        <v>9.7149446766733342E-20</v>
      </c>
      <c r="GO166" s="23">
        <f t="shared" si="187"/>
        <v>2.2581451071422087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1.5916157281026244E-12</v>
      </c>
      <c r="GV166" s="18">
        <f>GU166*VLOOKUP('Données projet'!$B$18,Paramètres!$A$1:$I$89,3,0)*VLOOKUP('Données projet'!$B$18,Paramètres!$A$1:$I$89,5,0)</f>
        <v>1.7380443750880657E-12</v>
      </c>
      <c r="GW166" s="14">
        <f t="shared" si="188"/>
        <v>1.8727070317424442E-11</v>
      </c>
      <c r="GX166" s="22">
        <f t="shared" si="189"/>
        <v>3.5643408089459281E-11</v>
      </c>
      <c r="GY166" s="62">
        <f t="shared" si="137"/>
        <v>288.04417668718787</v>
      </c>
      <c r="GZ166" s="62">
        <f ca="1">AVERAGE(OFFSET($GY$3,0,0,'Données projet'!$E$18+1,1))-AVERAGE(OFFSET($H$3,0,0,'Données projet'!$E$18+1,1))</f>
        <v>754.33260592777049</v>
      </c>
      <c r="HA166" s="62">
        <f t="shared" si="160"/>
        <v>250.97643915279005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9">
        <f t="shared" si="110"/>
        <v>183.33333333333334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-4.1145540308207271E-13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550.39292625253665</v>
      </c>
      <c r="T167" s="62">
        <f t="shared" si="142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-4.5474735088646412E-13</v>
      </c>
      <c r="AJ167" s="14">
        <f>AI167*VLOOKUP('Données projet'!$B$10,Paramètres!$A$1:$I$89,3,0)*VLOOKUP('Données projet'!$B$10,Paramètres!$A$1:$I$89,5,0)</f>
        <v>-4.6111381379887462E-13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606.55142836375308</v>
      </c>
      <c r="AO167" s="62">
        <f t="shared" si="144"/>
        <v>325.72635759450861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5.1159076974727213E-13</v>
      </c>
      <c r="BE167" s="14">
        <f>BD167*VLOOKUP('Données projet'!$B$11,Paramètres!$A$1:$I$89,3,0)*VLOOKUP('Données projet'!$B$11,Paramètres!$A$1:$I$89,5,0)</f>
        <v>5.3471467253984886E-13</v>
      </c>
      <c r="BF167" s="14">
        <f t="shared" si="167"/>
        <v>6.6087717628803869E-12</v>
      </c>
      <c r="BG167" s="22">
        <f t="shared" si="168"/>
        <v>1.244157220835691E-11</v>
      </c>
      <c r="BH167" s="62">
        <f t="shared" si="116"/>
        <v>288.13593173019314</v>
      </c>
      <c r="BI167" s="62">
        <f ca="1">AVERAGE(OFFSET($BH$3,0,0,'Données projet'!$E$11+1,1))-AVERAGE(OFFSET($H$3,0,0,'Données projet'!$E$11+1,1))</f>
        <v>635.13577238794812</v>
      </c>
      <c r="BJ167" s="62">
        <f t="shared" si="146"/>
        <v>374.35810525172019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-6.8212102632969618E-13</v>
      </c>
      <c r="BZ167" s="14">
        <f>BY167*VLOOKUP('Données projet'!$B$12,Paramètres!$A$1:$I$89,3,0)*VLOOKUP('Données projet'!$B$12,Paramètres!$A$1:$I$89,5,0)</f>
        <v>-3.0149749363772573E-13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580.02817743695846</v>
      </c>
      <c r="CE167" s="62">
        <f t="shared" si="148"/>
        <v>551.23515633208865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3.979039320256561E-13</v>
      </c>
      <c r="CU167" s="18">
        <f>CT167*VLOOKUP('Données projet'!$B$13,Paramètres!$A$1:$I$89,3,0)*VLOOKUP('Données projet'!$B$13,Paramètres!$A$1:$I$89,5,0)</f>
        <v>1.8621904018800707E-13</v>
      </c>
      <c r="CV167" s="14">
        <f t="shared" si="173"/>
        <v>2.6022279988572714E-12</v>
      </c>
      <c r="CW167" s="22">
        <f t="shared" si="174"/>
        <v>4.8565452596705266E-12</v>
      </c>
      <c r="CX167" s="62">
        <f t="shared" si="122"/>
        <v>288.13593173018552</v>
      </c>
      <c r="CY167" s="62">
        <f ca="1">AVERAGE(OFFSET($CX$3,0,0,'Données projet'!$E$13+1,1))-AVERAGE(OFFSET($H$3,0,0,'Données projet'!$E$13+1,1))</f>
        <v>321.05795935196863</v>
      </c>
      <c r="CZ167" s="62">
        <f t="shared" si="150"/>
        <v>209.59551322748908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-4.5474735088646412E-13</v>
      </c>
      <c r="DP167" s="18">
        <f>DO167*VLOOKUP('Données projet'!$B$14,Paramètres!$A$1:$I$89,3,0)*VLOOKUP('Données projet'!$B$14,Paramètres!$A$1:$I$89,5,0)</f>
        <v>-4.8949004849418999E-13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638.58602907610805</v>
      </c>
      <c r="DU167" s="62">
        <f t="shared" si="152"/>
        <v>341.9250949809848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3.3992364478763198E-14</v>
      </c>
      <c r="EL167" s="14">
        <f t="shared" si="179"/>
        <v>5.790027782444094E-13</v>
      </c>
      <c r="EM167" s="22">
        <f t="shared" si="180"/>
        <v>1.0676332069095257E-12</v>
      </c>
      <c r="EN167" s="62">
        <f t="shared" si="128"/>
        <v>288.13593173018177</v>
      </c>
      <c r="EO167" s="62">
        <f ca="1">AVERAGE(OFFSET($EN$3,0,0,'Données projet'!$E$15+1,1))-AVERAGE(OFFSET($H$3,0,0,'Données projet'!$E$15+1,1))</f>
        <v>223.57443551076992</v>
      </c>
      <c r="EP167" s="62">
        <f t="shared" si="154"/>
        <v>382.12751862619427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1.873211003337178</v>
      </c>
      <c r="EW167" s="23">
        <f>EXP(-LN(2)/25)*EW166+(1-EXP(-LN(2)/25))/(LN(2)/25)*Calculateur!ER167*Calculateur!ET167*VLOOKUP('Données projet'!$B$15,Paramètres!$A$1:$I$89,3,0)*0.475*44/12</f>
        <v>0.33796536914878528</v>
      </c>
      <c r="EX167" s="23">
        <f>EXP(-LN(2)/2)*EX166+(1-EXP(-LN(2)/2))/(LN(2)/2)*ER167*EU167*VLOOKUP('Données projet'!$B$15,Paramètres!$A$1:$I$89,3,0)*0.475*44/12</f>
        <v>6.8695032597278659E-20</v>
      </c>
      <c r="EY167" s="24">
        <f t="shared" si="181"/>
        <v>2.2111763724859634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283.95543623515323</v>
      </c>
      <c r="FK167" s="62">
        <f t="shared" si="156"/>
        <v>196.96883829830929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5.6843418860808015E-14</v>
      </c>
      <c r="GA167" s="18">
        <f>FZ167*VLOOKUP('Données projet'!$B$17,Paramètres!$A$1:$I$89,3,0)*VLOOKUP('Données projet'!$B$17,Paramètres!$A$1:$I$89,5,0)</f>
        <v>3.3992364478763198E-14</v>
      </c>
      <c r="GB167" s="14">
        <f t="shared" si="185"/>
        <v>5.790027782444094E-13</v>
      </c>
      <c r="GC167" s="22">
        <f t="shared" si="186"/>
        <v>1.0676332069095257E-12</v>
      </c>
      <c r="GD167" s="62">
        <f t="shared" si="134"/>
        <v>288.13593173018177</v>
      </c>
      <c r="GE167" s="62">
        <f ca="1">AVERAGE(OFFSET($GD$3,0,0,'Données projet'!$E$17+1,1))-AVERAGE(OFFSET($H$3,0,0,'Données projet'!$E$17+1,1))</f>
        <v>223.57443551076992</v>
      </c>
      <c r="GF167" s="62">
        <f t="shared" si="158"/>
        <v>382.12751862619427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1.873211003337178</v>
      </c>
      <c r="GM167" s="23">
        <f>EXP(-LN(2)/25)*GM166+(1-EXP(-LN(2)/25))/(LN(2)/25)*Calculateur!GH167*Calculateur!GJ167*VLOOKUP('Données projet'!$B$17,Paramètres!$A$1:$I$89,3,0)*0.475*44/12</f>
        <v>0.33796536914878528</v>
      </c>
      <c r="GN167" s="23">
        <f>EXP(-LN(2)/2)*GN166+(1-EXP(-LN(2)/2))/(LN(2)/2)*GH167*GK167*VLOOKUP('Données projet'!$B$17,Paramètres!$A$1:$I$89,3,0)*0.475*44/12</f>
        <v>6.8695032597278659E-20</v>
      </c>
      <c r="GO167" s="23">
        <f t="shared" si="187"/>
        <v>2.2111763724859634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1.5916157281026244E-12</v>
      </c>
      <c r="GV167" s="18">
        <f>GU167*VLOOKUP('Données projet'!$B$18,Paramètres!$A$1:$I$89,3,0)*VLOOKUP('Données projet'!$B$18,Paramètres!$A$1:$I$89,5,0)</f>
        <v>1.7380443750880657E-12</v>
      </c>
      <c r="GW167" s="14">
        <f t="shared" si="188"/>
        <v>1.8727070317424442E-11</v>
      </c>
      <c r="GX167" s="22">
        <f t="shared" si="189"/>
        <v>3.5643408089459281E-11</v>
      </c>
      <c r="GY167" s="62">
        <f t="shared" si="137"/>
        <v>288.13593173021633</v>
      </c>
      <c r="GZ167" s="62">
        <f ca="1">AVERAGE(OFFSET($GY$3,0,0,'Données projet'!$E$18+1,1))-AVERAGE(OFFSET($H$3,0,0,'Données projet'!$E$18+1,1))</f>
        <v>754.33260592777049</v>
      </c>
      <c r="HA167" s="62">
        <f t="shared" si="160"/>
        <v>250.97643915279005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9">
        <f t="shared" si="110"/>
        <v>183.33333333333334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-4.1145540308207271E-13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550.39292625253665</v>
      </c>
      <c r="T168" s="62">
        <f t="shared" si="142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-4.5474735088646412E-13</v>
      </c>
      <c r="AJ168" s="14">
        <f>AI168*VLOOKUP('Données projet'!$B$10,Paramètres!$A$1:$I$89,3,0)*VLOOKUP('Données projet'!$B$10,Paramètres!$A$1:$I$89,5,0)</f>
        <v>-4.6111381379887462E-13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606.55142836375308</v>
      </c>
      <c r="AO168" s="62">
        <f t="shared" si="144"/>
        <v>325.72635759450861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5.1159076974727213E-13</v>
      </c>
      <c r="BE168" s="14">
        <f>BD168*VLOOKUP('Données projet'!$B$11,Paramètres!$A$1:$I$89,3,0)*VLOOKUP('Données projet'!$B$11,Paramètres!$A$1:$I$89,5,0)</f>
        <v>5.3471467253984886E-13</v>
      </c>
      <c r="BF168" s="14">
        <f t="shared" si="167"/>
        <v>6.6087717628803869E-12</v>
      </c>
      <c r="BG168" s="22">
        <f t="shared" si="168"/>
        <v>1.244157220835691E-11</v>
      </c>
      <c r="BH168" s="62">
        <f t="shared" si="116"/>
        <v>288.2260950283586</v>
      </c>
      <c r="BI168" s="62">
        <f ca="1">AVERAGE(OFFSET($BH$3,0,0,'Données projet'!$E$11+1,1))-AVERAGE(OFFSET($H$3,0,0,'Données projet'!$E$11+1,1))</f>
        <v>635.13577238794812</v>
      </c>
      <c r="BJ168" s="62">
        <f t="shared" si="146"/>
        <v>374.35810525172019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-6.8212102632969618E-13</v>
      </c>
      <c r="BZ168" s="14">
        <f>BY168*VLOOKUP('Données projet'!$B$12,Paramètres!$A$1:$I$89,3,0)*VLOOKUP('Données projet'!$B$12,Paramètres!$A$1:$I$89,5,0)</f>
        <v>-3.0149749363772573E-13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580.02817743695846</v>
      </c>
      <c r="CE168" s="62">
        <f t="shared" si="148"/>
        <v>551.23515633208865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3.979039320256561E-13</v>
      </c>
      <c r="CU168" s="18">
        <f>CT168*VLOOKUP('Données projet'!$B$13,Paramètres!$A$1:$I$89,3,0)*VLOOKUP('Données projet'!$B$13,Paramètres!$A$1:$I$89,5,0)</f>
        <v>1.8621904018800707E-13</v>
      </c>
      <c r="CV168" s="14">
        <f t="shared" si="173"/>
        <v>2.6022279988572714E-12</v>
      </c>
      <c r="CW168" s="22">
        <f t="shared" si="174"/>
        <v>4.8565452596705266E-12</v>
      </c>
      <c r="CX168" s="62">
        <f t="shared" si="122"/>
        <v>288.22609502835098</v>
      </c>
      <c r="CY168" s="62">
        <f ca="1">AVERAGE(OFFSET($CX$3,0,0,'Données projet'!$E$13+1,1))-AVERAGE(OFFSET($H$3,0,0,'Données projet'!$E$13+1,1))</f>
        <v>321.05795935196863</v>
      </c>
      <c r="CZ168" s="62">
        <f t="shared" si="150"/>
        <v>209.59551322748908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-4.5474735088646412E-13</v>
      </c>
      <c r="DP168" s="18">
        <f>DO168*VLOOKUP('Données projet'!$B$14,Paramètres!$A$1:$I$89,3,0)*VLOOKUP('Données projet'!$B$14,Paramètres!$A$1:$I$89,5,0)</f>
        <v>-4.8949004849418999E-13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638.58602907610805</v>
      </c>
      <c r="DU168" s="62">
        <f t="shared" si="152"/>
        <v>341.9250949809848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3.3992364478763198E-14</v>
      </c>
      <c r="EL168" s="14">
        <f t="shared" si="179"/>
        <v>5.790027782444094E-13</v>
      </c>
      <c r="EM168" s="22">
        <f t="shared" si="180"/>
        <v>1.0676332069095257E-12</v>
      </c>
      <c r="EN168" s="62">
        <f t="shared" si="128"/>
        <v>288.22609502834723</v>
      </c>
      <c r="EO168" s="62">
        <f ca="1">AVERAGE(OFFSET($EN$3,0,0,'Données projet'!$E$15+1,1))-AVERAGE(OFFSET($H$3,0,0,'Données projet'!$E$15+1,1))</f>
        <v>223.57443551076992</v>
      </c>
      <c r="EP168" s="62">
        <f t="shared" si="154"/>
        <v>382.12751862619427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1.8364784781076311</v>
      </c>
      <c r="EW168" s="23">
        <f>EXP(-LN(2)/25)*EW167+(1-EXP(-LN(2)/25))/(LN(2)/25)*Calculateur!ER168*Calculateur!ET168*VLOOKUP('Données projet'!$B$15,Paramètres!$A$1:$I$89,3,0)*0.475*44/12</f>
        <v>0.32872368835658539</v>
      </c>
      <c r="EX168" s="23">
        <f>EXP(-LN(2)/2)*EX167+(1-EXP(-LN(2)/2))/(LN(2)/2)*ER168*EU168*VLOOKUP('Données projet'!$B$15,Paramètres!$A$1:$I$89,3,0)*0.475*44/12</f>
        <v>4.8574723383366671E-20</v>
      </c>
      <c r="EY168" s="24">
        <f t="shared" si="181"/>
        <v>2.1652021664642165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283.95543623515323</v>
      </c>
      <c r="FK168" s="62">
        <f t="shared" si="156"/>
        <v>196.96883829830929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5.6843418860808015E-14</v>
      </c>
      <c r="GA168" s="18">
        <f>FZ168*VLOOKUP('Données projet'!$B$17,Paramètres!$A$1:$I$89,3,0)*VLOOKUP('Données projet'!$B$17,Paramètres!$A$1:$I$89,5,0)</f>
        <v>3.3992364478763198E-14</v>
      </c>
      <c r="GB168" s="14">
        <f t="shared" si="185"/>
        <v>5.790027782444094E-13</v>
      </c>
      <c r="GC168" s="22">
        <f t="shared" si="186"/>
        <v>1.0676332069095257E-12</v>
      </c>
      <c r="GD168" s="62">
        <f t="shared" si="134"/>
        <v>288.22609502834723</v>
      </c>
      <c r="GE168" s="62">
        <f ca="1">AVERAGE(OFFSET($GD$3,0,0,'Données projet'!$E$17+1,1))-AVERAGE(OFFSET($H$3,0,0,'Données projet'!$E$17+1,1))</f>
        <v>223.57443551076992</v>
      </c>
      <c r="GF168" s="62">
        <f t="shared" si="158"/>
        <v>382.12751862619427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1.8364784781076311</v>
      </c>
      <c r="GM168" s="23">
        <f>EXP(-LN(2)/25)*GM167+(1-EXP(-LN(2)/25))/(LN(2)/25)*Calculateur!GH168*Calculateur!GJ168*VLOOKUP('Données projet'!$B$17,Paramètres!$A$1:$I$89,3,0)*0.475*44/12</f>
        <v>0.32872368835658539</v>
      </c>
      <c r="GN168" s="23">
        <f>EXP(-LN(2)/2)*GN167+(1-EXP(-LN(2)/2))/(LN(2)/2)*GH168*GK168*VLOOKUP('Données projet'!$B$17,Paramètres!$A$1:$I$89,3,0)*0.475*44/12</f>
        <v>4.8574723383366671E-20</v>
      </c>
      <c r="GO168" s="23">
        <f t="shared" si="187"/>
        <v>2.1652021664642165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1.5916157281026244E-12</v>
      </c>
      <c r="GV168" s="18">
        <f>GU168*VLOOKUP('Données projet'!$B$18,Paramètres!$A$1:$I$89,3,0)*VLOOKUP('Données projet'!$B$18,Paramètres!$A$1:$I$89,5,0)</f>
        <v>1.7380443750880657E-12</v>
      </c>
      <c r="GW168" s="14">
        <f t="shared" si="188"/>
        <v>1.8727070317424442E-11</v>
      </c>
      <c r="GX168" s="22">
        <f t="shared" si="189"/>
        <v>3.5643408089459281E-11</v>
      </c>
      <c r="GY168" s="62">
        <f t="shared" si="137"/>
        <v>288.22609502838179</v>
      </c>
      <c r="GZ168" s="62">
        <f ca="1">AVERAGE(OFFSET($GY$3,0,0,'Données projet'!$E$18+1,1))-AVERAGE(OFFSET($H$3,0,0,'Données projet'!$E$18+1,1))</f>
        <v>754.33260592777049</v>
      </c>
      <c r="HA168" s="62">
        <f t="shared" si="160"/>
        <v>250.97643915279005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9">
        <f t="shared" si="110"/>
        <v>183.33333333333334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-4.1145540308207271E-13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550.39292625253665</v>
      </c>
      <c r="T169" s="62">
        <f t="shared" si="142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-4.5474735088646412E-13</v>
      </c>
      <c r="AJ169" s="14">
        <f>AI169*VLOOKUP('Données projet'!$B$10,Paramètres!$A$1:$I$89,3,0)*VLOOKUP('Données projet'!$B$10,Paramètres!$A$1:$I$89,5,0)</f>
        <v>-4.6111381379887462E-13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606.55142836375308</v>
      </c>
      <c r="AO169" s="62">
        <f t="shared" si="144"/>
        <v>325.72635759450861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5.1159076974727213E-13</v>
      </c>
      <c r="BE169" s="14">
        <f>BD169*VLOOKUP('Données projet'!$B$11,Paramètres!$A$1:$I$89,3,0)*VLOOKUP('Données projet'!$B$11,Paramètres!$A$1:$I$89,5,0)</f>
        <v>5.3471467253984886E-13</v>
      </c>
      <c r="BF169" s="14">
        <f t="shared" si="167"/>
        <v>6.6087717628803869E-12</v>
      </c>
      <c r="BG169" s="22">
        <f t="shared" si="168"/>
        <v>1.244157220835691E-11</v>
      </c>
      <c r="BH169" s="62">
        <f t="shared" si="116"/>
        <v>288.31469419487587</v>
      </c>
      <c r="BI169" s="62">
        <f ca="1">AVERAGE(OFFSET($BH$3,0,0,'Données projet'!$E$11+1,1))-AVERAGE(OFFSET($H$3,0,0,'Données projet'!$E$11+1,1))</f>
        <v>635.13577238794812</v>
      </c>
      <c r="BJ169" s="62">
        <f t="shared" si="146"/>
        <v>374.35810525172019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-6.8212102632969618E-13</v>
      </c>
      <c r="BZ169" s="14">
        <f>BY169*VLOOKUP('Données projet'!$B$12,Paramètres!$A$1:$I$89,3,0)*VLOOKUP('Données projet'!$B$12,Paramètres!$A$1:$I$89,5,0)</f>
        <v>-3.0149749363772573E-13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580.02817743695846</v>
      </c>
      <c r="CE169" s="62">
        <f t="shared" si="148"/>
        <v>551.23515633208865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3.979039320256561E-13</v>
      </c>
      <c r="CU169" s="18">
        <f>CT169*VLOOKUP('Données projet'!$B$13,Paramètres!$A$1:$I$89,3,0)*VLOOKUP('Données projet'!$B$13,Paramètres!$A$1:$I$89,5,0)</f>
        <v>1.8621904018800707E-13</v>
      </c>
      <c r="CV169" s="14">
        <f t="shared" si="173"/>
        <v>2.6022279988572714E-12</v>
      </c>
      <c r="CW169" s="22">
        <f t="shared" si="174"/>
        <v>4.8565452596705266E-12</v>
      </c>
      <c r="CX169" s="62">
        <f t="shared" si="122"/>
        <v>288.31469419486825</v>
      </c>
      <c r="CY169" s="62">
        <f ca="1">AVERAGE(OFFSET($CX$3,0,0,'Données projet'!$E$13+1,1))-AVERAGE(OFFSET($H$3,0,0,'Données projet'!$E$13+1,1))</f>
        <v>321.05795935196863</v>
      </c>
      <c r="CZ169" s="62">
        <f t="shared" si="150"/>
        <v>209.59551322748908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-4.5474735088646412E-13</v>
      </c>
      <c r="DP169" s="18">
        <f>DO169*VLOOKUP('Données projet'!$B$14,Paramètres!$A$1:$I$89,3,0)*VLOOKUP('Données projet'!$B$14,Paramètres!$A$1:$I$89,5,0)</f>
        <v>-4.8949004849418999E-13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638.58602907610805</v>
      </c>
      <c r="DU169" s="62">
        <f t="shared" si="152"/>
        <v>341.9250949809848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3.3992364478763198E-14</v>
      </c>
      <c r="EL169" s="14">
        <f t="shared" si="179"/>
        <v>5.790027782444094E-13</v>
      </c>
      <c r="EM169" s="22">
        <f t="shared" si="180"/>
        <v>1.0676332069095257E-12</v>
      </c>
      <c r="EN169" s="62">
        <f t="shared" si="128"/>
        <v>288.3146941948645</v>
      </c>
      <c r="EO169" s="62">
        <f ca="1">AVERAGE(OFFSET($EN$3,0,0,'Données projet'!$E$15+1,1))-AVERAGE(OFFSET($H$3,0,0,'Données projet'!$E$15+1,1))</f>
        <v>223.57443551076992</v>
      </c>
      <c r="EP169" s="62">
        <f t="shared" si="154"/>
        <v>382.12751862619427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1.8004662552932074</v>
      </c>
      <c r="EW169" s="23">
        <f>EXP(-LN(2)/25)*EW168+(1-EXP(-LN(2)/25))/(LN(2)/25)*Calculateur!ER169*Calculateur!ET169*VLOOKUP('Données projet'!$B$15,Paramètres!$A$1:$I$89,3,0)*0.475*44/12</f>
        <v>0.31973472181164708</v>
      </c>
      <c r="EX169" s="23">
        <f>EXP(-LN(2)/2)*EX168+(1-EXP(-LN(2)/2))/(LN(2)/2)*ER169*EU169*VLOOKUP('Données projet'!$B$15,Paramètres!$A$1:$I$89,3,0)*0.475*44/12</f>
        <v>3.434751629863933E-20</v>
      </c>
      <c r="EY169" s="24">
        <f t="shared" si="181"/>
        <v>2.1202009771048544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283.95543623515323</v>
      </c>
      <c r="FK169" s="62">
        <f t="shared" si="156"/>
        <v>196.96883829830929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5.6843418860808015E-14</v>
      </c>
      <c r="GA169" s="18">
        <f>FZ169*VLOOKUP('Données projet'!$B$17,Paramètres!$A$1:$I$89,3,0)*VLOOKUP('Données projet'!$B$17,Paramètres!$A$1:$I$89,5,0)</f>
        <v>3.3992364478763198E-14</v>
      </c>
      <c r="GB169" s="14">
        <f t="shared" si="185"/>
        <v>5.790027782444094E-13</v>
      </c>
      <c r="GC169" s="22">
        <f t="shared" si="186"/>
        <v>1.0676332069095257E-12</v>
      </c>
      <c r="GD169" s="62">
        <f t="shared" si="134"/>
        <v>288.3146941948645</v>
      </c>
      <c r="GE169" s="62">
        <f ca="1">AVERAGE(OFFSET($GD$3,0,0,'Données projet'!$E$17+1,1))-AVERAGE(OFFSET($H$3,0,0,'Données projet'!$E$17+1,1))</f>
        <v>223.57443551076992</v>
      </c>
      <c r="GF169" s="62">
        <f t="shared" si="158"/>
        <v>382.12751862619427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1.8004662552932074</v>
      </c>
      <c r="GM169" s="23">
        <f>EXP(-LN(2)/25)*GM168+(1-EXP(-LN(2)/25))/(LN(2)/25)*Calculateur!GH169*Calculateur!GJ169*VLOOKUP('Données projet'!$B$17,Paramètres!$A$1:$I$89,3,0)*0.475*44/12</f>
        <v>0.31973472181164708</v>
      </c>
      <c r="GN169" s="23">
        <f>EXP(-LN(2)/2)*GN168+(1-EXP(-LN(2)/2))/(LN(2)/2)*GH169*GK169*VLOOKUP('Données projet'!$B$17,Paramètres!$A$1:$I$89,3,0)*0.475*44/12</f>
        <v>3.434751629863933E-20</v>
      </c>
      <c r="GO169" s="23">
        <f t="shared" si="187"/>
        <v>2.1202009771048544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1.5916157281026244E-12</v>
      </c>
      <c r="GV169" s="18">
        <f>GU169*VLOOKUP('Données projet'!$B$18,Paramètres!$A$1:$I$89,3,0)*VLOOKUP('Données projet'!$B$18,Paramètres!$A$1:$I$89,5,0)</f>
        <v>1.7380443750880657E-12</v>
      </c>
      <c r="GW169" s="14">
        <f t="shared" si="188"/>
        <v>1.8727070317424442E-11</v>
      </c>
      <c r="GX169" s="22">
        <f t="shared" si="189"/>
        <v>3.5643408089459281E-11</v>
      </c>
      <c r="GY169" s="62">
        <f t="shared" si="137"/>
        <v>288.31469419489906</v>
      </c>
      <c r="GZ169" s="62">
        <f ca="1">AVERAGE(OFFSET($GY$3,0,0,'Données projet'!$E$18+1,1))-AVERAGE(OFFSET($H$3,0,0,'Données projet'!$E$18+1,1))</f>
        <v>754.33260592777049</v>
      </c>
      <c r="HA169" s="62">
        <f t="shared" si="160"/>
        <v>250.97643915279005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9">
        <f t="shared" si="110"/>
        <v>183.33333333333334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-4.1145540308207271E-13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550.39292625253665</v>
      </c>
      <c r="T170" s="62">
        <f t="shared" si="142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-4.5474735088646412E-13</v>
      </c>
      <c r="AJ170" s="14">
        <f>AI170*VLOOKUP('Données projet'!$B$10,Paramètres!$A$1:$I$89,3,0)*VLOOKUP('Données projet'!$B$10,Paramètres!$A$1:$I$89,5,0)</f>
        <v>-4.6111381379887462E-13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606.55142836375308</v>
      </c>
      <c r="AO170" s="62">
        <f t="shared" si="144"/>
        <v>325.72635759450861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5.1159076974727213E-13</v>
      </c>
      <c r="BE170" s="14">
        <f>BD170*VLOOKUP('Données projet'!$B$11,Paramètres!$A$1:$I$89,3,0)*VLOOKUP('Données projet'!$B$11,Paramètres!$A$1:$I$89,5,0)</f>
        <v>5.3471467253984886E-13</v>
      </c>
      <c r="BF170" s="14">
        <f t="shared" si="167"/>
        <v>6.6087717628803869E-12</v>
      </c>
      <c r="BG170" s="22">
        <f t="shared" si="168"/>
        <v>1.244157220835691E-11</v>
      </c>
      <c r="BH170" s="62">
        <f t="shared" si="116"/>
        <v>288.40175636393207</v>
      </c>
      <c r="BI170" s="62">
        <f ca="1">AVERAGE(OFFSET($BH$3,0,0,'Données projet'!$E$11+1,1))-AVERAGE(OFFSET($H$3,0,0,'Données projet'!$E$11+1,1))</f>
        <v>635.13577238794812</v>
      </c>
      <c r="BJ170" s="62">
        <f t="shared" si="146"/>
        <v>374.35810525172019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-6.8212102632969618E-13</v>
      </c>
      <c r="BZ170" s="14">
        <f>BY170*VLOOKUP('Données projet'!$B$12,Paramètres!$A$1:$I$89,3,0)*VLOOKUP('Données projet'!$B$12,Paramètres!$A$1:$I$89,5,0)</f>
        <v>-3.0149749363772573E-13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580.02817743695846</v>
      </c>
      <c r="CE170" s="62">
        <f t="shared" si="148"/>
        <v>551.23515633208865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3.979039320256561E-13</v>
      </c>
      <c r="CU170" s="18">
        <f>CT170*VLOOKUP('Données projet'!$B$13,Paramètres!$A$1:$I$89,3,0)*VLOOKUP('Données projet'!$B$13,Paramètres!$A$1:$I$89,5,0)</f>
        <v>1.8621904018800707E-13</v>
      </c>
      <c r="CV170" s="14">
        <f t="shared" si="173"/>
        <v>2.6022279988572714E-12</v>
      </c>
      <c r="CW170" s="22">
        <f t="shared" si="174"/>
        <v>4.8565452596705266E-12</v>
      </c>
      <c r="CX170" s="62">
        <f t="shared" si="122"/>
        <v>288.40175636392445</v>
      </c>
      <c r="CY170" s="62">
        <f ca="1">AVERAGE(OFFSET($CX$3,0,0,'Données projet'!$E$13+1,1))-AVERAGE(OFFSET($H$3,0,0,'Données projet'!$E$13+1,1))</f>
        <v>321.05795935196863</v>
      </c>
      <c r="CZ170" s="62">
        <f t="shared" si="150"/>
        <v>209.59551322748908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-4.5474735088646412E-13</v>
      </c>
      <c r="DP170" s="18">
        <f>DO170*VLOOKUP('Données projet'!$B$14,Paramètres!$A$1:$I$89,3,0)*VLOOKUP('Données projet'!$B$14,Paramètres!$A$1:$I$89,5,0)</f>
        <v>-4.8949004849418999E-13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638.58602907610805</v>
      </c>
      <c r="DU170" s="62">
        <f t="shared" si="152"/>
        <v>341.9250949809848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3.3992364478763198E-14</v>
      </c>
      <c r="EL170" s="14">
        <f t="shared" si="179"/>
        <v>5.790027782444094E-13</v>
      </c>
      <c r="EM170" s="22">
        <f t="shared" si="180"/>
        <v>1.0676332069095257E-12</v>
      </c>
      <c r="EN170" s="62">
        <f t="shared" si="128"/>
        <v>288.4017563639207</v>
      </c>
      <c r="EO170" s="62">
        <f ca="1">AVERAGE(OFFSET($EN$3,0,0,'Données projet'!$E$15+1,1))-AVERAGE(OFFSET($H$3,0,0,'Données projet'!$E$15+1,1))</f>
        <v>223.57443551076992</v>
      </c>
      <c r="EP170" s="62">
        <f t="shared" si="154"/>
        <v>382.12751862619427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1.7651602102028874</v>
      </c>
      <c r="EW170" s="23">
        <f>EXP(-LN(2)/25)*EW169+(1-EXP(-LN(2)/25))/(LN(2)/25)*Calculateur!ER170*Calculateur!ET170*VLOOKUP('Données projet'!$B$15,Paramètres!$A$1:$I$89,3,0)*0.475*44/12</f>
        <v>0.31099155902958936</v>
      </c>
      <c r="EX170" s="23">
        <f>EXP(-LN(2)/2)*EX169+(1-EXP(-LN(2)/2))/(LN(2)/2)*ER170*EU170*VLOOKUP('Données projet'!$B$15,Paramètres!$A$1:$I$89,3,0)*0.475*44/12</f>
        <v>2.4287361691683336E-20</v>
      </c>
      <c r="EY170" s="24">
        <f t="shared" si="181"/>
        <v>2.0761517692324767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283.95543623515323</v>
      </c>
      <c r="FK170" s="62">
        <f t="shared" si="156"/>
        <v>196.96883829830929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5.6843418860808015E-14</v>
      </c>
      <c r="GA170" s="18">
        <f>FZ170*VLOOKUP('Données projet'!$B$17,Paramètres!$A$1:$I$89,3,0)*VLOOKUP('Données projet'!$B$17,Paramètres!$A$1:$I$89,5,0)</f>
        <v>3.3992364478763198E-14</v>
      </c>
      <c r="GB170" s="14">
        <f t="shared" si="185"/>
        <v>5.790027782444094E-13</v>
      </c>
      <c r="GC170" s="22">
        <f t="shared" si="186"/>
        <v>1.0676332069095257E-12</v>
      </c>
      <c r="GD170" s="62">
        <f t="shared" si="134"/>
        <v>288.4017563639207</v>
      </c>
      <c r="GE170" s="62">
        <f ca="1">AVERAGE(OFFSET($GD$3,0,0,'Données projet'!$E$17+1,1))-AVERAGE(OFFSET($H$3,0,0,'Données projet'!$E$17+1,1))</f>
        <v>223.57443551076992</v>
      </c>
      <c r="GF170" s="62">
        <f t="shared" si="158"/>
        <v>382.12751862619427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1.7651602102028874</v>
      </c>
      <c r="GM170" s="23">
        <f>EXP(-LN(2)/25)*GM169+(1-EXP(-LN(2)/25))/(LN(2)/25)*Calculateur!GH170*Calculateur!GJ170*VLOOKUP('Données projet'!$B$17,Paramètres!$A$1:$I$89,3,0)*0.475*44/12</f>
        <v>0.31099155902958936</v>
      </c>
      <c r="GN170" s="23">
        <f>EXP(-LN(2)/2)*GN169+(1-EXP(-LN(2)/2))/(LN(2)/2)*GH170*GK170*VLOOKUP('Données projet'!$B$17,Paramètres!$A$1:$I$89,3,0)*0.475*44/12</f>
        <v>2.4287361691683336E-20</v>
      </c>
      <c r="GO170" s="23">
        <f t="shared" si="187"/>
        <v>2.0761517692324767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1.5916157281026244E-12</v>
      </c>
      <c r="GV170" s="18">
        <f>GU170*VLOOKUP('Données projet'!$B$18,Paramètres!$A$1:$I$89,3,0)*VLOOKUP('Données projet'!$B$18,Paramètres!$A$1:$I$89,5,0)</f>
        <v>1.7380443750880657E-12</v>
      </c>
      <c r="GW170" s="14">
        <f t="shared" si="188"/>
        <v>1.8727070317424442E-11</v>
      </c>
      <c r="GX170" s="22">
        <f t="shared" si="189"/>
        <v>3.5643408089459281E-11</v>
      </c>
      <c r="GY170" s="62">
        <f t="shared" si="137"/>
        <v>288.40175636395526</v>
      </c>
      <c r="GZ170" s="62">
        <f ca="1">AVERAGE(OFFSET($GY$3,0,0,'Données projet'!$E$18+1,1))-AVERAGE(OFFSET($H$3,0,0,'Données projet'!$E$18+1,1))</f>
        <v>754.33260592777049</v>
      </c>
      <c r="HA170" s="62">
        <f t="shared" si="160"/>
        <v>250.97643915279005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9">
        <f t="shared" si="110"/>
        <v>183.33333333333334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-4.1145540308207271E-13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550.39292625253665</v>
      </c>
      <c r="T171" s="62">
        <f t="shared" si="142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-4.5474735088646412E-13</v>
      </c>
      <c r="AJ171" s="14">
        <f>AI171*VLOOKUP('Données projet'!$B$10,Paramètres!$A$1:$I$89,3,0)*VLOOKUP('Données projet'!$B$10,Paramètres!$A$1:$I$89,5,0)</f>
        <v>-4.6111381379887462E-13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606.55142836375308</v>
      </c>
      <c r="AO171" s="62">
        <f t="shared" si="144"/>
        <v>325.72635759450861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5.1159076974727213E-13</v>
      </c>
      <c r="BE171" s="14">
        <f>BD171*VLOOKUP('Données projet'!$B$11,Paramètres!$A$1:$I$89,3,0)*VLOOKUP('Données projet'!$B$11,Paramètres!$A$1:$I$89,5,0)</f>
        <v>5.3471467253984886E-13</v>
      </c>
      <c r="BF171" s="14">
        <f t="shared" si="167"/>
        <v>6.6087717628803869E-12</v>
      </c>
      <c r="BG171" s="22">
        <f t="shared" si="168"/>
        <v>1.244157220835691E-11</v>
      </c>
      <c r="BH171" s="62">
        <f t="shared" si="116"/>
        <v>288.48730819899697</v>
      </c>
      <c r="BI171" s="62">
        <f ca="1">AVERAGE(OFFSET($BH$3,0,0,'Données projet'!$E$11+1,1))-AVERAGE(OFFSET($H$3,0,0,'Données projet'!$E$11+1,1))</f>
        <v>635.13577238794812</v>
      </c>
      <c r="BJ171" s="62">
        <f t="shared" si="146"/>
        <v>374.35810525172019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-6.8212102632969618E-13</v>
      </c>
      <c r="BZ171" s="14">
        <f>BY171*VLOOKUP('Données projet'!$B$12,Paramètres!$A$1:$I$89,3,0)*VLOOKUP('Données projet'!$B$12,Paramètres!$A$1:$I$89,5,0)</f>
        <v>-3.0149749363772573E-13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580.02817743695846</v>
      </c>
      <c r="CE171" s="62">
        <f t="shared" si="148"/>
        <v>551.23515633208865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3.979039320256561E-13</v>
      </c>
      <c r="CU171" s="18">
        <f>CT171*VLOOKUP('Données projet'!$B$13,Paramètres!$A$1:$I$89,3,0)*VLOOKUP('Données projet'!$B$13,Paramètres!$A$1:$I$89,5,0)</f>
        <v>1.8621904018800707E-13</v>
      </c>
      <c r="CV171" s="14">
        <f t="shared" si="173"/>
        <v>2.6022279988572714E-12</v>
      </c>
      <c r="CW171" s="22">
        <f t="shared" si="174"/>
        <v>4.8565452596705266E-12</v>
      </c>
      <c r="CX171" s="62">
        <f t="shared" si="122"/>
        <v>288.48730819898935</v>
      </c>
      <c r="CY171" s="62">
        <f ca="1">AVERAGE(OFFSET($CX$3,0,0,'Données projet'!$E$13+1,1))-AVERAGE(OFFSET($H$3,0,0,'Données projet'!$E$13+1,1))</f>
        <v>321.05795935196863</v>
      </c>
      <c r="CZ171" s="62">
        <f t="shared" si="150"/>
        <v>209.59551322748908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-4.5474735088646412E-13</v>
      </c>
      <c r="DP171" s="18">
        <f>DO171*VLOOKUP('Données projet'!$B$14,Paramètres!$A$1:$I$89,3,0)*VLOOKUP('Données projet'!$B$14,Paramètres!$A$1:$I$89,5,0)</f>
        <v>-4.8949004849418999E-13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638.58602907610805</v>
      </c>
      <c r="DU171" s="62">
        <f t="shared" si="152"/>
        <v>341.9250949809848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3.3992364478763198E-14</v>
      </c>
      <c r="EL171" s="14">
        <f t="shared" si="179"/>
        <v>5.790027782444094E-13</v>
      </c>
      <c r="EM171" s="22">
        <f t="shared" si="180"/>
        <v>1.0676332069095257E-12</v>
      </c>
      <c r="EN171" s="62">
        <f t="shared" si="128"/>
        <v>288.4873081989856</v>
      </c>
      <c r="EO171" s="62">
        <f ca="1">AVERAGE(OFFSET($EN$3,0,0,'Données projet'!$E$15+1,1))-AVERAGE(OFFSET($H$3,0,0,'Données projet'!$E$15+1,1))</f>
        <v>223.57443551076992</v>
      </c>
      <c r="EP171" s="62">
        <f t="shared" si="154"/>
        <v>382.12751862619427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1.7305464951222276</v>
      </c>
      <c r="EW171" s="23">
        <f>EXP(-LN(2)/25)*EW170+(1-EXP(-LN(2)/25))/(LN(2)/25)*Calculateur!ER171*Calculateur!ET171*VLOOKUP('Données projet'!$B$15,Paramètres!$A$1:$I$89,3,0)*0.475*44/12</f>
        <v>0.30248747849358992</v>
      </c>
      <c r="EX171" s="23">
        <f>EXP(-LN(2)/2)*EX170+(1-EXP(-LN(2)/2))/(LN(2)/2)*ER171*EU171*VLOOKUP('Données projet'!$B$15,Paramètres!$A$1:$I$89,3,0)*0.475*44/12</f>
        <v>1.7173758149319665E-20</v>
      </c>
      <c r="EY171" s="24">
        <f t="shared" si="181"/>
        <v>2.0330339736158174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283.95543623515323</v>
      </c>
      <c r="FK171" s="62">
        <f t="shared" si="156"/>
        <v>196.96883829830929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5.6843418860808015E-14</v>
      </c>
      <c r="GA171" s="18">
        <f>FZ171*VLOOKUP('Données projet'!$B$17,Paramètres!$A$1:$I$89,3,0)*VLOOKUP('Données projet'!$B$17,Paramètres!$A$1:$I$89,5,0)</f>
        <v>3.3992364478763198E-14</v>
      </c>
      <c r="GB171" s="14">
        <f t="shared" si="185"/>
        <v>5.790027782444094E-13</v>
      </c>
      <c r="GC171" s="22">
        <f t="shared" si="186"/>
        <v>1.0676332069095257E-12</v>
      </c>
      <c r="GD171" s="62">
        <f t="shared" si="134"/>
        <v>288.4873081989856</v>
      </c>
      <c r="GE171" s="62">
        <f ca="1">AVERAGE(OFFSET($GD$3,0,0,'Données projet'!$E$17+1,1))-AVERAGE(OFFSET($H$3,0,0,'Données projet'!$E$17+1,1))</f>
        <v>223.57443551076992</v>
      </c>
      <c r="GF171" s="62">
        <f t="shared" si="158"/>
        <v>382.12751862619427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1.7305464951222276</v>
      </c>
      <c r="GM171" s="23">
        <f>EXP(-LN(2)/25)*GM170+(1-EXP(-LN(2)/25))/(LN(2)/25)*Calculateur!GH171*Calculateur!GJ171*VLOOKUP('Données projet'!$B$17,Paramètres!$A$1:$I$89,3,0)*0.475*44/12</f>
        <v>0.30248747849358992</v>
      </c>
      <c r="GN171" s="23">
        <f>EXP(-LN(2)/2)*GN170+(1-EXP(-LN(2)/2))/(LN(2)/2)*GH171*GK171*VLOOKUP('Données projet'!$B$17,Paramètres!$A$1:$I$89,3,0)*0.475*44/12</f>
        <v>1.7173758149319665E-20</v>
      </c>
      <c r="GO171" s="23">
        <f t="shared" si="187"/>
        <v>2.0330339736158174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1.5916157281026244E-12</v>
      </c>
      <c r="GV171" s="18">
        <f>GU171*VLOOKUP('Données projet'!$B$18,Paramètres!$A$1:$I$89,3,0)*VLOOKUP('Données projet'!$B$18,Paramètres!$A$1:$I$89,5,0)</f>
        <v>1.7380443750880657E-12</v>
      </c>
      <c r="GW171" s="14">
        <f t="shared" si="188"/>
        <v>1.8727070317424442E-11</v>
      </c>
      <c r="GX171" s="22">
        <f t="shared" si="189"/>
        <v>3.5643408089459281E-11</v>
      </c>
      <c r="GY171" s="62">
        <f t="shared" si="137"/>
        <v>288.48730819902016</v>
      </c>
      <c r="GZ171" s="62">
        <f ca="1">AVERAGE(OFFSET($GY$3,0,0,'Données projet'!$E$18+1,1))-AVERAGE(OFFSET($H$3,0,0,'Données projet'!$E$18+1,1))</f>
        <v>754.33260592777049</v>
      </c>
      <c r="HA171" s="62">
        <f t="shared" si="160"/>
        <v>250.97643915279005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9">
        <f t="shared" si="110"/>
        <v>183.33333333333334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-4.1145540308207271E-13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550.39292625253665</v>
      </c>
      <c r="T172" s="62">
        <f t="shared" si="142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-4.5474735088646412E-13</v>
      </c>
      <c r="AJ172" s="14">
        <f>AI172*VLOOKUP('Données projet'!$B$10,Paramètres!$A$1:$I$89,3,0)*VLOOKUP('Données projet'!$B$10,Paramètres!$A$1:$I$89,5,0)</f>
        <v>-4.6111381379887462E-13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606.55142836375308</v>
      </c>
      <c r="AO172" s="62">
        <f t="shared" si="144"/>
        <v>325.72635759450861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5.1159076974727213E-13</v>
      </c>
      <c r="BE172" s="14">
        <f>BD172*VLOOKUP('Données projet'!$B$11,Paramètres!$A$1:$I$89,3,0)*VLOOKUP('Données projet'!$B$11,Paramètres!$A$1:$I$89,5,0)</f>
        <v>5.3471467253984886E-13</v>
      </c>
      <c r="BF172" s="14">
        <f t="shared" si="167"/>
        <v>6.6087717628803869E-12</v>
      </c>
      <c r="BG172" s="22">
        <f t="shared" si="168"/>
        <v>1.244157220835691E-11</v>
      </c>
      <c r="BH172" s="62">
        <f t="shared" si="116"/>
        <v>288.57137590098887</v>
      </c>
      <c r="BI172" s="62">
        <f ca="1">AVERAGE(OFFSET($BH$3,0,0,'Données projet'!$E$11+1,1))-AVERAGE(OFFSET($H$3,0,0,'Données projet'!$E$11+1,1))</f>
        <v>635.13577238794812</v>
      </c>
      <c r="BJ172" s="62">
        <f t="shared" si="146"/>
        <v>374.35810525172019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-6.8212102632969618E-13</v>
      </c>
      <c r="BZ172" s="14">
        <f>BY172*VLOOKUP('Données projet'!$B$12,Paramètres!$A$1:$I$89,3,0)*VLOOKUP('Données projet'!$B$12,Paramètres!$A$1:$I$89,5,0)</f>
        <v>-3.0149749363772573E-13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580.02817743695846</v>
      </c>
      <c r="CE172" s="62">
        <f t="shared" si="148"/>
        <v>551.23515633208865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3.979039320256561E-13</v>
      </c>
      <c r="CU172" s="18">
        <f>CT172*VLOOKUP('Données projet'!$B$13,Paramètres!$A$1:$I$89,3,0)*VLOOKUP('Données projet'!$B$13,Paramètres!$A$1:$I$89,5,0)</f>
        <v>1.8621904018800707E-13</v>
      </c>
      <c r="CV172" s="14">
        <f t="shared" si="173"/>
        <v>2.6022279988572714E-12</v>
      </c>
      <c r="CW172" s="22">
        <f t="shared" si="174"/>
        <v>4.8565452596705266E-12</v>
      </c>
      <c r="CX172" s="62">
        <f t="shared" si="122"/>
        <v>288.57137590098125</v>
      </c>
      <c r="CY172" s="62">
        <f ca="1">AVERAGE(OFFSET($CX$3,0,0,'Données projet'!$E$13+1,1))-AVERAGE(OFFSET($H$3,0,0,'Données projet'!$E$13+1,1))</f>
        <v>321.05795935196863</v>
      </c>
      <c r="CZ172" s="62">
        <f t="shared" si="150"/>
        <v>209.59551322748908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-4.5474735088646412E-13</v>
      </c>
      <c r="DP172" s="18">
        <f>DO172*VLOOKUP('Données projet'!$B$14,Paramètres!$A$1:$I$89,3,0)*VLOOKUP('Données projet'!$B$14,Paramètres!$A$1:$I$89,5,0)</f>
        <v>-4.8949004849418999E-13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638.58602907610805</v>
      </c>
      <c r="DU172" s="62">
        <f t="shared" si="152"/>
        <v>341.9250949809848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3.3992364478763198E-14</v>
      </c>
      <c r="EL172" s="14">
        <f t="shared" si="179"/>
        <v>5.790027782444094E-13</v>
      </c>
      <c r="EM172" s="22">
        <f t="shared" si="180"/>
        <v>1.0676332069095257E-12</v>
      </c>
      <c r="EN172" s="62">
        <f t="shared" si="128"/>
        <v>288.5713759009775</v>
      </c>
      <c r="EO172" s="62">
        <f ca="1">AVERAGE(OFFSET($EN$3,0,0,'Données projet'!$E$15+1,1))-AVERAGE(OFFSET($H$3,0,0,'Données projet'!$E$15+1,1))</f>
        <v>223.57443551076992</v>
      </c>
      <c r="EP172" s="62">
        <f t="shared" si="154"/>
        <v>382.12751862619427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1.6966115338820178</v>
      </c>
      <c r="EW172" s="23">
        <f>EXP(-LN(2)/25)*EW171+(1-EXP(-LN(2)/25))/(LN(2)/25)*Calculateur!ER172*Calculateur!ET172*VLOOKUP('Données projet'!$B$15,Paramètres!$A$1:$I$89,3,0)*0.475*44/12</f>
        <v>0.29421594248705757</v>
      </c>
      <c r="EX172" s="23">
        <f>EXP(-LN(2)/2)*EX171+(1-EXP(-LN(2)/2))/(LN(2)/2)*ER172*EU172*VLOOKUP('Données projet'!$B$15,Paramètres!$A$1:$I$89,3,0)*0.475*44/12</f>
        <v>1.2143680845841668E-20</v>
      </c>
      <c r="EY172" s="24">
        <f t="shared" si="181"/>
        <v>1.9908274763690754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283.95543623515323</v>
      </c>
      <c r="FK172" s="62">
        <f t="shared" si="156"/>
        <v>196.96883829830929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5.6843418860808015E-14</v>
      </c>
      <c r="GA172" s="18">
        <f>FZ172*VLOOKUP('Données projet'!$B$17,Paramètres!$A$1:$I$89,3,0)*VLOOKUP('Données projet'!$B$17,Paramètres!$A$1:$I$89,5,0)</f>
        <v>3.3992364478763198E-14</v>
      </c>
      <c r="GB172" s="14">
        <f t="shared" si="185"/>
        <v>5.790027782444094E-13</v>
      </c>
      <c r="GC172" s="22">
        <f t="shared" si="186"/>
        <v>1.0676332069095257E-12</v>
      </c>
      <c r="GD172" s="62">
        <f t="shared" si="134"/>
        <v>288.5713759009775</v>
      </c>
      <c r="GE172" s="62">
        <f ca="1">AVERAGE(OFFSET($GD$3,0,0,'Données projet'!$E$17+1,1))-AVERAGE(OFFSET($H$3,0,0,'Données projet'!$E$17+1,1))</f>
        <v>223.57443551076992</v>
      </c>
      <c r="GF172" s="62">
        <f t="shared" si="158"/>
        <v>382.12751862619427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1.6966115338820178</v>
      </c>
      <c r="GM172" s="23">
        <f>EXP(-LN(2)/25)*GM171+(1-EXP(-LN(2)/25))/(LN(2)/25)*Calculateur!GH172*Calculateur!GJ172*VLOOKUP('Données projet'!$B$17,Paramètres!$A$1:$I$89,3,0)*0.475*44/12</f>
        <v>0.29421594248705757</v>
      </c>
      <c r="GN172" s="23">
        <f>EXP(-LN(2)/2)*GN171+(1-EXP(-LN(2)/2))/(LN(2)/2)*GH172*GK172*VLOOKUP('Données projet'!$B$17,Paramètres!$A$1:$I$89,3,0)*0.475*44/12</f>
        <v>1.2143680845841668E-20</v>
      </c>
      <c r="GO172" s="23">
        <f t="shared" si="187"/>
        <v>1.9908274763690754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1.5916157281026244E-12</v>
      </c>
      <c r="GV172" s="18">
        <f>GU172*VLOOKUP('Données projet'!$B$18,Paramètres!$A$1:$I$89,3,0)*VLOOKUP('Données projet'!$B$18,Paramètres!$A$1:$I$89,5,0)</f>
        <v>1.7380443750880657E-12</v>
      </c>
      <c r="GW172" s="14">
        <f t="shared" si="188"/>
        <v>1.8727070317424442E-11</v>
      </c>
      <c r="GX172" s="22">
        <f t="shared" si="189"/>
        <v>3.5643408089459281E-11</v>
      </c>
      <c r="GY172" s="62">
        <f t="shared" si="137"/>
        <v>288.57137590101206</v>
      </c>
      <c r="GZ172" s="62">
        <f ca="1">AVERAGE(OFFSET($GY$3,0,0,'Données projet'!$E$18+1,1))-AVERAGE(OFFSET($H$3,0,0,'Données projet'!$E$18+1,1))</f>
        <v>754.33260592777049</v>
      </c>
      <c r="HA172" s="62">
        <f t="shared" si="160"/>
        <v>250.97643915279005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9">
        <f t="shared" si="110"/>
        <v>183.33333333333334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-4.1145540308207271E-13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550.39292625253665</v>
      </c>
      <c r="T173" s="62">
        <f t="shared" si="142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-4.5474735088646412E-13</v>
      </c>
      <c r="AJ173" s="14">
        <f>AI173*VLOOKUP('Données projet'!$B$10,Paramètres!$A$1:$I$89,3,0)*VLOOKUP('Données projet'!$B$10,Paramètres!$A$1:$I$89,5,0)</f>
        <v>-4.6111381379887462E-13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606.55142836375308</v>
      </c>
      <c r="AO173" s="62">
        <f t="shared" si="144"/>
        <v>325.72635759450861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5.1159076974727213E-13</v>
      </c>
      <c r="BE173" s="14">
        <f>BD173*VLOOKUP('Données projet'!$B$11,Paramètres!$A$1:$I$89,3,0)*VLOOKUP('Données projet'!$B$11,Paramètres!$A$1:$I$89,5,0)</f>
        <v>5.3471467253984886E-13</v>
      </c>
      <c r="BF173" s="14">
        <f t="shared" si="167"/>
        <v>6.6087717628803869E-12</v>
      </c>
      <c r="BG173" s="22">
        <f t="shared" si="168"/>
        <v>1.244157220835691E-11</v>
      </c>
      <c r="BH173" s="62">
        <f t="shared" si="116"/>
        <v>288.65398521629834</v>
      </c>
      <c r="BI173" s="62">
        <f ca="1">AVERAGE(OFFSET($BH$3,0,0,'Données projet'!$E$11+1,1))-AVERAGE(OFFSET($H$3,0,0,'Données projet'!$E$11+1,1))</f>
        <v>635.13577238794812</v>
      </c>
      <c r="BJ173" s="62">
        <f t="shared" si="146"/>
        <v>374.35810525172019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-6.8212102632969618E-13</v>
      </c>
      <c r="BZ173" s="14">
        <f>BY173*VLOOKUP('Données projet'!$B$12,Paramètres!$A$1:$I$89,3,0)*VLOOKUP('Données projet'!$B$12,Paramètres!$A$1:$I$89,5,0)</f>
        <v>-3.0149749363772573E-13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580.02817743695846</v>
      </c>
      <c r="CE173" s="62">
        <f t="shared" si="148"/>
        <v>551.23515633208865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3.979039320256561E-13</v>
      </c>
      <c r="CU173" s="18">
        <f>CT173*VLOOKUP('Données projet'!$B$13,Paramètres!$A$1:$I$89,3,0)*VLOOKUP('Données projet'!$B$13,Paramètres!$A$1:$I$89,5,0)</f>
        <v>1.8621904018800707E-13</v>
      </c>
      <c r="CV173" s="14">
        <f t="shared" si="173"/>
        <v>2.6022279988572714E-12</v>
      </c>
      <c r="CW173" s="22">
        <f t="shared" si="174"/>
        <v>4.8565452596705266E-12</v>
      </c>
      <c r="CX173" s="62">
        <f t="shared" si="122"/>
        <v>288.65398521629072</v>
      </c>
      <c r="CY173" s="62">
        <f ca="1">AVERAGE(OFFSET($CX$3,0,0,'Données projet'!$E$13+1,1))-AVERAGE(OFFSET($H$3,0,0,'Données projet'!$E$13+1,1))</f>
        <v>321.05795935196863</v>
      </c>
      <c r="CZ173" s="62">
        <f t="shared" si="150"/>
        <v>209.59551322748908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-4.5474735088646412E-13</v>
      </c>
      <c r="DP173" s="18">
        <f>DO173*VLOOKUP('Données projet'!$B$14,Paramètres!$A$1:$I$89,3,0)*VLOOKUP('Données projet'!$B$14,Paramètres!$A$1:$I$89,5,0)</f>
        <v>-4.8949004849418999E-13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638.58602907610805</v>
      </c>
      <c r="DU173" s="62">
        <f t="shared" si="152"/>
        <v>341.9250949809848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3.3992364478763198E-14</v>
      </c>
      <c r="EL173" s="14">
        <f t="shared" si="179"/>
        <v>5.790027782444094E-13</v>
      </c>
      <c r="EM173" s="22">
        <f t="shared" si="180"/>
        <v>1.0676332069095257E-12</v>
      </c>
      <c r="EN173" s="62">
        <f t="shared" si="128"/>
        <v>288.65398521628697</v>
      </c>
      <c r="EO173" s="62">
        <f ca="1">AVERAGE(OFFSET($EN$3,0,0,'Données projet'!$E$15+1,1))-AVERAGE(OFFSET($H$3,0,0,'Données projet'!$E$15+1,1))</f>
        <v>223.57443551076992</v>
      </c>
      <c r="EP173" s="62">
        <f t="shared" si="154"/>
        <v>382.12751862619427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1.663342016533446</v>
      </c>
      <c r="EW173" s="23">
        <f>EXP(-LN(2)/25)*EW172+(1-EXP(-LN(2)/25))/(LN(2)/25)*Calculateur!ER173*Calculateur!ET173*VLOOKUP('Données projet'!$B$15,Paramètres!$A$1:$I$89,3,0)*0.475*44/12</f>
        <v>0.28617059206760498</v>
      </c>
      <c r="EX173" s="23">
        <f>EXP(-LN(2)/2)*EX172+(1-EXP(-LN(2)/2))/(LN(2)/2)*ER173*EU173*VLOOKUP('Données projet'!$B$15,Paramètres!$A$1:$I$89,3,0)*0.475*44/12</f>
        <v>8.5868790746598324E-21</v>
      </c>
      <c r="EY173" s="24">
        <f t="shared" si="181"/>
        <v>1.949512608601051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283.95543623515323</v>
      </c>
      <c r="FK173" s="62">
        <f t="shared" si="156"/>
        <v>196.96883829830929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5.6843418860808015E-14</v>
      </c>
      <c r="GA173" s="18">
        <f>FZ173*VLOOKUP('Données projet'!$B$17,Paramètres!$A$1:$I$89,3,0)*VLOOKUP('Données projet'!$B$17,Paramètres!$A$1:$I$89,5,0)</f>
        <v>3.3992364478763198E-14</v>
      </c>
      <c r="GB173" s="14">
        <f t="shared" si="185"/>
        <v>5.790027782444094E-13</v>
      </c>
      <c r="GC173" s="22">
        <f t="shared" si="186"/>
        <v>1.0676332069095257E-12</v>
      </c>
      <c r="GD173" s="62">
        <f t="shared" si="134"/>
        <v>288.65398521628697</v>
      </c>
      <c r="GE173" s="62">
        <f ca="1">AVERAGE(OFFSET($GD$3,0,0,'Données projet'!$E$17+1,1))-AVERAGE(OFFSET($H$3,0,0,'Données projet'!$E$17+1,1))</f>
        <v>223.57443551076992</v>
      </c>
      <c r="GF173" s="62">
        <f t="shared" si="158"/>
        <v>382.12751862619427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1.663342016533446</v>
      </c>
      <c r="GM173" s="23">
        <f>EXP(-LN(2)/25)*GM172+(1-EXP(-LN(2)/25))/(LN(2)/25)*Calculateur!GH173*Calculateur!GJ173*VLOOKUP('Données projet'!$B$17,Paramètres!$A$1:$I$89,3,0)*0.475*44/12</f>
        <v>0.28617059206760498</v>
      </c>
      <c r="GN173" s="23">
        <f>EXP(-LN(2)/2)*GN172+(1-EXP(-LN(2)/2))/(LN(2)/2)*GH173*GK173*VLOOKUP('Données projet'!$B$17,Paramètres!$A$1:$I$89,3,0)*0.475*44/12</f>
        <v>8.5868790746598324E-21</v>
      </c>
      <c r="GO173" s="23">
        <f t="shared" si="187"/>
        <v>1.949512608601051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1.5916157281026244E-12</v>
      </c>
      <c r="GV173" s="18">
        <f>GU173*VLOOKUP('Données projet'!$B$18,Paramètres!$A$1:$I$89,3,0)*VLOOKUP('Données projet'!$B$18,Paramètres!$A$1:$I$89,5,0)</f>
        <v>1.7380443750880657E-12</v>
      </c>
      <c r="GW173" s="14">
        <f t="shared" si="188"/>
        <v>1.8727070317424442E-11</v>
      </c>
      <c r="GX173" s="22">
        <f t="shared" si="189"/>
        <v>3.5643408089459281E-11</v>
      </c>
      <c r="GY173" s="62">
        <f t="shared" si="137"/>
        <v>288.65398521632153</v>
      </c>
      <c r="GZ173" s="62">
        <f ca="1">AVERAGE(OFFSET($GY$3,0,0,'Données projet'!$E$18+1,1))-AVERAGE(OFFSET($H$3,0,0,'Données projet'!$E$18+1,1))</f>
        <v>754.33260592777049</v>
      </c>
      <c r="HA173" s="62">
        <f t="shared" si="160"/>
        <v>250.97643915279005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9">
        <f t="shared" si="110"/>
        <v>183.33333333333334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-4.1145540308207271E-13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550.39292625253665</v>
      </c>
      <c r="T174" s="62">
        <f t="shared" si="142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-4.5474735088646412E-13</v>
      </c>
      <c r="AJ174" s="14">
        <f>AI174*VLOOKUP('Données projet'!$B$10,Paramètres!$A$1:$I$89,3,0)*VLOOKUP('Données projet'!$B$10,Paramètres!$A$1:$I$89,5,0)</f>
        <v>-4.6111381379887462E-13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606.55142836375308</v>
      </c>
      <c r="AO174" s="62">
        <f t="shared" si="144"/>
        <v>325.72635759450861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5.1159076974727213E-13</v>
      </c>
      <c r="BE174" s="14">
        <f>BD174*VLOOKUP('Données projet'!$B$11,Paramètres!$A$1:$I$89,3,0)*VLOOKUP('Données projet'!$B$11,Paramètres!$A$1:$I$89,5,0)</f>
        <v>5.3471467253984886E-13</v>
      </c>
      <c r="BF174" s="14">
        <f t="shared" si="167"/>
        <v>6.6087717628803869E-12</v>
      </c>
      <c r="BG174" s="22">
        <f t="shared" si="168"/>
        <v>1.244157220835691E-11</v>
      </c>
      <c r="BH174" s="62">
        <f t="shared" si="116"/>
        <v>288.73516144467396</v>
      </c>
      <c r="BI174" s="62">
        <f ca="1">AVERAGE(OFFSET($BH$3,0,0,'Données projet'!$E$11+1,1))-AVERAGE(OFFSET($H$3,0,0,'Données projet'!$E$11+1,1))</f>
        <v>635.13577238794812</v>
      </c>
      <c r="BJ174" s="62">
        <f t="shared" si="146"/>
        <v>374.35810525172019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-6.8212102632969618E-13</v>
      </c>
      <c r="BZ174" s="14">
        <f>BY174*VLOOKUP('Données projet'!$B$12,Paramètres!$A$1:$I$89,3,0)*VLOOKUP('Données projet'!$B$12,Paramètres!$A$1:$I$89,5,0)</f>
        <v>-3.0149749363772573E-13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580.02817743695846</v>
      </c>
      <c r="CE174" s="62">
        <f t="shared" si="148"/>
        <v>551.23515633208865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3.979039320256561E-13</v>
      </c>
      <c r="CU174" s="18">
        <f>CT174*VLOOKUP('Données projet'!$B$13,Paramètres!$A$1:$I$89,3,0)*VLOOKUP('Données projet'!$B$13,Paramètres!$A$1:$I$89,5,0)</f>
        <v>1.8621904018800707E-13</v>
      </c>
      <c r="CV174" s="14">
        <f t="shared" si="173"/>
        <v>2.6022279988572714E-12</v>
      </c>
      <c r="CW174" s="22">
        <f t="shared" si="174"/>
        <v>4.8565452596705266E-12</v>
      </c>
      <c r="CX174" s="62">
        <f t="shared" si="122"/>
        <v>288.73516144466635</v>
      </c>
      <c r="CY174" s="62">
        <f ca="1">AVERAGE(OFFSET($CX$3,0,0,'Données projet'!$E$13+1,1))-AVERAGE(OFFSET($H$3,0,0,'Données projet'!$E$13+1,1))</f>
        <v>321.05795935196863</v>
      </c>
      <c r="CZ174" s="62">
        <f t="shared" si="150"/>
        <v>209.59551322748908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-4.5474735088646412E-13</v>
      </c>
      <c r="DP174" s="18">
        <f>DO174*VLOOKUP('Données projet'!$B$14,Paramètres!$A$1:$I$89,3,0)*VLOOKUP('Données projet'!$B$14,Paramètres!$A$1:$I$89,5,0)</f>
        <v>-4.8949004849418999E-13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638.58602907610805</v>
      </c>
      <c r="DU174" s="62">
        <f t="shared" si="152"/>
        <v>341.9250949809848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3.3992364478763198E-14</v>
      </c>
      <c r="EL174" s="14">
        <f t="shared" si="179"/>
        <v>5.790027782444094E-13</v>
      </c>
      <c r="EM174" s="22">
        <f t="shared" si="180"/>
        <v>1.0676332069095257E-12</v>
      </c>
      <c r="EN174" s="62">
        <f t="shared" si="128"/>
        <v>288.73516144466259</v>
      </c>
      <c r="EO174" s="62">
        <f ca="1">AVERAGE(OFFSET($EN$3,0,0,'Données projet'!$E$15+1,1))-AVERAGE(OFFSET($H$3,0,0,'Données projet'!$E$15+1,1))</f>
        <v>223.57443551076992</v>
      </c>
      <c r="EP174" s="62">
        <f t="shared" si="154"/>
        <v>382.12751862619427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1.630724894127678</v>
      </c>
      <c r="EW174" s="23">
        <f>EXP(-LN(2)/25)*EW173+(1-EXP(-LN(2)/25))/(LN(2)/25)*Calculateur!ER174*Calculateur!ET174*VLOOKUP('Données projet'!$B$15,Paramètres!$A$1:$I$89,3,0)*0.475*44/12</f>
        <v>0.27834524217845896</v>
      </c>
      <c r="EX174" s="23">
        <f>EXP(-LN(2)/2)*EX173+(1-EXP(-LN(2)/2))/(LN(2)/2)*ER174*EU174*VLOOKUP('Données projet'!$B$15,Paramètres!$A$1:$I$89,3,0)*0.475*44/12</f>
        <v>6.0718404229208339E-21</v>
      </c>
      <c r="EY174" s="24">
        <f t="shared" si="181"/>
        <v>1.9090701363061369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283.95543623515323</v>
      </c>
      <c r="FK174" s="62">
        <f t="shared" si="156"/>
        <v>196.96883829830929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5.6843418860808015E-14</v>
      </c>
      <c r="GA174" s="18">
        <f>FZ174*VLOOKUP('Données projet'!$B$17,Paramètres!$A$1:$I$89,3,0)*VLOOKUP('Données projet'!$B$17,Paramètres!$A$1:$I$89,5,0)</f>
        <v>3.3992364478763198E-14</v>
      </c>
      <c r="GB174" s="14">
        <f t="shared" si="185"/>
        <v>5.790027782444094E-13</v>
      </c>
      <c r="GC174" s="22">
        <f t="shared" si="186"/>
        <v>1.0676332069095257E-12</v>
      </c>
      <c r="GD174" s="62">
        <f t="shared" si="134"/>
        <v>288.73516144466259</v>
      </c>
      <c r="GE174" s="62">
        <f ca="1">AVERAGE(OFFSET($GD$3,0,0,'Données projet'!$E$17+1,1))-AVERAGE(OFFSET($H$3,0,0,'Données projet'!$E$17+1,1))</f>
        <v>223.57443551076992</v>
      </c>
      <c r="GF174" s="62">
        <f t="shared" si="158"/>
        <v>382.12751862619427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1.630724894127678</v>
      </c>
      <c r="GM174" s="23">
        <f>EXP(-LN(2)/25)*GM173+(1-EXP(-LN(2)/25))/(LN(2)/25)*Calculateur!GH174*Calculateur!GJ174*VLOOKUP('Données projet'!$B$17,Paramètres!$A$1:$I$89,3,0)*0.475*44/12</f>
        <v>0.27834524217845896</v>
      </c>
      <c r="GN174" s="23">
        <f>EXP(-LN(2)/2)*GN173+(1-EXP(-LN(2)/2))/(LN(2)/2)*GH174*GK174*VLOOKUP('Données projet'!$B$17,Paramètres!$A$1:$I$89,3,0)*0.475*44/12</f>
        <v>6.0718404229208339E-21</v>
      </c>
      <c r="GO174" s="23">
        <f t="shared" si="187"/>
        <v>1.9090701363061369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1.5916157281026244E-12</v>
      </c>
      <c r="GV174" s="18">
        <f>GU174*VLOOKUP('Données projet'!$B$18,Paramètres!$A$1:$I$89,3,0)*VLOOKUP('Données projet'!$B$18,Paramètres!$A$1:$I$89,5,0)</f>
        <v>1.7380443750880657E-12</v>
      </c>
      <c r="GW174" s="14">
        <f t="shared" si="188"/>
        <v>1.8727070317424442E-11</v>
      </c>
      <c r="GX174" s="22">
        <f t="shared" si="189"/>
        <v>3.5643408089459281E-11</v>
      </c>
      <c r="GY174" s="62">
        <f t="shared" si="137"/>
        <v>288.73516144469716</v>
      </c>
      <c r="GZ174" s="62">
        <f ca="1">AVERAGE(OFFSET($GY$3,0,0,'Données projet'!$E$18+1,1))-AVERAGE(OFFSET($H$3,0,0,'Données projet'!$E$18+1,1))</f>
        <v>754.33260592777049</v>
      </c>
      <c r="HA174" s="62">
        <f t="shared" si="160"/>
        <v>250.97643915279005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9">
        <f t="shared" si="110"/>
        <v>183.33333333333334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-4.1145540308207271E-13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550.39292625253665</v>
      </c>
      <c r="T175" s="62">
        <f t="shared" si="142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-4.5474735088646412E-13</v>
      </c>
      <c r="AJ175" s="14">
        <f>AI175*VLOOKUP('Données projet'!$B$10,Paramètres!$A$1:$I$89,3,0)*VLOOKUP('Données projet'!$B$10,Paramètres!$A$1:$I$89,5,0)</f>
        <v>-4.6111381379887462E-13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606.55142836375308</v>
      </c>
      <c r="AO175" s="62">
        <f t="shared" si="144"/>
        <v>325.72635759450861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5.1159076974727213E-13</v>
      </c>
      <c r="BE175" s="14">
        <f>BD175*VLOOKUP('Données projet'!$B$11,Paramètres!$A$1:$I$89,3,0)*VLOOKUP('Données projet'!$B$11,Paramètres!$A$1:$I$89,5,0)</f>
        <v>5.3471467253984886E-13</v>
      </c>
      <c r="BF175" s="14">
        <f t="shared" si="167"/>
        <v>6.6087717628803869E-12</v>
      </c>
      <c r="BG175" s="22">
        <f t="shared" si="168"/>
        <v>1.244157220835691E-11</v>
      </c>
      <c r="BH175" s="62">
        <f t="shared" si="116"/>
        <v>288.8149294469701</v>
      </c>
      <c r="BI175" s="62">
        <f ca="1">AVERAGE(OFFSET($BH$3,0,0,'Données projet'!$E$11+1,1))-AVERAGE(OFFSET($H$3,0,0,'Données projet'!$E$11+1,1))</f>
        <v>635.13577238794812</v>
      </c>
      <c r="BJ175" s="62">
        <f t="shared" si="146"/>
        <v>374.35810525172019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-6.8212102632969618E-13</v>
      </c>
      <c r="BZ175" s="14">
        <f>BY175*VLOOKUP('Données projet'!$B$12,Paramètres!$A$1:$I$89,3,0)*VLOOKUP('Données projet'!$B$12,Paramètres!$A$1:$I$89,5,0)</f>
        <v>-3.0149749363772573E-13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580.02817743695846</v>
      </c>
      <c r="CE175" s="62">
        <f t="shared" si="148"/>
        <v>551.23515633208865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3.979039320256561E-13</v>
      </c>
      <c r="CU175" s="18">
        <f>CT175*VLOOKUP('Données projet'!$B$13,Paramètres!$A$1:$I$89,3,0)*VLOOKUP('Données projet'!$B$13,Paramètres!$A$1:$I$89,5,0)</f>
        <v>1.8621904018800707E-13</v>
      </c>
      <c r="CV175" s="14">
        <f t="shared" si="173"/>
        <v>2.6022279988572714E-12</v>
      </c>
      <c r="CW175" s="22">
        <f t="shared" si="174"/>
        <v>4.8565452596705266E-12</v>
      </c>
      <c r="CX175" s="62">
        <f t="shared" si="122"/>
        <v>288.81492944696248</v>
      </c>
      <c r="CY175" s="62">
        <f ca="1">AVERAGE(OFFSET($CX$3,0,0,'Données projet'!$E$13+1,1))-AVERAGE(OFFSET($H$3,0,0,'Données projet'!$E$13+1,1))</f>
        <v>321.05795935196863</v>
      </c>
      <c r="CZ175" s="62">
        <f t="shared" si="150"/>
        <v>209.59551322748908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-4.5474735088646412E-13</v>
      </c>
      <c r="DP175" s="18">
        <f>DO175*VLOOKUP('Données projet'!$B$14,Paramètres!$A$1:$I$89,3,0)*VLOOKUP('Données projet'!$B$14,Paramètres!$A$1:$I$89,5,0)</f>
        <v>-4.8949004849418999E-13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638.58602907610805</v>
      </c>
      <c r="DU175" s="62">
        <f t="shared" si="152"/>
        <v>341.9250949809848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3.3992364478763198E-14</v>
      </c>
      <c r="EL175" s="14">
        <f t="shared" si="179"/>
        <v>5.790027782444094E-13</v>
      </c>
      <c r="EM175" s="22">
        <f t="shared" si="180"/>
        <v>1.0676332069095257E-12</v>
      </c>
      <c r="EN175" s="62">
        <f t="shared" si="128"/>
        <v>288.81492944695873</v>
      </c>
      <c r="EO175" s="62">
        <f ca="1">AVERAGE(OFFSET($EN$3,0,0,'Données projet'!$E$15+1,1))-AVERAGE(OFFSET($H$3,0,0,'Données projet'!$E$15+1,1))</f>
        <v>223.57443551076992</v>
      </c>
      <c r="EP175" s="62">
        <f t="shared" si="154"/>
        <v>382.12751862619427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1.5987473735978066</v>
      </c>
      <c r="EW175" s="23">
        <f>EXP(-LN(2)/25)*EW174+(1-EXP(-LN(2)/25))/(LN(2)/25)*Calculateur!ER175*Calculateur!ET175*VLOOKUP('Données projet'!$B$15,Paramètres!$A$1:$I$89,3,0)*0.475*44/12</f>
        <v>0.27073387689354889</v>
      </c>
      <c r="EX175" s="23">
        <f>EXP(-LN(2)/2)*EX174+(1-EXP(-LN(2)/2))/(LN(2)/2)*ER175*EU175*VLOOKUP('Données projet'!$B$15,Paramètres!$A$1:$I$89,3,0)*0.475*44/12</f>
        <v>4.2934395373299162E-21</v>
      </c>
      <c r="EY175" s="24">
        <f t="shared" si="181"/>
        <v>1.8694812504913556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283.95543623515323</v>
      </c>
      <c r="FK175" s="62">
        <f t="shared" si="156"/>
        <v>196.96883829830929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5.6843418860808015E-14</v>
      </c>
      <c r="GA175" s="18">
        <f>FZ175*VLOOKUP('Données projet'!$B$17,Paramètres!$A$1:$I$89,3,0)*VLOOKUP('Données projet'!$B$17,Paramètres!$A$1:$I$89,5,0)</f>
        <v>3.3992364478763198E-14</v>
      </c>
      <c r="GB175" s="14">
        <f t="shared" si="185"/>
        <v>5.790027782444094E-13</v>
      </c>
      <c r="GC175" s="22">
        <f t="shared" si="186"/>
        <v>1.0676332069095257E-12</v>
      </c>
      <c r="GD175" s="62">
        <f t="shared" si="134"/>
        <v>288.81492944695873</v>
      </c>
      <c r="GE175" s="62">
        <f ca="1">AVERAGE(OFFSET($GD$3,0,0,'Données projet'!$E$17+1,1))-AVERAGE(OFFSET($H$3,0,0,'Données projet'!$E$17+1,1))</f>
        <v>223.57443551076992</v>
      </c>
      <c r="GF175" s="62">
        <f t="shared" si="158"/>
        <v>382.12751862619427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1.5987473735978066</v>
      </c>
      <c r="GM175" s="23">
        <f>EXP(-LN(2)/25)*GM174+(1-EXP(-LN(2)/25))/(LN(2)/25)*Calculateur!GH175*Calculateur!GJ175*VLOOKUP('Données projet'!$B$17,Paramètres!$A$1:$I$89,3,0)*0.475*44/12</f>
        <v>0.27073387689354889</v>
      </c>
      <c r="GN175" s="23">
        <f>EXP(-LN(2)/2)*GN174+(1-EXP(-LN(2)/2))/(LN(2)/2)*GH175*GK175*VLOOKUP('Données projet'!$B$17,Paramètres!$A$1:$I$89,3,0)*0.475*44/12</f>
        <v>4.2934395373299162E-21</v>
      </c>
      <c r="GO175" s="23">
        <f t="shared" si="187"/>
        <v>1.8694812504913556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1.5916157281026244E-12</v>
      </c>
      <c r="GV175" s="18">
        <f>GU175*VLOOKUP('Données projet'!$B$18,Paramètres!$A$1:$I$89,3,0)*VLOOKUP('Données projet'!$B$18,Paramètres!$A$1:$I$89,5,0)</f>
        <v>1.7380443750880657E-12</v>
      </c>
      <c r="GW175" s="14">
        <f t="shared" si="188"/>
        <v>1.8727070317424442E-11</v>
      </c>
      <c r="GX175" s="22">
        <f t="shared" si="189"/>
        <v>3.5643408089459281E-11</v>
      </c>
      <c r="GY175" s="62">
        <f t="shared" si="137"/>
        <v>288.81492944699329</v>
      </c>
      <c r="GZ175" s="62">
        <f ca="1">AVERAGE(OFFSET($GY$3,0,0,'Données projet'!$E$18+1,1))-AVERAGE(OFFSET($H$3,0,0,'Données projet'!$E$18+1,1))</f>
        <v>754.33260592777049</v>
      </c>
      <c r="HA175" s="62">
        <f t="shared" si="160"/>
        <v>250.97643915279005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9">
        <f t="shared" si="110"/>
        <v>183.33333333333334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-4.1145540308207271E-13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550.39292625253665</v>
      </c>
      <c r="T176" s="62">
        <f t="shared" si="142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-4.5474735088646412E-13</v>
      </c>
      <c r="AJ176" s="14">
        <f>AI176*VLOOKUP('Données projet'!$B$10,Paramètres!$A$1:$I$89,3,0)*VLOOKUP('Données projet'!$B$10,Paramètres!$A$1:$I$89,5,0)</f>
        <v>-4.6111381379887462E-13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606.55142836375308</v>
      </c>
      <c r="AO176" s="62">
        <f t="shared" si="144"/>
        <v>325.72635759450861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5.1159076974727213E-13</v>
      </c>
      <c r="BE176" s="14">
        <f>BD176*VLOOKUP('Données projet'!$B$11,Paramètres!$A$1:$I$89,3,0)*VLOOKUP('Données projet'!$B$11,Paramètres!$A$1:$I$89,5,0)</f>
        <v>5.3471467253984886E-13</v>
      </c>
      <c r="BF176" s="14">
        <f t="shared" si="167"/>
        <v>6.6087717628803869E-12</v>
      </c>
      <c r="BG176" s="22">
        <f t="shared" si="168"/>
        <v>1.244157220835691E-11</v>
      </c>
      <c r="BH176" s="62">
        <f t="shared" si="116"/>
        <v>288.89331365276092</v>
      </c>
      <c r="BI176" s="62">
        <f ca="1">AVERAGE(OFFSET($BH$3,0,0,'Données projet'!$E$11+1,1))-AVERAGE(OFFSET($H$3,0,0,'Données projet'!$E$11+1,1))</f>
        <v>635.13577238794812</v>
      </c>
      <c r="BJ176" s="62">
        <f t="shared" si="146"/>
        <v>374.35810525172019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-6.8212102632969618E-13</v>
      </c>
      <c r="BZ176" s="14">
        <f>BY176*VLOOKUP('Données projet'!$B$12,Paramètres!$A$1:$I$89,3,0)*VLOOKUP('Données projet'!$B$12,Paramètres!$A$1:$I$89,5,0)</f>
        <v>-3.0149749363772573E-13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580.02817743695846</v>
      </c>
      <c r="CE176" s="62">
        <f t="shared" si="148"/>
        <v>551.23515633208865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3.979039320256561E-13</v>
      </c>
      <c r="CU176" s="18">
        <f>CT176*VLOOKUP('Données projet'!$B$13,Paramètres!$A$1:$I$89,3,0)*VLOOKUP('Données projet'!$B$13,Paramètres!$A$1:$I$89,5,0)</f>
        <v>1.8621904018800707E-13</v>
      </c>
      <c r="CV176" s="14">
        <f t="shared" si="173"/>
        <v>2.6022279988572714E-12</v>
      </c>
      <c r="CW176" s="22">
        <f t="shared" si="174"/>
        <v>4.8565452596705266E-12</v>
      </c>
      <c r="CX176" s="62">
        <f t="shared" si="122"/>
        <v>288.89331365275331</v>
      </c>
      <c r="CY176" s="62">
        <f ca="1">AVERAGE(OFFSET($CX$3,0,0,'Données projet'!$E$13+1,1))-AVERAGE(OFFSET($H$3,0,0,'Données projet'!$E$13+1,1))</f>
        <v>321.05795935196863</v>
      </c>
      <c r="CZ176" s="62">
        <f t="shared" si="150"/>
        <v>209.59551322748908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-4.5474735088646412E-13</v>
      </c>
      <c r="DP176" s="18">
        <f>DO176*VLOOKUP('Données projet'!$B$14,Paramètres!$A$1:$I$89,3,0)*VLOOKUP('Données projet'!$B$14,Paramètres!$A$1:$I$89,5,0)</f>
        <v>-4.8949004849418999E-13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638.58602907610805</v>
      </c>
      <c r="DU176" s="62">
        <f t="shared" si="152"/>
        <v>341.9250949809848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3.3992364478763198E-14</v>
      </c>
      <c r="EL176" s="14">
        <f t="shared" si="179"/>
        <v>5.790027782444094E-13</v>
      </c>
      <c r="EM176" s="22">
        <f t="shared" si="180"/>
        <v>1.0676332069095257E-12</v>
      </c>
      <c r="EN176" s="62">
        <f t="shared" si="128"/>
        <v>288.89331365274955</v>
      </c>
      <c r="EO176" s="62">
        <f ca="1">AVERAGE(OFFSET($EN$3,0,0,'Données projet'!$E$15+1,1))-AVERAGE(OFFSET($H$3,0,0,'Données projet'!$E$15+1,1))</f>
        <v>223.57443551076992</v>
      </c>
      <c r="EP176" s="62">
        <f t="shared" si="154"/>
        <v>382.12751862619427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1.5673969127411644</v>
      </c>
      <c r="EW176" s="23">
        <f>EXP(-LN(2)/25)*EW175+(1-EXP(-LN(2)/25))/(LN(2)/25)*Calculateur!ER176*Calculateur!ET176*VLOOKUP('Données projet'!$B$15,Paramètres!$A$1:$I$89,3,0)*0.475*44/12</f>
        <v>0.26333064479261897</v>
      </c>
      <c r="EX176" s="23">
        <f>EXP(-LN(2)/2)*EX175+(1-EXP(-LN(2)/2))/(LN(2)/2)*ER176*EU176*VLOOKUP('Données projet'!$B$15,Paramètres!$A$1:$I$89,3,0)*0.475*44/12</f>
        <v>3.0359202114604169E-21</v>
      </c>
      <c r="EY176" s="24">
        <f t="shared" si="181"/>
        <v>1.8307275575337834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283.95543623515323</v>
      </c>
      <c r="FK176" s="62">
        <f t="shared" si="156"/>
        <v>196.96883829830929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5.6843418860808015E-14</v>
      </c>
      <c r="GA176" s="18">
        <f>FZ176*VLOOKUP('Données projet'!$B$17,Paramètres!$A$1:$I$89,3,0)*VLOOKUP('Données projet'!$B$17,Paramètres!$A$1:$I$89,5,0)</f>
        <v>3.3992364478763198E-14</v>
      </c>
      <c r="GB176" s="14">
        <f t="shared" si="185"/>
        <v>5.790027782444094E-13</v>
      </c>
      <c r="GC176" s="22">
        <f t="shared" si="186"/>
        <v>1.0676332069095257E-12</v>
      </c>
      <c r="GD176" s="62">
        <f t="shared" si="134"/>
        <v>288.89331365274955</v>
      </c>
      <c r="GE176" s="62">
        <f ca="1">AVERAGE(OFFSET($GD$3,0,0,'Données projet'!$E$17+1,1))-AVERAGE(OFFSET($H$3,0,0,'Données projet'!$E$17+1,1))</f>
        <v>223.57443551076992</v>
      </c>
      <c r="GF176" s="62">
        <f t="shared" si="158"/>
        <v>382.12751862619427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1.5673969127411644</v>
      </c>
      <c r="GM176" s="23">
        <f>EXP(-LN(2)/25)*GM175+(1-EXP(-LN(2)/25))/(LN(2)/25)*Calculateur!GH176*Calculateur!GJ176*VLOOKUP('Données projet'!$B$17,Paramètres!$A$1:$I$89,3,0)*0.475*44/12</f>
        <v>0.26333064479261897</v>
      </c>
      <c r="GN176" s="23">
        <f>EXP(-LN(2)/2)*GN175+(1-EXP(-LN(2)/2))/(LN(2)/2)*GH176*GK176*VLOOKUP('Données projet'!$B$17,Paramètres!$A$1:$I$89,3,0)*0.475*44/12</f>
        <v>3.0359202114604169E-21</v>
      </c>
      <c r="GO176" s="23">
        <f t="shared" si="187"/>
        <v>1.8307275575337834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1.5916157281026244E-12</v>
      </c>
      <c r="GV176" s="18">
        <f>GU176*VLOOKUP('Données projet'!$B$18,Paramètres!$A$1:$I$89,3,0)*VLOOKUP('Données projet'!$B$18,Paramètres!$A$1:$I$89,5,0)</f>
        <v>1.7380443750880657E-12</v>
      </c>
      <c r="GW176" s="14">
        <f t="shared" si="188"/>
        <v>1.8727070317424442E-11</v>
      </c>
      <c r="GX176" s="22">
        <f t="shared" si="189"/>
        <v>3.5643408089459281E-11</v>
      </c>
      <c r="GY176" s="62">
        <f t="shared" si="137"/>
        <v>288.89331365278412</v>
      </c>
      <c r="GZ176" s="62">
        <f ca="1">AVERAGE(OFFSET($GY$3,0,0,'Données projet'!$E$18+1,1))-AVERAGE(OFFSET($H$3,0,0,'Données projet'!$E$18+1,1))</f>
        <v>754.33260592777049</v>
      </c>
      <c r="HA176" s="62">
        <f t="shared" si="160"/>
        <v>250.97643915279005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9">
        <f t="shared" si="110"/>
        <v>183.33333333333334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-4.1145540308207271E-13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550.39292625253665</v>
      </c>
      <c r="T177" s="62">
        <f t="shared" si="142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-4.5474735088646412E-13</v>
      </c>
      <c r="AJ177" s="14">
        <f>AI177*VLOOKUP('Données projet'!$B$10,Paramètres!$A$1:$I$89,3,0)*VLOOKUP('Données projet'!$B$10,Paramètres!$A$1:$I$89,5,0)</f>
        <v>-4.6111381379887462E-13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606.55142836375308</v>
      </c>
      <c r="AO177" s="62">
        <f t="shared" si="144"/>
        <v>325.72635759450861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5.1159076974727213E-13</v>
      </c>
      <c r="BE177" s="14">
        <f>BD177*VLOOKUP('Données projet'!$B$11,Paramètres!$A$1:$I$89,3,0)*VLOOKUP('Données projet'!$B$11,Paramètres!$A$1:$I$89,5,0)</f>
        <v>5.3471467253984886E-13</v>
      </c>
      <c r="BF177" s="14">
        <f t="shared" si="167"/>
        <v>6.6087717628803869E-12</v>
      </c>
      <c r="BG177" s="22">
        <f t="shared" si="168"/>
        <v>1.244157220835691E-11</v>
      </c>
      <c r="BH177" s="62">
        <f t="shared" si="116"/>
        <v>288.97033806782218</v>
      </c>
      <c r="BI177" s="62">
        <f ca="1">AVERAGE(OFFSET($BH$3,0,0,'Données projet'!$E$11+1,1))-AVERAGE(OFFSET($H$3,0,0,'Données projet'!$E$11+1,1))</f>
        <v>635.13577238794812</v>
      </c>
      <c r="BJ177" s="62">
        <f t="shared" si="146"/>
        <v>374.35810525172019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-6.8212102632969618E-13</v>
      </c>
      <c r="BZ177" s="14">
        <f>BY177*VLOOKUP('Données projet'!$B$12,Paramètres!$A$1:$I$89,3,0)*VLOOKUP('Données projet'!$B$12,Paramètres!$A$1:$I$89,5,0)</f>
        <v>-3.0149749363772573E-13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580.02817743695846</v>
      </c>
      <c r="CE177" s="62">
        <f t="shared" si="148"/>
        <v>551.23515633208865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3.979039320256561E-13</v>
      </c>
      <c r="CU177" s="18">
        <f>CT177*VLOOKUP('Données projet'!$B$13,Paramètres!$A$1:$I$89,3,0)*VLOOKUP('Données projet'!$B$13,Paramètres!$A$1:$I$89,5,0)</f>
        <v>1.8621904018800707E-13</v>
      </c>
      <c r="CV177" s="14">
        <f t="shared" si="173"/>
        <v>2.6022279988572714E-12</v>
      </c>
      <c r="CW177" s="22">
        <f t="shared" si="174"/>
        <v>4.8565452596705266E-12</v>
      </c>
      <c r="CX177" s="62">
        <f t="shared" si="122"/>
        <v>288.97033806781457</v>
      </c>
      <c r="CY177" s="62">
        <f ca="1">AVERAGE(OFFSET($CX$3,0,0,'Données projet'!$E$13+1,1))-AVERAGE(OFFSET($H$3,0,0,'Données projet'!$E$13+1,1))</f>
        <v>321.05795935196863</v>
      </c>
      <c r="CZ177" s="62">
        <f t="shared" si="150"/>
        <v>209.59551322748908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-4.5474735088646412E-13</v>
      </c>
      <c r="DP177" s="18">
        <f>DO177*VLOOKUP('Données projet'!$B$14,Paramètres!$A$1:$I$89,3,0)*VLOOKUP('Données projet'!$B$14,Paramètres!$A$1:$I$89,5,0)</f>
        <v>-4.8949004849418999E-13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638.58602907610805</v>
      </c>
      <c r="DU177" s="62">
        <f t="shared" si="152"/>
        <v>341.9250949809848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3.3992364478763198E-14</v>
      </c>
      <c r="EL177" s="14">
        <f t="shared" si="179"/>
        <v>5.790027782444094E-13</v>
      </c>
      <c r="EM177" s="22">
        <f t="shared" si="180"/>
        <v>1.0676332069095257E-12</v>
      </c>
      <c r="EN177" s="62">
        <f t="shared" si="128"/>
        <v>288.97033806781081</v>
      </c>
      <c r="EO177" s="62">
        <f ca="1">AVERAGE(OFFSET($EN$3,0,0,'Données projet'!$E$15+1,1))-AVERAGE(OFFSET($H$3,0,0,'Données projet'!$E$15+1,1))</f>
        <v>223.57443551076992</v>
      </c>
      <c r="EP177" s="62">
        <f t="shared" si="154"/>
        <v>382.12751862619427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1.5366612153000281</v>
      </c>
      <c r="EW177" s="23">
        <f>EXP(-LN(2)/25)*EW176+(1-EXP(-LN(2)/25))/(LN(2)/25)*Calculateur!ER177*Calculateur!ET177*VLOOKUP('Données projet'!$B$15,Paramètres!$A$1:$I$89,3,0)*0.475*44/12</f>
        <v>0.25612985446280806</v>
      </c>
      <c r="EX177" s="23">
        <f>EXP(-LN(2)/2)*EX176+(1-EXP(-LN(2)/2))/(LN(2)/2)*ER177*EU177*VLOOKUP('Données projet'!$B$15,Paramètres!$A$1:$I$89,3,0)*0.475*44/12</f>
        <v>2.1467197686649581E-21</v>
      </c>
      <c r="EY177" s="24">
        <f t="shared" si="181"/>
        <v>1.7927910697628362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283.95543623515323</v>
      </c>
      <c r="FK177" s="62">
        <f t="shared" si="156"/>
        <v>196.96883829830929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5.6843418860808015E-14</v>
      </c>
      <c r="GA177" s="18">
        <f>FZ177*VLOOKUP('Données projet'!$B$17,Paramètres!$A$1:$I$89,3,0)*VLOOKUP('Données projet'!$B$17,Paramètres!$A$1:$I$89,5,0)</f>
        <v>3.3992364478763198E-14</v>
      </c>
      <c r="GB177" s="14">
        <f t="shared" si="185"/>
        <v>5.790027782444094E-13</v>
      </c>
      <c r="GC177" s="22">
        <f t="shared" si="186"/>
        <v>1.0676332069095257E-12</v>
      </c>
      <c r="GD177" s="62">
        <f t="shared" si="134"/>
        <v>288.97033806781081</v>
      </c>
      <c r="GE177" s="62">
        <f ca="1">AVERAGE(OFFSET($GD$3,0,0,'Données projet'!$E$17+1,1))-AVERAGE(OFFSET($H$3,0,0,'Données projet'!$E$17+1,1))</f>
        <v>223.57443551076992</v>
      </c>
      <c r="GF177" s="62">
        <f t="shared" si="158"/>
        <v>382.12751862619427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1.5366612153000281</v>
      </c>
      <c r="GM177" s="23">
        <f>EXP(-LN(2)/25)*GM176+(1-EXP(-LN(2)/25))/(LN(2)/25)*Calculateur!GH177*Calculateur!GJ177*VLOOKUP('Données projet'!$B$17,Paramètres!$A$1:$I$89,3,0)*0.475*44/12</f>
        <v>0.25612985446280806</v>
      </c>
      <c r="GN177" s="23">
        <f>EXP(-LN(2)/2)*GN176+(1-EXP(-LN(2)/2))/(LN(2)/2)*GH177*GK177*VLOOKUP('Données projet'!$B$17,Paramètres!$A$1:$I$89,3,0)*0.475*44/12</f>
        <v>2.1467197686649581E-21</v>
      </c>
      <c r="GO177" s="23">
        <f t="shared" si="187"/>
        <v>1.7927910697628362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1.5916157281026244E-12</v>
      </c>
      <c r="GV177" s="18">
        <f>GU177*VLOOKUP('Données projet'!$B$18,Paramètres!$A$1:$I$89,3,0)*VLOOKUP('Données projet'!$B$18,Paramètres!$A$1:$I$89,5,0)</f>
        <v>1.7380443750880657E-12</v>
      </c>
      <c r="GW177" s="14">
        <f t="shared" si="188"/>
        <v>1.8727070317424442E-11</v>
      </c>
      <c r="GX177" s="22">
        <f t="shared" si="189"/>
        <v>3.5643408089459281E-11</v>
      </c>
      <c r="GY177" s="62">
        <f t="shared" si="137"/>
        <v>288.97033806784538</v>
      </c>
      <c r="GZ177" s="62">
        <f ca="1">AVERAGE(OFFSET($GY$3,0,0,'Données projet'!$E$18+1,1))-AVERAGE(OFFSET($H$3,0,0,'Données projet'!$E$18+1,1))</f>
        <v>754.33260592777049</v>
      </c>
      <c r="HA177" s="62">
        <f t="shared" si="160"/>
        <v>250.97643915279005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9">
        <f t="shared" si="110"/>
        <v>183.33333333333334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-4.1145540308207271E-13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550.39292625253665</v>
      </c>
      <c r="T178" s="62">
        <f t="shared" si="142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-4.5474735088646412E-13</v>
      </c>
      <c r="AJ178" s="14">
        <f>AI178*VLOOKUP('Données projet'!$B$10,Paramètres!$A$1:$I$89,3,0)*VLOOKUP('Données projet'!$B$10,Paramètres!$A$1:$I$89,5,0)</f>
        <v>-4.6111381379887462E-13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606.55142836375308</v>
      </c>
      <c r="AO178" s="62">
        <f t="shared" si="144"/>
        <v>325.72635759450861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5.1159076974727213E-13</v>
      </c>
      <c r="BE178" s="14">
        <f>BD178*VLOOKUP('Données projet'!$B$11,Paramètres!$A$1:$I$89,3,0)*VLOOKUP('Données projet'!$B$11,Paramètres!$A$1:$I$89,5,0)</f>
        <v>5.3471467253984886E-13</v>
      </c>
      <c r="BF178" s="14">
        <f t="shared" si="167"/>
        <v>6.6087717628803869E-12</v>
      </c>
      <c r="BG178" s="22">
        <f t="shared" si="168"/>
        <v>1.244157220835691E-11</v>
      </c>
      <c r="BH178" s="62">
        <f t="shared" si="116"/>
        <v>289.04602628148285</v>
      </c>
      <c r="BI178" s="62">
        <f ca="1">AVERAGE(OFFSET($BH$3,0,0,'Données projet'!$E$11+1,1))-AVERAGE(OFFSET($H$3,0,0,'Données projet'!$E$11+1,1))</f>
        <v>635.13577238794812</v>
      </c>
      <c r="BJ178" s="62">
        <f t="shared" si="146"/>
        <v>374.35810525172019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-6.8212102632969618E-13</v>
      </c>
      <c r="BZ178" s="14">
        <f>BY178*VLOOKUP('Données projet'!$B$12,Paramètres!$A$1:$I$89,3,0)*VLOOKUP('Données projet'!$B$12,Paramètres!$A$1:$I$89,5,0)</f>
        <v>-3.0149749363772573E-13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580.02817743695846</v>
      </c>
      <c r="CE178" s="62">
        <f t="shared" si="148"/>
        <v>551.23515633208865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3.979039320256561E-13</v>
      </c>
      <c r="CU178" s="18">
        <f>CT178*VLOOKUP('Données projet'!$B$13,Paramètres!$A$1:$I$89,3,0)*VLOOKUP('Données projet'!$B$13,Paramètres!$A$1:$I$89,5,0)</f>
        <v>1.8621904018800707E-13</v>
      </c>
      <c r="CV178" s="14">
        <f t="shared" si="173"/>
        <v>2.6022279988572714E-12</v>
      </c>
      <c r="CW178" s="22">
        <f t="shared" si="174"/>
        <v>4.8565452596705266E-12</v>
      </c>
      <c r="CX178" s="62">
        <f t="shared" si="122"/>
        <v>289.04602628147524</v>
      </c>
      <c r="CY178" s="62">
        <f ca="1">AVERAGE(OFFSET($CX$3,0,0,'Données projet'!$E$13+1,1))-AVERAGE(OFFSET($H$3,0,0,'Données projet'!$E$13+1,1))</f>
        <v>321.05795935196863</v>
      </c>
      <c r="CZ178" s="62">
        <f t="shared" si="150"/>
        <v>209.59551322748908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-4.5474735088646412E-13</v>
      </c>
      <c r="DP178" s="18">
        <f>DO178*VLOOKUP('Données projet'!$B$14,Paramètres!$A$1:$I$89,3,0)*VLOOKUP('Données projet'!$B$14,Paramètres!$A$1:$I$89,5,0)</f>
        <v>-4.8949004849418999E-13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638.58602907610805</v>
      </c>
      <c r="DU178" s="62">
        <f t="shared" si="152"/>
        <v>341.9250949809848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3.3992364478763198E-14</v>
      </c>
      <c r="EL178" s="14">
        <f t="shared" si="179"/>
        <v>5.790027782444094E-13</v>
      </c>
      <c r="EM178" s="22">
        <f t="shared" si="180"/>
        <v>1.0676332069095257E-12</v>
      </c>
      <c r="EN178" s="62">
        <f t="shared" si="128"/>
        <v>289.04602628147148</v>
      </c>
      <c r="EO178" s="62">
        <f ca="1">AVERAGE(OFFSET($EN$3,0,0,'Données projet'!$E$15+1,1))-AVERAGE(OFFSET($H$3,0,0,'Données projet'!$E$15+1,1))</f>
        <v>223.57443551076992</v>
      </c>
      <c r="EP178" s="62">
        <f t="shared" si="154"/>
        <v>382.12751862619427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1.506528226138788</v>
      </c>
      <c r="EW178" s="23">
        <f>EXP(-LN(2)/25)*EW177+(1-EXP(-LN(2)/25))/(LN(2)/25)*Calculateur!ER178*Calculateur!ET178*VLOOKUP('Données projet'!$B$15,Paramètres!$A$1:$I$89,3,0)*0.475*44/12</f>
        <v>0.24912597012323892</v>
      </c>
      <c r="EX178" s="23">
        <f>EXP(-LN(2)/2)*EX177+(1-EXP(-LN(2)/2))/(LN(2)/2)*ER178*EU178*VLOOKUP('Données projet'!$B$15,Paramètres!$A$1:$I$89,3,0)*0.475*44/12</f>
        <v>1.5179601057302085E-21</v>
      </c>
      <c r="EY178" s="24">
        <f t="shared" si="181"/>
        <v>1.7556541962620269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283.95543623515323</v>
      </c>
      <c r="FK178" s="62">
        <f t="shared" si="156"/>
        <v>196.96883829830929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5.6843418860808015E-14</v>
      </c>
      <c r="GA178" s="18">
        <f>FZ178*VLOOKUP('Données projet'!$B$17,Paramètres!$A$1:$I$89,3,0)*VLOOKUP('Données projet'!$B$17,Paramètres!$A$1:$I$89,5,0)</f>
        <v>3.3992364478763198E-14</v>
      </c>
      <c r="GB178" s="14">
        <f t="shared" si="185"/>
        <v>5.790027782444094E-13</v>
      </c>
      <c r="GC178" s="22">
        <f t="shared" si="186"/>
        <v>1.0676332069095257E-12</v>
      </c>
      <c r="GD178" s="62">
        <f t="shared" si="134"/>
        <v>289.04602628147148</v>
      </c>
      <c r="GE178" s="62">
        <f ca="1">AVERAGE(OFFSET($GD$3,0,0,'Données projet'!$E$17+1,1))-AVERAGE(OFFSET($H$3,0,0,'Données projet'!$E$17+1,1))</f>
        <v>223.57443551076992</v>
      </c>
      <c r="GF178" s="62">
        <f t="shared" si="158"/>
        <v>382.12751862619427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1.506528226138788</v>
      </c>
      <c r="GM178" s="23">
        <f>EXP(-LN(2)/25)*GM177+(1-EXP(-LN(2)/25))/(LN(2)/25)*Calculateur!GH178*Calculateur!GJ178*VLOOKUP('Données projet'!$B$17,Paramètres!$A$1:$I$89,3,0)*0.475*44/12</f>
        <v>0.24912597012323892</v>
      </c>
      <c r="GN178" s="23">
        <f>EXP(-LN(2)/2)*GN177+(1-EXP(-LN(2)/2))/(LN(2)/2)*GH178*GK178*VLOOKUP('Données projet'!$B$17,Paramètres!$A$1:$I$89,3,0)*0.475*44/12</f>
        <v>1.5179601057302085E-21</v>
      </c>
      <c r="GO178" s="23">
        <f t="shared" si="187"/>
        <v>1.7556541962620269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1.5916157281026244E-12</v>
      </c>
      <c r="GV178" s="18">
        <f>GU178*VLOOKUP('Données projet'!$B$18,Paramètres!$A$1:$I$89,3,0)*VLOOKUP('Données projet'!$B$18,Paramètres!$A$1:$I$89,5,0)</f>
        <v>1.7380443750880657E-12</v>
      </c>
      <c r="GW178" s="14">
        <f t="shared" si="188"/>
        <v>1.8727070317424442E-11</v>
      </c>
      <c r="GX178" s="22">
        <f t="shared" si="189"/>
        <v>3.5643408089459281E-11</v>
      </c>
      <c r="GY178" s="62">
        <f t="shared" si="137"/>
        <v>289.04602628150604</v>
      </c>
      <c r="GZ178" s="62">
        <f ca="1">AVERAGE(OFFSET($GY$3,0,0,'Données projet'!$E$18+1,1))-AVERAGE(OFFSET($H$3,0,0,'Données projet'!$E$18+1,1))</f>
        <v>754.33260592777049</v>
      </c>
      <c r="HA178" s="62">
        <f t="shared" si="160"/>
        <v>250.97643915279005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9">
        <f t="shared" si="110"/>
        <v>183.33333333333334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-4.1145540308207271E-13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550.39292625253665</v>
      </c>
      <c r="T179" s="62">
        <f t="shared" si="142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-4.5474735088646412E-13</v>
      </c>
      <c r="AJ179" s="14">
        <f>AI179*VLOOKUP('Données projet'!$B$10,Paramètres!$A$1:$I$89,3,0)*VLOOKUP('Données projet'!$B$10,Paramètres!$A$1:$I$89,5,0)</f>
        <v>-4.6111381379887462E-13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606.55142836375308</v>
      </c>
      <c r="AO179" s="62">
        <f t="shared" si="144"/>
        <v>325.72635759450861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5.1159076974727213E-13</v>
      </c>
      <c r="BE179" s="14">
        <f>BD179*VLOOKUP('Données projet'!$B$11,Paramètres!$A$1:$I$89,3,0)*VLOOKUP('Données projet'!$B$11,Paramètres!$A$1:$I$89,5,0)</f>
        <v>5.3471467253984886E-13</v>
      </c>
      <c r="BF179" s="14">
        <f t="shared" si="167"/>
        <v>6.6087717628803869E-12</v>
      </c>
      <c r="BG179" s="22">
        <f t="shared" si="168"/>
        <v>1.244157220835691E-11</v>
      </c>
      <c r="BH179" s="62">
        <f t="shared" si="116"/>
        <v>289.12040147385005</v>
      </c>
      <c r="BI179" s="62">
        <f ca="1">AVERAGE(OFFSET($BH$3,0,0,'Données projet'!$E$11+1,1))-AVERAGE(OFFSET($H$3,0,0,'Données projet'!$E$11+1,1))</f>
        <v>635.13577238794812</v>
      </c>
      <c r="BJ179" s="62">
        <f t="shared" si="146"/>
        <v>374.35810525172019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-6.8212102632969618E-13</v>
      </c>
      <c r="BZ179" s="14">
        <f>BY179*VLOOKUP('Données projet'!$B$12,Paramètres!$A$1:$I$89,3,0)*VLOOKUP('Données projet'!$B$12,Paramètres!$A$1:$I$89,5,0)</f>
        <v>-3.0149749363772573E-13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580.02817743695846</v>
      </c>
      <c r="CE179" s="62">
        <f t="shared" si="148"/>
        <v>551.23515633208865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3.979039320256561E-13</v>
      </c>
      <c r="CU179" s="18">
        <f>CT179*VLOOKUP('Données projet'!$B$13,Paramètres!$A$1:$I$89,3,0)*VLOOKUP('Données projet'!$B$13,Paramètres!$A$1:$I$89,5,0)</f>
        <v>1.8621904018800707E-13</v>
      </c>
      <c r="CV179" s="14">
        <f t="shared" si="173"/>
        <v>2.6022279988572714E-12</v>
      </c>
      <c r="CW179" s="22">
        <f t="shared" si="174"/>
        <v>4.8565452596705266E-12</v>
      </c>
      <c r="CX179" s="62">
        <f t="shared" si="122"/>
        <v>289.12040147384243</v>
      </c>
      <c r="CY179" s="62">
        <f ca="1">AVERAGE(OFFSET($CX$3,0,0,'Données projet'!$E$13+1,1))-AVERAGE(OFFSET($H$3,0,0,'Données projet'!$E$13+1,1))</f>
        <v>321.05795935196863</v>
      </c>
      <c r="CZ179" s="62">
        <f t="shared" si="150"/>
        <v>209.59551322748908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-4.5474735088646412E-13</v>
      </c>
      <c r="DP179" s="18">
        <f>DO179*VLOOKUP('Données projet'!$B$14,Paramètres!$A$1:$I$89,3,0)*VLOOKUP('Données projet'!$B$14,Paramètres!$A$1:$I$89,5,0)</f>
        <v>-4.8949004849418999E-13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638.58602907610805</v>
      </c>
      <c r="DU179" s="62">
        <f t="shared" si="152"/>
        <v>341.9250949809848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3.3992364478763198E-14</v>
      </c>
      <c r="EL179" s="14">
        <f t="shared" si="179"/>
        <v>5.790027782444094E-13</v>
      </c>
      <c r="EM179" s="22">
        <f t="shared" si="180"/>
        <v>1.0676332069095257E-12</v>
      </c>
      <c r="EN179" s="62">
        <f t="shared" si="128"/>
        <v>289.12040147383868</v>
      </c>
      <c r="EO179" s="62">
        <f ca="1">AVERAGE(OFFSET($EN$3,0,0,'Données projet'!$E$15+1,1))-AVERAGE(OFFSET($H$3,0,0,'Données projet'!$E$15+1,1))</f>
        <v>223.57443551076992</v>
      </c>
      <c r="EP179" s="62">
        <f t="shared" si="154"/>
        <v>382.12751862619427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1.4769861265156914</v>
      </c>
      <c r="EW179" s="23">
        <f>EXP(-LN(2)/25)*EW178+(1-EXP(-LN(2)/25))/(LN(2)/25)*Calculateur!ER179*Calculateur!ET179*VLOOKUP('Données projet'!$B$15,Paramètres!$A$1:$I$89,3,0)*0.475*44/12</f>
        <v>0.24231360736925356</v>
      </c>
      <c r="EX179" s="23">
        <f>EXP(-LN(2)/2)*EX178+(1-EXP(-LN(2)/2))/(LN(2)/2)*ER179*EU179*VLOOKUP('Données projet'!$B$15,Paramètres!$A$1:$I$89,3,0)*0.475*44/12</f>
        <v>1.073359884332479E-21</v>
      </c>
      <c r="EY179" s="24">
        <f t="shared" si="181"/>
        <v>1.7192997338849449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283.95543623515323</v>
      </c>
      <c r="FK179" s="62">
        <f t="shared" si="156"/>
        <v>196.96883829830929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5.6843418860808015E-14</v>
      </c>
      <c r="GA179" s="18">
        <f>FZ179*VLOOKUP('Données projet'!$B$17,Paramètres!$A$1:$I$89,3,0)*VLOOKUP('Données projet'!$B$17,Paramètres!$A$1:$I$89,5,0)</f>
        <v>3.3992364478763198E-14</v>
      </c>
      <c r="GB179" s="14">
        <f t="shared" si="185"/>
        <v>5.790027782444094E-13</v>
      </c>
      <c r="GC179" s="22">
        <f t="shared" si="186"/>
        <v>1.0676332069095257E-12</v>
      </c>
      <c r="GD179" s="62">
        <f t="shared" si="134"/>
        <v>289.12040147383868</v>
      </c>
      <c r="GE179" s="62">
        <f ca="1">AVERAGE(OFFSET($GD$3,0,0,'Données projet'!$E$17+1,1))-AVERAGE(OFFSET($H$3,0,0,'Données projet'!$E$17+1,1))</f>
        <v>223.57443551076992</v>
      </c>
      <c r="GF179" s="62">
        <f t="shared" si="158"/>
        <v>382.12751862619427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1.4769861265156914</v>
      </c>
      <c r="GM179" s="23">
        <f>EXP(-LN(2)/25)*GM178+(1-EXP(-LN(2)/25))/(LN(2)/25)*Calculateur!GH179*Calculateur!GJ179*VLOOKUP('Données projet'!$B$17,Paramètres!$A$1:$I$89,3,0)*0.475*44/12</f>
        <v>0.24231360736925356</v>
      </c>
      <c r="GN179" s="23">
        <f>EXP(-LN(2)/2)*GN178+(1-EXP(-LN(2)/2))/(LN(2)/2)*GH179*GK179*VLOOKUP('Données projet'!$B$17,Paramètres!$A$1:$I$89,3,0)*0.475*44/12</f>
        <v>1.073359884332479E-21</v>
      </c>
      <c r="GO179" s="23">
        <f t="shared" si="187"/>
        <v>1.7192997338849449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1.5916157281026244E-12</v>
      </c>
      <c r="GV179" s="18">
        <f>GU179*VLOOKUP('Données projet'!$B$18,Paramètres!$A$1:$I$89,3,0)*VLOOKUP('Données projet'!$B$18,Paramètres!$A$1:$I$89,5,0)</f>
        <v>1.7380443750880657E-12</v>
      </c>
      <c r="GW179" s="14">
        <f t="shared" si="188"/>
        <v>1.8727070317424442E-11</v>
      </c>
      <c r="GX179" s="22">
        <f t="shared" si="189"/>
        <v>3.5643408089459281E-11</v>
      </c>
      <c r="GY179" s="62">
        <f t="shared" si="137"/>
        <v>289.12040147387324</v>
      </c>
      <c r="GZ179" s="62">
        <f ca="1">AVERAGE(OFFSET($GY$3,0,0,'Données projet'!$E$18+1,1))-AVERAGE(OFFSET($H$3,0,0,'Données projet'!$E$18+1,1))</f>
        <v>754.33260592777049</v>
      </c>
      <c r="HA179" s="62">
        <f t="shared" si="160"/>
        <v>250.97643915279005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9">
        <f t="shared" si="110"/>
        <v>183.33333333333334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-4.1145540308207271E-13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550.39292625253665</v>
      </c>
      <c r="T180" s="62">
        <f t="shared" si="142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-4.5474735088646412E-13</v>
      </c>
      <c r="AJ180" s="14">
        <f>AI180*VLOOKUP('Données projet'!$B$10,Paramètres!$A$1:$I$89,3,0)*VLOOKUP('Données projet'!$B$10,Paramètres!$A$1:$I$89,5,0)</f>
        <v>-4.6111381379887462E-13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606.55142836375308</v>
      </c>
      <c r="AO180" s="62">
        <f t="shared" si="144"/>
        <v>325.72635759450861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5.1159076974727213E-13</v>
      </c>
      <c r="BE180" s="14">
        <f>BD180*VLOOKUP('Données projet'!$B$11,Paramètres!$A$1:$I$89,3,0)*VLOOKUP('Données projet'!$B$11,Paramètres!$A$1:$I$89,5,0)</f>
        <v>5.3471467253984886E-13</v>
      </c>
      <c r="BF180" s="14">
        <f t="shared" si="167"/>
        <v>6.6087717628803869E-12</v>
      </c>
      <c r="BG180" s="22">
        <f t="shared" si="168"/>
        <v>1.244157220835691E-11</v>
      </c>
      <c r="BH180" s="62">
        <f t="shared" si="116"/>
        <v>289.19348642290771</v>
      </c>
      <c r="BI180" s="62">
        <f ca="1">AVERAGE(OFFSET($BH$3,0,0,'Données projet'!$E$11+1,1))-AVERAGE(OFFSET($H$3,0,0,'Données projet'!$E$11+1,1))</f>
        <v>635.13577238794812</v>
      </c>
      <c r="BJ180" s="62">
        <f t="shared" si="146"/>
        <v>374.35810525172019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-6.8212102632969618E-13</v>
      </c>
      <c r="BZ180" s="14">
        <f>BY180*VLOOKUP('Données projet'!$B$12,Paramètres!$A$1:$I$89,3,0)*VLOOKUP('Données projet'!$B$12,Paramètres!$A$1:$I$89,5,0)</f>
        <v>-3.0149749363772573E-13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580.02817743695846</v>
      </c>
      <c r="CE180" s="62">
        <f t="shared" si="148"/>
        <v>551.23515633208865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3.979039320256561E-13</v>
      </c>
      <c r="CU180" s="18">
        <f>CT180*VLOOKUP('Données projet'!$B$13,Paramètres!$A$1:$I$89,3,0)*VLOOKUP('Données projet'!$B$13,Paramètres!$A$1:$I$89,5,0)</f>
        <v>1.8621904018800707E-13</v>
      </c>
      <c r="CV180" s="14">
        <f t="shared" si="173"/>
        <v>2.6022279988572714E-12</v>
      </c>
      <c r="CW180" s="22">
        <f t="shared" si="174"/>
        <v>4.8565452596705266E-12</v>
      </c>
      <c r="CX180" s="62">
        <f t="shared" si="122"/>
        <v>289.19348642290009</v>
      </c>
      <c r="CY180" s="62">
        <f ca="1">AVERAGE(OFFSET($CX$3,0,0,'Données projet'!$E$13+1,1))-AVERAGE(OFFSET($H$3,0,0,'Données projet'!$E$13+1,1))</f>
        <v>321.05795935196863</v>
      </c>
      <c r="CZ180" s="62">
        <f t="shared" si="150"/>
        <v>209.59551322748908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-4.5474735088646412E-13</v>
      </c>
      <c r="DP180" s="18">
        <f>DO180*VLOOKUP('Données projet'!$B$14,Paramètres!$A$1:$I$89,3,0)*VLOOKUP('Données projet'!$B$14,Paramètres!$A$1:$I$89,5,0)</f>
        <v>-4.8949004849418999E-13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638.58602907610805</v>
      </c>
      <c r="DU180" s="62">
        <f t="shared" si="152"/>
        <v>341.9250949809848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3.3992364478763198E-14</v>
      </c>
      <c r="EL180" s="14">
        <f t="shared" si="179"/>
        <v>5.790027782444094E-13</v>
      </c>
      <c r="EM180" s="22">
        <f t="shared" si="180"/>
        <v>1.0676332069095257E-12</v>
      </c>
      <c r="EN180" s="62">
        <f t="shared" si="128"/>
        <v>289.19348642289634</v>
      </c>
      <c r="EO180" s="62">
        <f ca="1">AVERAGE(OFFSET($EN$3,0,0,'Données projet'!$E$15+1,1))-AVERAGE(OFFSET($H$3,0,0,'Données projet'!$E$15+1,1))</f>
        <v>223.57443551076992</v>
      </c>
      <c r="EP180" s="62">
        <f t="shared" si="154"/>
        <v>382.12751862619427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1.4480233294473022</v>
      </c>
      <c r="EW180" s="23">
        <f>EXP(-LN(2)/25)*EW179+(1-EXP(-LN(2)/25))/(LN(2)/25)*Calculateur!ER180*Calculateur!ET180*VLOOKUP('Données projet'!$B$15,Paramètres!$A$1:$I$89,3,0)*0.475*44/12</f>
        <v>0.23568752903302254</v>
      </c>
      <c r="EX180" s="23">
        <f>EXP(-LN(2)/2)*EX179+(1-EXP(-LN(2)/2))/(LN(2)/2)*ER180*EU180*VLOOKUP('Données projet'!$B$15,Paramètres!$A$1:$I$89,3,0)*0.475*44/12</f>
        <v>7.5898005286510424E-22</v>
      </c>
      <c r="EY180" s="24">
        <f t="shared" si="181"/>
        <v>1.6837108584803246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283.95543623515323</v>
      </c>
      <c r="FK180" s="62">
        <f t="shared" si="156"/>
        <v>196.96883829830929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5.6843418860808015E-14</v>
      </c>
      <c r="GA180" s="18">
        <f>FZ180*VLOOKUP('Données projet'!$B$17,Paramètres!$A$1:$I$89,3,0)*VLOOKUP('Données projet'!$B$17,Paramètres!$A$1:$I$89,5,0)</f>
        <v>3.3992364478763198E-14</v>
      </c>
      <c r="GB180" s="14">
        <f t="shared" si="185"/>
        <v>5.790027782444094E-13</v>
      </c>
      <c r="GC180" s="22">
        <f t="shared" si="186"/>
        <v>1.0676332069095257E-12</v>
      </c>
      <c r="GD180" s="62">
        <f t="shared" si="134"/>
        <v>289.19348642289634</v>
      </c>
      <c r="GE180" s="62">
        <f ca="1">AVERAGE(OFFSET($GD$3,0,0,'Données projet'!$E$17+1,1))-AVERAGE(OFFSET($H$3,0,0,'Données projet'!$E$17+1,1))</f>
        <v>223.57443551076992</v>
      </c>
      <c r="GF180" s="62">
        <f t="shared" si="158"/>
        <v>382.12751862619427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1.4480233294473022</v>
      </c>
      <c r="GM180" s="23">
        <f>EXP(-LN(2)/25)*GM179+(1-EXP(-LN(2)/25))/(LN(2)/25)*Calculateur!GH180*Calculateur!GJ180*VLOOKUP('Données projet'!$B$17,Paramètres!$A$1:$I$89,3,0)*0.475*44/12</f>
        <v>0.23568752903302254</v>
      </c>
      <c r="GN180" s="23">
        <f>EXP(-LN(2)/2)*GN179+(1-EXP(-LN(2)/2))/(LN(2)/2)*GH180*GK180*VLOOKUP('Données projet'!$B$17,Paramètres!$A$1:$I$89,3,0)*0.475*44/12</f>
        <v>7.5898005286510424E-22</v>
      </c>
      <c r="GO180" s="23">
        <f t="shared" si="187"/>
        <v>1.6837108584803246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1.5916157281026244E-12</v>
      </c>
      <c r="GV180" s="18">
        <f>GU180*VLOOKUP('Données projet'!$B$18,Paramètres!$A$1:$I$89,3,0)*VLOOKUP('Données projet'!$B$18,Paramètres!$A$1:$I$89,5,0)</f>
        <v>1.7380443750880657E-12</v>
      </c>
      <c r="GW180" s="14">
        <f t="shared" si="188"/>
        <v>1.8727070317424442E-11</v>
      </c>
      <c r="GX180" s="22">
        <f t="shared" si="189"/>
        <v>3.5643408089459281E-11</v>
      </c>
      <c r="GY180" s="62">
        <f t="shared" si="137"/>
        <v>289.1934864229309</v>
      </c>
      <c r="GZ180" s="62">
        <f ca="1">AVERAGE(OFFSET($GY$3,0,0,'Données projet'!$E$18+1,1))-AVERAGE(OFFSET($H$3,0,0,'Données projet'!$E$18+1,1))</f>
        <v>754.33260592777049</v>
      </c>
      <c r="HA180" s="62">
        <f t="shared" si="160"/>
        <v>250.97643915279005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9">
        <f t="shared" si="110"/>
        <v>183.33333333333334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-4.1145540308207271E-13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550.39292625253665</v>
      </c>
      <c r="T181" s="62">
        <f t="shared" si="142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-4.5474735088646412E-13</v>
      </c>
      <c r="AJ181" s="14">
        <f>AI181*VLOOKUP('Données projet'!$B$10,Paramètres!$A$1:$I$89,3,0)*VLOOKUP('Données projet'!$B$10,Paramètres!$A$1:$I$89,5,0)</f>
        <v>-4.6111381379887462E-13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606.55142836375308</v>
      </c>
      <c r="AO181" s="62">
        <f t="shared" si="144"/>
        <v>325.72635759450861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5.1159076974727213E-13</v>
      </c>
      <c r="BE181" s="14">
        <f>BD181*VLOOKUP('Données projet'!$B$11,Paramètres!$A$1:$I$89,3,0)*VLOOKUP('Données projet'!$B$11,Paramètres!$A$1:$I$89,5,0)</f>
        <v>5.3471467253984886E-13</v>
      </c>
      <c r="BF181" s="14">
        <f t="shared" si="167"/>
        <v>6.6087717628803869E-12</v>
      </c>
      <c r="BG181" s="22">
        <f t="shared" si="168"/>
        <v>1.244157220835691E-11</v>
      </c>
      <c r="BH181" s="62">
        <f t="shared" si="116"/>
        <v>289.26530351149262</v>
      </c>
      <c r="BI181" s="62">
        <f ca="1">AVERAGE(OFFSET($BH$3,0,0,'Données projet'!$E$11+1,1))-AVERAGE(OFFSET($H$3,0,0,'Données projet'!$E$11+1,1))</f>
        <v>635.13577238794812</v>
      </c>
      <c r="BJ181" s="62">
        <f t="shared" si="146"/>
        <v>374.35810525172019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-6.8212102632969618E-13</v>
      </c>
      <c r="BZ181" s="14">
        <f>BY181*VLOOKUP('Données projet'!$B$12,Paramètres!$A$1:$I$89,3,0)*VLOOKUP('Données projet'!$B$12,Paramètres!$A$1:$I$89,5,0)</f>
        <v>-3.0149749363772573E-13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580.02817743695846</v>
      </c>
      <c r="CE181" s="62">
        <f t="shared" si="148"/>
        <v>551.23515633208865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3.979039320256561E-13</v>
      </c>
      <c r="CU181" s="18">
        <f>CT181*VLOOKUP('Données projet'!$B$13,Paramètres!$A$1:$I$89,3,0)*VLOOKUP('Données projet'!$B$13,Paramètres!$A$1:$I$89,5,0)</f>
        <v>1.8621904018800707E-13</v>
      </c>
      <c r="CV181" s="14">
        <f t="shared" si="173"/>
        <v>2.6022279988572714E-12</v>
      </c>
      <c r="CW181" s="22">
        <f t="shared" si="174"/>
        <v>4.8565452596705266E-12</v>
      </c>
      <c r="CX181" s="62">
        <f t="shared" si="122"/>
        <v>289.265303511485</v>
      </c>
      <c r="CY181" s="62">
        <f ca="1">AVERAGE(OFFSET($CX$3,0,0,'Données projet'!$E$13+1,1))-AVERAGE(OFFSET($H$3,0,0,'Données projet'!$E$13+1,1))</f>
        <v>321.05795935196863</v>
      </c>
      <c r="CZ181" s="62">
        <f t="shared" si="150"/>
        <v>209.59551322748908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-4.5474735088646412E-13</v>
      </c>
      <c r="DP181" s="18">
        <f>DO181*VLOOKUP('Données projet'!$B$14,Paramètres!$A$1:$I$89,3,0)*VLOOKUP('Données projet'!$B$14,Paramètres!$A$1:$I$89,5,0)</f>
        <v>-4.8949004849418999E-13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638.58602907610805</v>
      </c>
      <c r="DU181" s="62">
        <f t="shared" si="152"/>
        <v>341.9250949809848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3.3992364478763198E-14</v>
      </c>
      <c r="EL181" s="14">
        <f t="shared" si="179"/>
        <v>5.790027782444094E-13</v>
      </c>
      <c r="EM181" s="22">
        <f t="shared" si="180"/>
        <v>1.0676332069095257E-12</v>
      </c>
      <c r="EN181" s="62">
        <f t="shared" si="128"/>
        <v>289.26530351148125</v>
      </c>
      <c r="EO181" s="62">
        <f ca="1">AVERAGE(OFFSET($EN$3,0,0,'Données projet'!$E$15+1,1))-AVERAGE(OFFSET($H$3,0,0,'Données projet'!$E$15+1,1))</f>
        <v>223.57443551076992</v>
      </c>
      <c r="EP181" s="62">
        <f t="shared" si="154"/>
        <v>382.12751862619427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1.4196284751638621</v>
      </c>
      <c r="EW181" s="23">
        <f>EXP(-LN(2)/25)*EW180+(1-EXP(-LN(2)/25))/(LN(2)/25)*Calculateur!ER181*Calculateur!ET181*VLOOKUP('Données projet'!$B$15,Paramètres!$A$1:$I$89,3,0)*0.475*44/12</f>
        <v>0.22924264115734605</v>
      </c>
      <c r="EX181" s="23">
        <f>EXP(-LN(2)/2)*EX180+(1-EXP(-LN(2)/2))/(LN(2)/2)*ER181*EU181*VLOOKUP('Données projet'!$B$15,Paramètres!$A$1:$I$89,3,0)*0.475*44/12</f>
        <v>5.3667994216623952E-22</v>
      </c>
      <c r="EY181" s="24">
        <f t="shared" si="181"/>
        <v>1.6488711163212082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283.95543623515323</v>
      </c>
      <c r="FK181" s="62">
        <f t="shared" si="156"/>
        <v>196.96883829830929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5.6843418860808015E-14</v>
      </c>
      <c r="GA181" s="18">
        <f>FZ181*VLOOKUP('Données projet'!$B$17,Paramètres!$A$1:$I$89,3,0)*VLOOKUP('Données projet'!$B$17,Paramètres!$A$1:$I$89,5,0)</f>
        <v>3.3992364478763198E-14</v>
      </c>
      <c r="GB181" s="14">
        <f t="shared" si="185"/>
        <v>5.790027782444094E-13</v>
      </c>
      <c r="GC181" s="22">
        <f t="shared" si="186"/>
        <v>1.0676332069095257E-12</v>
      </c>
      <c r="GD181" s="62">
        <f t="shared" si="134"/>
        <v>289.26530351148125</v>
      </c>
      <c r="GE181" s="62">
        <f ca="1">AVERAGE(OFFSET($GD$3,0,0,'Données projet'!$E$17+1,1))-AVERAGE(OFFSET($H$3,0,0,'Données projet'!$E$17+1,1))</f>
        <v>223.57443551076992</v>
      </c>
      <c r="GF181" s="62">
        <f t="shared" si="158"/>
        <v>382.12751862619427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1.4196284751638621</v>
      </c>
      <c r="GM181" s="23">
        <f>EXP(-LN(2)/25)*GM180+(1-EXP(-LN(2)/25))/(LN(2)/25)*Calculateur!GH181*Calculateur!GJ181*VLOOKUP('Données projet'!$B$17,Paramètres!$A$1:$I$89,3,0)*0.475*44/12</f>
        <v>0.22924264115734605</v>
      </c>
      <c r="GN181" s="23">
        <f>EXP(-LN(2)/2)*GN180+(1-EXP(-LN(2)/2))/(LN(2)/2)*GH181*GK181*VLOOKUP('Données projet'!$B$17,Paramètres!$A$1:$I$89,3,0)*0.475*44/12</f>
        <v>5.3667994216623952E-22</v>
      </c>
      <c r="GO181" s="23">
        <f t="shared" si="187"/>
        <v>1.6488711163212082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1.5916157281026244E-12</v>
      </c>
      <c r="GV181" s="18">
        <f>GU181*VLOOKUP('Données projet'!$B$18,Paramètres!$A$1:$I$89,3,0)*VLOOKUP('Données projet'!$B$18,Paramètres!$A$1:$I$89,5,0)</f>
        <v>1.7380443750880657E-12</v>
      </c>
      <c r="GW181" s="14">
        <f t="shared" si="188"/>
        <v>1.8727070317424442E-11</v>
      </c>
      <c r="GX181" s="22">
        <f t="shared" si="189"/>
        <v>3.5643408089459281E-11</v>
      </c>
      <c r="GY181" s="62">
        <f t="shared" si="137"/>
        <v>289.26530351151581</v>
      </c>
      <c r="GZ181" s="62">
        <f ca="1">AVERAGE(OFFSET($GY$3,0,0,'Données projet'!$E$18+1,1))-AVERAGE(OFFSET($H$3,0,0,'Données projet'!$E$18+1,1))</f>
        <v>754.33260592777049</v>
      </c>
      <c r="HA181" s="62">
        <f t="shared" si="160"/>
        <v>250.97643915279005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9">
        <f t="shared" si="110"/>
        <v>183.33333333333334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-4.1145540308207271E-13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550.39292625253665</v>
      </c>
      <c r="T182" s="62">
        <f t="shared" si="142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-4.5474735088646412E-13</v>
      </c>
      <c r="AJ182" s="14">
        <f>AI182*VLOOKUP('Données projet'!$B$10,Paramètres!$A$1:$I$89,3,0)*VLOOKUP('Données projet'!$B$10,Paramètres!$A$1:$I$89,5,0)</f>
        <v>-4.6111381379887462E-13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606.55142836375308</v>
      </c>
      <c r="AO182" s="62">
        <f t="shared" si="144"/>
        <v>325.72635759450861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5.1159076974727213E-13</v>
      </c>
      <c r="BE182" s="14">
        <f>BD182*VLOOKUP('Données projet'!$B$11,Paramètres!$A$1:$I$89,3,0)*VLOOKUP('Données projet'!$B$11,Paramètres!$A$1:$I$89,5,0)</f>
        <v>5.3471467253984886E-13</v>
      </c>
      <c r="BF182" s="14">
        <f t="shared" si="167"/>
        <v>6.6087717628803869E-12</v>
      </c>
      <c r="BG182" s="22">
        <f t="shared" si="168"/>
        <v>1.244157220835691E-11</v>
      </c>
      <c r="BH182" s="62">
        <f t="shared" si="116"/>
        <v>289.33587473414957</v>
      </c>
      <c r="BI182" s="62">
        <f ca="1">AVERAGE(OFFSET($BH$3,0,0,'Données projet'!$E$11+1,1))-AVERAGE(OFFSET($H$3,0,0,'Données projet'!$E$11+1,1))</f>
        <v>635.13577238794812</v>
      </c>
      <c r="BJ182" s="62">
        <f t="shared" si="146"/>
        <v>374.35810525172019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-6.8212102632969618E-13</v>
      </c>
      <c r="BZ182" s="14">
        <f>BY182*VLOOKUP('Données projet'!$B$12,Paramètres!$A$1:$I$89,3,0)*VLOOKUP('Données projet'!$B$12,Paramètres!$A$1:$I$89,5,0)</f>
        <v>-3.0149749363772573E-13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580.02817743695846</v>
      </c>
      <c r="CE182" s="62">
        <f t="shared" si="148"/>
        <v>551.23515633208865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3.979039320256561E-13</v>
      </c>
      <c r="CU182" s="18">
        <f>CT182*VLOOKUP('Données projet'!$B$13,Paramètres!$A$1:$I$89,3,0)*VLOOKUP('Données projet'!$B$13,Paramètres!$A$1:$I$89,5,0)</f>
        <v>1.8621904018800707E-13</v>
      </c>
      <c r="CV182" s="14">
        <f t="shared" si="173"/>
        <v>2.6022279988572714E-12</v>
      </c>
      <c r="CW182" s="22">
        <f t="shared" si="174"/>
        <v>4.8565452596705266E-12</v>
      </c>
      <c r="CX182" s="62">
        <f t="shared" si="122"/>
        <v>289.33587473414195</v>
      </c>
      <c r="CY182" s="62">
        <f ca="1">AVERAGE(OFFSET($CX$3,0,0,'Données projet'!$E$13+1,1))-AVERAGE(OFFSET($H$3,0,0,'Données projet'!$E$13+1,1))</f>
        <v>321.05795935196863</v>
      </c>
      <c r="CZ182" s="62">
        <f t="shared" si="150"/>
        <v>209.59551322748908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-4.5474735088646412E-13</v>
      </c>
      <c r="DP182" s="18">
        <f>DO182*VLOOKUP('Données projet'!$B$14,Paramètres!$A$1:$I$89,3,0)*VLOOKUP('Données projet'!$B$14,Paramètres!$A$1:$I$89,5,0)</f>
        <v>-4.8949004849418999E-13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638.58602907610805</v>
      </c>
      <c r="DU182" s="62">
        <f t="shared" si="152"/>
        <v>341.9250949809848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3.3992364478763198E-14</v>
      </c>
      <c r="EL182" s="14">
        <f t="shared" si="179"/>
        <v>5.790027782444094E-13</v>
      </c>
      <c r="EM182" s="22">
        <f t="shared" si="180"/>
        <v>1.0676332069095257E-12</v>
      </c>
      <c r="EN182" s="62">
        <f t="shared" si="128"/>
        <v>289.3358747341382</v>
      </c>
      <c r="EO182" s="62">
        <f ca="1">AVERAGE(OFFSET($EN$3,0,0,'Données projet'!$E$15+1,1))-AVERAGE(OFFSET($H$3,0,0,'Données projet'!$E$15+1,1))</f>
        <v>223.57443551076992</v>
      </c>
      <c r="EP182" s="62">
        <f t="shared" si="154"/>
        <v>382.12751862619427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1.3917904266537693</v>
      </c>
      <c r="EW182" s="23">
        <f>EXP(-LN(2)/25)*EW181+(1-EXP(-LN(2)/25))/(LN(2)/25)*Calculateur!ER182*Calculateur!ET182*VLOOKUP('Données projet'!$B$15,Paramètres!$A$1:$I$89,3,0)*0.475*44/12</f>
        <v>0.22297398907955188</v>
      </c>
      <c r="EX182" s="23">
        <f>EXP(-LN(2)/2)*EX181+(1-EXP(-LN(2)/2))/(LN(2)/2)*ER182*EU182*VLOOKUP('Données projet'!$B$15,Paramètres!$A$1:$I$89,3,0)*0.475*44/12</f>
        <v>3.7949002643255212E-22</v>
      </c>
      <c r="EY182" s="24">
        <f t="shared" si="181"/>
        <v>1.6147644157333212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283.95543623515323</v>
      </c>
      <c r="FK182" s="62">
        <f t="shared" si="156"/>
        <v>196.96883829830929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5.6843418860808015E-14</v>
      </c>
      <c r="GA182" s="18">
        <f>FZ182*VLOOKUP('Données projet'!$B$17,Paramètres!$A$1:$I$89,3,0)*VLOOKUP('Données projet'!$B$17,Paramètres!$A$1:$I$89,5,0)</f>
        <v>3.3992364478763198E-14</v>
      </c>
      <c r="GB182" s="14">
        <f t="shared" si="185"/>
        <v>5.790027782444094E-13</v>
      </c>
      <c r="GC182" s="22">
        <f t="shared" si="186"/>
        <v>1.0676332069095257E-12</v>
      </c>
      <c r="GD182" s="62">
        <f t="shared" si="134"/>
        <v>289.3358747341382</v>
      </c>
      <c r="GE182" s="62">
        <f ca="1">AVERAGE(OFFSET($GD$3,0,0,'Données projet'!$E$17+1,1))-AVERAGE(OFFSET($H$3,0,0,'Données projet'!$E$17+1,1))</f>
        <v>223.57443551076992</v>
      </c>
      <c r="GF182" s="62">
        <f t="shared" si="158"/>
        <v>382.12751862619427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1.3917904266537693</v>
      </c>
      <c r="GM182" s="23">
        <f>EXP(-LN(2)/25)*GM181+(1-EXP(-LN(2)/25))/(LN(2)/25)*Calculateur!GH182*Calculateur!GJ182*VLOOKUP('Données projet'!$B$17,Paramètres!$A$1:$I$89,3,0)*0.475*44/12</f>
        <v>0.22297398907955188</v>
      </c>
      <c r="GN182" s="23">
        <f>EXP(-LN(2)/2)*GN181+(1-EXP(-LN(2)/2))/(LN(2)/2)*GH182*GK182*VLOOKUP('Données projet'!$B$17,Paramètres!$A$1:$I$89,3,0)*0.475*44/12</f>
        <v>3.7949002643255212E-22</v>
      </c>
      <c r="GO182" s="23">
        <f t="shared" si="187"/>
        <v>1.6147644157333212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1.5916157281026244E-12</v>
      </c>
      <c r="GV182" s="18">
        <f>GU182*VLOOKUP('Données projet'!$B$18,Paramètres!$A$1:$I$89,3,0)*VLOOKUP('Données projet'!$B$18,Paramètres!$A$1:$I$89,5,0)</f>
        <v>1.7380443750880657E-12</v>
      </c>
      <c r="GW182" s="14">
        <f t="shared" si="188"/>
        <v>1.8727070317424442E-11</v>
      </c>
      <c r="GX182" s="22">
        <f t="shared" si="189"/>
        <v>3.5643408089459281E-11</v>
      </c>
      <c r="GY182" s="62">
        <f t="shared" si="137"/>
        <v>289.33587473417276</v>
      </c>
      <c r="GZ182" s="62">
        <f ca="1">AVERAGE(OFFSET($GY$3,0,0,'Données projet'!$E$18+1,1))-AVERAGE(OFFSET($H$3,0,0,'Données projet'!$E$18+1,1))</f>
        <v>754.33260592777049</v>
      </c>
      <c r="HA182" s="62">
        <f t="shared" si="160"/>
        <v>250.97643915279005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9">
        <f t="shared" si="110"/>
        <v>183.33333333333334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-4.1145540308207271E-13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550.39292625253665</v>
      </c>
      <c r="T183" s="62">
        <f t="shared" si="142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-4.5474735088646412E-13</v>
      </c>
      <c r="AJ183" s="14">
        <f>AI183*VLOOKUP('Données projet'!$B$10,Paramètres!$A$1:$I$89,3,0)*VLOOKUP('Données projet'!$B$10,Paramètres!$A$1:$I$89,5,0)</f>
        <v>-4.6111381379887462E-13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606.55142836375308</v>
      </c>
      <c r="AO183" s="62">
        <f t="shared" si="144"/>
        <v>325.72635759450861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5.1159076974727213E-13</v>
      </c>
      <c r="BE183" s="14">
        <f>BD183*VLOOKUP('Données projet'!$B$11,Paramètres!$A$1:$I$89,3,0)*VLOOKUP('Données projet'!$B$11,Paramètres!$A$1:$I$89,5,0)</f>
        <v>5.3471467253984886E-13</v>
      </c>
      <c r="BF183" s="14">
        <f t="shared" si="167"/>
        <v>6.6087717628803869E-12</v>
      </c>
      <c r="BG183" s="22">
        <f t="shared" si="168"/>
        <v>1.244157220835691E-11</v>
      </c>
      <c r="BH183" s="62">
        <f t="shared" si="116"/>
        <v>289.40522170386708</v>
      </c>
      <c r="BI183" s="62">
        <f ca="1">AVERAGE(OFFSET($BH$3,0,0,'Données projet'!$E$11+1,1))-AVERAGE(OFFSET($H$3,0,0,'Données projet'!$E$11+1,1))</f>
        <v>635.13577238794812</v>
      </c>
      <c r="BJ183" s="62">
        <f t="shared" si="146"/>
        <v>374.35810525172019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-6.8212102632969618E-13</v>
      </c>
      <c r="BZ183" s="14">
        <f>BY183*VLOOKUP('Données projet'!$B$12,Paramètres!$A$1:$I$89,3,0)*VLOOKUP('Données projet'!$B$12,Paramètres!$A$1:$I$89,5,0)</f>
        <v>-3.0149749363772573E-13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580.02817743695846</v>
      </c>
      <c r="CE183" s="62">
        <f t="shared" si="148"/>
        <v>551.23515633208865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3.979039320256561E-13</v>
      </c>
      <c r="CU183" s="18">
        <f>CT183*VLOOKUP('Données projet'!$B$13,Paramètres!$A$1:$I$89,3,0)*VLOOKUP('Données projet'!$B$13,Paramètres!$A$1:$I$89,5,0)</f>
        <v>1.8621904018800707E-13</v>
      </c>
      <c r="CV183" s="14">
        <f t="shared" si="173"/>
        <v>2.6022279988572714E-12</v>
      </c>
      <c r="CW183" s="22">
        <f t="shared" si="174"/>
        <v>4.8565452596705266E-12</v>
      </c>
      <c r="CX183" s="62">
        <f t="shared" si="122"/>
        <v>289.40522170385947</v>
      </c>
      <c r="CY183" s="62">
        <f ca="1">AVERAGE(OFFSET($CX$3,0,0,'Données projet'!$E$13+1,1))-AVERAGE(OFFSET($H$3,0,0,'Données projet'!$E$13+1,1))</f>
        <v>321.05795935196863</v>
      </c>
      <c r="CZ183" s="62">
        <f t="shared" si="150"/>
        <v>209.59551322748908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-4.5474735088646412E-13</v>
      </c>
      <c r="DP183" s="18">
        <f>DO183*VLOOKUP('Données projet'!$B$14,Paramètres!$A$1:$I$89,3,0)*VLOOKUP('Données projet'!$B$14,Paramètres!$A$1:$I$89,5,0)</f>
        <v>-4.8949004849418999E-13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638.58602907610805</v>
      </c>
      <c r="DU183" s="62">
        <f t="shared" si="152"/>
        <v>341.9250949809848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3.3992364478763198E-14</v>
      </c>
      <c r="EL183" s="14">
        <f t="shared" si="179"/>
        <v>5.790027782444094E-13</v>
      </c>
      <c r="EM183" s="22">
        <f t="shared" si="180"/>
        <v>1.0676332069095257E-12</v>
      </c>
      <c r="EN183" s="62">
        <f t="shared" si="128"/>
        <v>289.40522170385572</v>
      </c>
      <c r="EO183" s="62">
        <f ca="1">AVERAGE(OFFSET($EN$3,0,0,'Données projet'!$E$15+1,1))-AVERAGE(OFFSET($H$3,0,0,'Données projet'!$E$15+1,1))</f>
        <v>223.57443551076992</v>
      </c>
      <c r="EP183" s="62">
        <f t="shared" si="154"/>
        <v>382.12751862619427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1.3644982652954263</v>
      </c>
      <c r="EW183" s="23">
        <f>EXP(-LN(2)/25)*EW182+(1-EXP(-LN(2)/25))/(LN(2)/25)*Calculateur!ER183*Calculateur!ET183*VLOOKUP('Données projet'!$B$15,Paramètres!$A$1:$I$89,3,0)*0.475*44/12</f>
        <v>0.21687675362247905</v>
      </c>
      <c r="EX183" s="23">
        <f>EXP(-LN(2)/2)*EX182+(1-EXP(-LN(2)/2))/(LN(2)/2)*ER183*EU183*VLOOKUP('Données projet'!$B$15,Paramètres!$A$1:$I$89,3,0)*0.475*44/12</f>
        <v>2.6833997108311976E-22</v>
      </c>
      <c r="EY183" s="24">
        <f t="shared" si="181"/>
        <v>1.5813750189179054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283.95543623515323</v>
      </c>
      <c r="FK183" s="62">
        <f t="shared" si="156"/>
        <v>196.96883829830929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5.6843418860808015E-14</v>
      </c>
      <c r="GA183" s="18">
        <f>FZ183*VLOOKUP('Données projet'!$B$17,Paramètres!$A$1:$I$89,3,0)*VLOOKUP('Données projet'!$B$17,Paramètres!$A$1:$I$89,5,0)</f>
        <v>3.3992364478763198E-14</v>
      </c>
      <c r="GB183" s="14">
        <f t="shared" si="185"/>
        <v>5.790027782444094E-13</v>
      </c>
      <c r="GC183" s="22">
        <f t="shared" si="186"/>
        <v>1.0676332069095257E-12</v>
      </c>
      <c r="GD183" s="62">
        <f t="shared" si="134"/>
        <v>289.40522170385572</v>
      </c>
      <c r="GE183" s="62">
        <f ca="1">AVERAGE(OFFSET($GD$3,0,0,'Données projet'!$E$17+1,1))-AVERAGE(OFFSET($H$3,0,0,'Données projet'!$E$17+1,1))</f>
        <v>223.57443551076992</v>
      </c>
      <c r="GF183" s="62">
        <f t="shared" si="158"/>
        <v>382.12751862619427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1.3644982652954263</v>
      </c>
      <c r="GM183" s="23">
        <f>EXP(-LN(2)/25)*GM182+(1-EXP(-LN(2)/25))/(LN(2)/25)*Calculateur!GH183*Calculateur!GJ183*VLOOKUP('Données projet'!$B$17,Paramètres!$A$1:$I$89,3,0)*0.475*44/12</f>
        <v>0.21687675362247905</v>
      </c>
      <c r="GN183" s="23">
        <f>EXP(-LN(2)/2)*GN182+(1-EXP(-LN(2)/2))/(LN(2)/2)*GH183*GK183*VLOOKUP('Données projet'!$B$17,Paramètres!$A$1:$I$89,3,0)*0.475*44/12</f>
        <v>2.6833997108311976E-22</v>
      </c>
      <c r="GO183" s="23">
        <f t="shared" si="187"/>
        <v>1.5813750189179054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1.5916157281026244E-12</v>
      </c>
      <c r="GV183" s="18">
        <f>GU183*VLOOKUP('Données projet'!$B$18,Paramètres!$A$1:$I$89,3,0)*VLOOKUP('Données projet'!$B$18,Paramètres!$A$1:$I$89,5,0)</f>
        <v>1.7380443750880657E-12</v>
      </c>
      <c r="GW183" s="14">
        <f t="shared" si="188"/>
        <v>1.8727070317424442E-11</v>
      </c>
      <c r="GX183" s="22">
        <f t="shared" si="189"/>
        <v>3.5643408089459281E-11</v>
      </c>
      <c r="GY183" s="62">
        <f t="shared" si="137"/>
        <v>289.40522170389028</v>
      </c>
      <c r="GZ183" s="62">
        <f ca="1">AVERAGE(OFFSET($GY$3,0,0,'Données projet'!$E$18+1,1))-AVERAGE(OFFSET($H$3,0,0,'Données projet'!$E$18+1,1))</f>
        <v>754.33260592777049</v>
      </c>
      <c r="HA183" s="62">
        <f t="shared" si="160"/>
        <v>250.97643915279005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9">
        <f t="shared" si="110"/>
        <v>183.33333333333334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-4.1145540308207271E-13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550.39292625253665</v>
      </c>
      <c r="T184" s="62">
        <f t="shared" si="142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-4.5474735088646412E-13</v>
      </c>
      <c r="AJ184" s="14">
        <f>AI184*VLOOKUP('Données projet'!$B$10,Paramètres!$A$1:$I$89,3,0)*VLOOKUP('Données projet'!$B$10,Paramètres!$A$1:$I$89,5,0)</f>
        <v>-4.6111381379887462E-13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606.55142836375308</v>
      </c>
      <c r="AO184" s="62">
        <f t="shared" si="144"/>
        <v>325.72635759450861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5.1159076974727213E-13</v>
      </c>
      <c r="BE184" s="14">
        <f>BD184*VLOOKUP('Données projet'!$B$11,Paramètres!$A$1:$I$89,3,0)*VLOOKUP('Données projet'!$B$11,Paramètres!$A$1:$I$89,5,0)</f>
        <v>5.3471467253984886E-13</v>
      </c>
      <c r="BF184" s="14">
        <f t="shared" si="167"/>
        <v>6.6087717628803869E-12</v>
      </c>
      <c r="BG184" s="22">
        <f t="shared" si="168"/>
        <v>1.244157220835691E-11</v>
      </c>
      <c r="BH184" s="62">
        <f t="shared" si="116"/>
        <v>289.47336565869654</v>
      </c>
      <c r="BI184" s="62">
        <f ca="1">AVERAGE(OFFSET($BH$3,0,0,'Données projet'!$E$11+1,1))-AVERAGE(OFFSET($H$3,0,0,'Données projet'!$E$11+1,1))</f>
        <v>635.13577238794812</v>
      </c>
      <c r="BJ184" s="62">
        <f t="shared" si="146"/>
        <v>374.35810525172019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-6.8212102632969618E-13</v>
      </c>
      <c r="BZ184" s="14">
        <f>BY184*VLOOKUP('Données projet'!$B$12,Paramètres!$A$1:$I$89,3,0)*VLOOKUP('Données projet'!$B$12,Paramètres!$A$1:$I$89,5,0)</f>
        <v>-3.0149749363772573E-13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580.02817743695846</v>
      </c>
      <c r="CE184" s="62">
        <f t="shared" si="148"/>
        <v>551.23515633208865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3.979039320256561E-13</v>
      </c>
      <c r="CU184" s="18">
        <f>CT184*VLOOKUP('Données projet'!$B$13,Paramètres!$A$1:$I$89,3,0)*VLOOKUP('Données projet'!$B$13,Paramètres!$A$1:$I$89,5,0)</f>
        <v>1.8621904018800707E-13</v>
      </c>
      <c r="CV184" s="14">
        <f t="shared" si="173"/>
        <v>2.6022279988572714E-12</v>
      </c>
      <c r="CW184" s="22">
        <f t="shared" si="174"/>
        <v>4.8565452596705266E-12</v>
      </c>
      <c r="CX184" s="62">
        <f t="shared" si="122"/>
        <v>289.47336565868892</v>
      </c>
      <c r="CY184" s="62">
        <f ca="1">AVERAGE(OFFSET($CX$3,0,0,'Données projet'!$E$13+1,1))-AVERAGE(OFFSET($H$3,0,0,'Données projet'!$E$13+1,1))</f>
        <v>321.05795935196863</v>
      </c>
      <c r="CZ184" s="62">
        <f t="shared" si="150"/>
        <v>209.59551322748908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-4.5474735088646412E-13</v>
      </c>
      <c r="DP184" s="18">
        <f>DO184*VLOOKUP('Données projet'!$B$14,Paramètres!$A$1:$I$89,3,0)*VLOOKUP('Données projet'!$B$14,Paramètres!$A$1:$I$89,5,0)</f>
        <v>-4.8949004849418999E-13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638.58602907610805</v>
      </c>
      <c r="DU184" s="62">
        <f t="shared" si="152"/>
        <v>341.9250949809848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3.3992364478763198E-14</v>
      </c>
      <c r="EL184" s="14">
        <f t="shared" si="179"/>
        <v>5.790027782444094E-13</v>
      </c>
      <c r="EM184" s="22">
        <f t="shared" si="180"/>
        <v>1.0676332069095257E-12</v>
      </c>
      <c r="EN184" s="62">
        <f t="shared" si="128"/>
        <v>289.47336565868517</v>
      </c>
      <c r="EO184" s="62">
        <f ca="1">AVERAGE(OFFSET($EN$3,0,0,'Données projet'!$E$15+1,1))-AVERAGE(OFFSET($H$3,0,0,'Données projet'!$E$15+1,1))</f>
        <v>223.57443551076992</v>
      </c>
      <c r="EP184" s="62">
        <f t="shared" si="154"/>
        <v>382.12751862619427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1.3377412865747458</v>
      </c>
      <c r="EW184" s="23">
        <f>EXP(-LN(2)/25)*EW183+(1-EXP(-LN(2)/25))/(LN(2)/25)*Calculateur!ER184*Calculateur!ET184*VLOOKUP('Données projet'!$B$15,Paramètres!$A$1:$I$89,3,0)*0.475*44/12</f>
        <v>0.21094624738961956</v>
      </c>
      <c r="EX184" s="23">
        <f>EXP(-LN(2)/2)*EX183+(1-EXP(-LN(2)/2))/(LN(2)/2)*ER184*EU184*VLOOKUP('Données projet'!$B$15,Paramètres!$A$1:$I$89,3,0)*0.475*44/12</f>
        <v>1.8974501321627606E-22</v>
      </c>
      <c r="EY184" s="24">
        <f t="shared" si="181"/>
        <v>1.5486875339643653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283.95543623515323</v>
      </c>
      <c r="FK184" s="62">
        <f t="shared" si="156"/>
        <v>196.96883829830929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5.6843418860808015E-14</v>
      </c>
      <c r="GA184" s="18">
        <f>FZ184*VLOOKUP('Données projet'!$B$17,Paramètres!$A$1:$I$89,3,0)*VLOOKUP('Données projet'!$B$17,Paramètres!$A$1:$I$89,5,0)</f>
        <v>3.3992364478763198E-14</v>
      </c>
      <c r="GB184" s="14">
        <f t="shared" si="185"/>
        <v>5.790027782444094E-13</v>
      </c>
      <c r="GC184" s="22">
        <f t="shared" si="186"/>
        <v>1.0676332069095257E-12</v>
      </c>
      <c r="GD184" s="62">
        <f t="shared" si="134"/>
        <v>289.47336565868517</v>
      </c>
      <c r="GE184" s="62">
        <f ca="1">AVERAGE(OFFSET($GD$3,0,0,'Données projet'!$E$17+1,1))-AVERAGE(OFFSET($H$3,0,0,'Données projet'!$E$17+1,1))</f>
        <v>223.57443551076992</v>
      </c>
      <c r="GF184" s="62">
        <f t="shared" si="158"/>
        <v>382.12751862619427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1.3377412865747458</v>
      </c>
      <c r="GM184" s="23">
        <f>EXP(-LN(2)/25)*GM183+(1-EXP(-LN(2)/25))/(LN(2)/25)*Calculateur!GH184*Calculateur!GJ184*VLOOKUP('Données projet'!$B$17,Paramètres!$A$1:$I$89,3,0)*0.475*44/12</f>
        <v>0.21094624738961956</v>
      </c>
      <c r="GN184" s="23">
        <f>EXP(-LN(2)/2)*GN183+(1-EXP(-LN(2)/2))/(LN(2)/2)*GH184*GK184*VLOOKUP('Données projet'!$B$17,Paramètres!$A$1:$I$89,3,0)*0.475*44/12</f>
        <v>1.8974501321627606E-22</v>
      </c>
      <c r="GO184" s="23">
        <f t="shared" si="187"/>
        <v>1.5486875339643653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1.5916157281026244E-12</v>
      </c>
      <c r="GV184" s="18">
        <f>GU184*VLOOKUP('Données projet'!$B$18,Paramètres!$A$1:$I$89,3,0)*VLOOKUP('Données projet'!$B$18,Paramètres!$A$1:$I$89,5,0)</f>
        <v>1.7380443750880657E-12</v>
      </c>
      <c r="GW184" s="14">
        <f t="shared" si="188"/>
        <v>1.8727070317424442E-11</v>
      </c>
      <c r="GX184" s="22">
        <f t="shared" si="189"/>
        <v>3.5643408089459281E-11</v>
      </c>
      <c r="GY184" s="62">
        <f t="shared" si="137"/>
        <v>289.47336565871973</v>
      </c>
      <c r="GZ184" s="62">
        <f ca="1">AVERAGE(OFFSET($GY$3,0,0,'Données projet'!$E$18+1,1))-AVERAGE(OFFSET($H$3,0,0,'Données projet'!$E$18+1,1))</f>
        <v>754.33260592777049</v>
      </c>
      <c r="HA184" s="62">
        <f t="shared" si="160"/>
        <v>250.97643915279005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9">
        <f t="shared" si="110"/>
        <v>183.33333333333334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-4.1145540308207271E-13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550.39292625253665</v>
      </c>
      <c r="T185" s="62">
        <f t="shared" si="142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-4.5474735088646412E-13</v>
      </c>
      <c r="AJ185" s="14">
        <f>AI185*VLOOKUP('Données projet'!$B$10,Paramètres!$A$1:$I$89,3,0)*VLOOKUP('Données projet'!$B$10,Paramètres!$A$1:$I$89,5,0)</f>
        <v>-4.6111381379887462E-13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606.55142836375308</v>
      </c>
      <c r="AO185" s="62">
        <f t="shared" si="144"/>
        <v>325.72635759450861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5.1159076974727213E-13</v>
      </c>
      <c r="BE185" s="14">
        <f>BD185*VLOOKUP('Données projet'!$B$11,Paramètres!$A$1:$I$89,3,0)*VLOOKUP('Données projet'!$B$11,Paramètres!$A$1:$I$89,5,0)</f>
        <v>5.3471467253984886E-13</v>
      </c>
      <c r="BF185" s="14">
        <f t="shared" si="167"/>
        <v>6.6087717628803869E-12</v>
      </c>
      <c r="BG185" s="22">
        <f t="shared" si="168"/>
        <v>1.244157220835691E-11</v>
      </c>
      <c r="BH185" s="62">
        <f t="shared" si="116"/>
        <v>289.54032746825686</v>
      </c>
      <c r="BI185" s="62">
        <f ca="1">AVERAGE(OFFSET($BH$3,0,0,'Données projet'!$E$11+1,1))-AVERAGE(OFFSET($H$3,0,0,'Données projet'!$E$11+1,1))</f>
        <v>635.13577238794812</v>
      </c>
      <c r="BJ185" s="62">
        <f t="shared" si="146"/>
        <v>374.35810525172019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-6.8212102632969618E-13</v>
      </c>
      <c r="BZ185" s="14">
        <f>BY185*VLOOKUP('Données projet'!$B$12,Paramètres!$A$1:$I$89,3,0)*VLOOKUP('Données projet'!$B$12,Paramètres!$A$1:$I$89,5,0)</f>
        <v>-3.0149749363772573E-13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580.02817743695846</v>
      </c>
      <c r="CE185" s="62">
        <f t="shared" si="148"/>
        <v>551.23515633208865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3.979039320256561E-13</v>
      </c>
      <c r="CU185" s="18">
        <f>CT185*VLOOKUP('Données projet'!$B$13,Paramètres!$A$1:$I$89,3,0)*VLOOKUP('Données projet'!$B$13,Paramètres!$A$1:$I$89,5,0)</f>
        <v>1.8621904018800707E-13</v>
      </c>
      <c r="CV185" s="14">
        <f t="shared" si="173"/>
        <v>2.6022279988572714E-12</v>
      </c>
      <c r="CW185" s="22">
        <f t="shared" si="174"/>
        <v>4.8565452596705266E-12</v>
      </c>
      <c r="CX185" s="62">
        <f t="shared" si="122"/>
        <v>289.54032746824925</v>
      </c>
      <c r="CY185" s="62">
        <f ca="1">AVERAGE(OFFSET($CX$3,0,0,'Données projet'!$E$13+1,1))-AVERAGE(OFFSET($H$3,0,0,'Données projet'!$E$13+1,1))</f>
        <v>321.05795935196863</v>
      </c>
      <c r="CZ185" s="62">
        <f t="shared" si="150"/>
        <v>209.59551322748908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-4.5474735088646412E-13</v>
      </c>
      <c r="DP185" s="18">
        <f>DO185*VLOOKUP('Données projet'!$B$14,Paramètres!$A$1:$I$89,3,0)*VLOOKUP('Données projet'!$B$14,Paramètres!$A$1:$I$89,5,0)</f>
        <v>-4.8949004849418999E-13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638.58602907610805</v>
      </c>
      <c r="DU185" s="62">
        <f t="shared" si="152"/>
        <v>341.9250949809848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3.3992364478763198E-14</v>
      </c>
      <c r="EL185" s="14">
        <f t="shared" si="179"/>
        <v>5.790027782444094E-13</v>
      </c>
      <c r="EM185" s="22">
        <f t="shared" si="180"/>
        <v>1.0676332069095257E-12</v>
      </c>
      <c r="EN185" s="62">
        <f t="shared" si="128"/>
        <v>289.54032746824549</v>
      </c>
      <c r="EO185" s="62">
        <f ca="1">AVERAGE(OFFSET($EN$3,0,0,'Données projet'!$E$15+1,1))-AVERAGE(OFFSET($H$3,0,0,'Données projet'!$E$15+1,1))</f>
        <v>223.57443551076992</v>
      </c>
      <c r="EP185" s="62">
        <f t="shared" si="154"/>
        <v>382.12751862619427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1.3115089958866324</v>
      </c>
      <c r="EW185" s="23">
        <f>EXP(-LN(2)/25)*EW184+(1-EXP(-LN(2)/25))/(LN(2)/25)*Calculateur!ER185*Calculateur!ET185*VLOOKUP('Données projet'!$B$15,Paramètres!$A$1:$I$89,3,0)*0.475*44/12</f>
        <v>0.20517791116156939</v>
      </c>
      <c r="EX185" s="23">
        <f>EXP(-LN(2)/2)*EX184+(1-EXP(-LN(2)/2))/(LN(2)/2)*ER185*EU185*VLOOKUP('Données projet'!$B$15,Paramètres!$A$1:$I$89,3,0)*0.475*44/12</f>
        <v>1.3416998554155988E-22</v>
      </c>
      <c r="EY185" s="24">
        <f t="shared" si="181"/>
        <v>1.5166869070482019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283.95543623515323</v>
      </c>
      <c r="FK185" s="62">
        <f t="shared" si="156"/>
        <v>196.96883829830929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5.6843418860808015E-14</v>
      </c>
      <c r="GA185" s="18">
        <f>FZ185*VLOOKUP('Données projet'!$B$17,Paramètres!$A$1:$I$89,3,0)*VLOOKUP('Données projet'!$B$17,Paramètres!$A$1:$I$89,5,0)</f>
        <v>3.3992364478763198E-14</v>
      </c>
      <c r="GB185" s="14">
        <f t="shared" si="185"/>
        <v>5.790027782444094E-13</v>
      </c>
      <c r="GC185" s="22">
        <f t="shared" si="186"/>
        <v>1.0676332069095257E-12</v>
      </c>
      <c r="GD185" s="62">
        <f t="shared" si="134"/>
        <v>289.54032746824549</v>
      </c>
      <c r="GE185" s="62">
        <f ca="1">AVERAGE(OFFSET($GD$3,0,0,'Données projet'!$E$17+1,1))-AVERAGE(OFFSET($H$3,0,0,'Données projet'!$E$17+1,1))</f>
        <v>223.57443551076992</v>
      </c>
      <c r="GF185" s="62">
        <f t="shared" si="158"/>
        <v>382.12751862619427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1.3115089958866324</v>
      </c>
      <c r="GM185" s="23">
        <f>EXP(-LN(2)/25)*GM184+(1-EXP(-LN(2)/25))/(LN(2)/25)*Calculateur!GH185*Calculateur!GJ185*VLOOKUP('Données projet'!$B$17,Paramètres!$A$1:$I$89,3,0)*0.475*44/12</f>
        <v>0.20517791116156939</v>
      </c>
      <c r="GN185" s="23">
        <f>EXP(-LN(2)/2)*GN184+(1-EXP(-LN(2)/2))/(LN(2)/2)*GH185*GK185*VLOOKUP('Données projet'!$B$17,Paramètres!$A$1:$I$89,3,0)*0.475*44/12</f>
        <v>1.3416998554155988E-22</v>
      </c>
      <c r="GO185" s="23">
        <f t="shared" si="187"/>
        <v>1.5166869070482019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1.5916157281026244E-12</v>
      </c>
      <c r="GV185" s="18">
        <f>GU185*VLOOKUP('Données projet'!$B$18,Paramètres!$A$1:$I$89,3,0)*VLOOKUP('Données projet'!$B$18,Paramètres!$A$1:$I$89,5,0)</f>
        <v>1.7380443750880657E-12</v>
      </c>
      <c r="GW185" s="14">
        <f t="shared" si="188"/>
        <v>1.8727070317424442E-11</v>
      </c>
      <c r="GX185" s="22">
        <f t="shared" si="189"/>
        <v>3.5643408089459281E-11</v>
      </c>
      <c r="GY185" s="62">
        <f t="shared" si="137"/>
        <v>289.54032746828005</v>
      </c>
      <c r="GZ185" s="62">
        <f ca="1">AVERAGE(OFFSET($GY$3,0,0,'Données projet'!$E$18+1,1))-AVERAGE(OFFSET($H$3,0,0,'Données projet'!$E$18+1,1))</f>
        <v>754.33260592777049</v>
      </c>
      <c r="HA185" s="62">
        <f t="shared" si="160"/>
        <v>250.97643915279005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9">
        <f t="shared" si="110"/>
        <v>183.33333333333334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-4.1145540308207271E-13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550.39292625253665</v>
      </c>
      <c r="T186" s="62">
        <f t="shared" si="142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-4.5474735088646412E-13</v>
      </c>
      <c r="AJ186" s="14">
        <f>AI186*VLOOKUP('Données projet'!$B$10,Paramètres!$A$1:$I$89,3,0)*VLOOKUP('Données projet'!$B$10,Paramètres!$A$1:$I$89,5,0)</f>
        <v>-4.6111381379887462E-13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606.55142836375308</v>
      </c>
      <c r="AO186" s="62">
        <f t="shared" si="144"/>
        <v>325.72635759450861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5.1159076974727213E-13</v>
      </c>
      <c r="BE186" s="14">
        <f>BD186*VLOOKUP('Données projet'!$B$11,Paramètres!$A$1:$I$89,3,0)*VLOOKUP('Données projet'!$B$11,Paramètres!$A$1:$I$89,5,0)</f>
        <v>5.3471467253984886E-13</v>
      </c>
      <c r="BF186" s="14">
        <f t="shared" si="167"/>
        <v>6.6087717628803869E-12</v>
      </c>
      <c r="BG186" s="22">
        <f t="shared" si="168"/>
        <v>1.244157220835691E-11</v>
      </c>
      <c r="BH186" s="62">
        <f t="shared" si="116"/>
        <v>289.60612764012541</v>
      </c>
      <c r="BI186" s="62">
        <f ca="1">AVERAGE(OFFSET($BH$3,0,0,'Données projet'!$E$11+1,1))-AVERAGE(OFFSET($H$3,0,0,'Données projet'!$E$11+1,1))</f>
        <v>635.13577238794812</v>
      </c>
      <c r="BJ186" s="62">
        <f t="shared" si="146"/>
        <v>374.35810525172019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-6.8212102632969618E-13</v>
      </c>
      <c r="BZ186" s="14">
        <f>BY186*VLOOKUP('Données projet'!$B$12,Paramètres!$A$1:$I$89,3,0)*VLOOKUP('Données projet'!$B$12,Paramètres!$A$1:$I$89,5,0)</f>
        <v>-3.0149749363772573E-13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580.02817743695846</v>
      </c>
      <c r="CE186" s="62">
        <f t="shared" si="148"/>
        <v>551.23515633208865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3.979039320256561E-13</v>
      </c>
      <c r="CU186" s="18">
        <f>CT186*VLOOKUP('Données projet'!$B$13,Paramètres!$A$1:$I$89,3,0)*VLOOKUP('Données projet'!$B$13,Paramètres!$A$1:$I$89,5,0)</f>
        <v>1.8621904018800707E-13</v>
      </c>
      <c r="CV186" s="14">
        <f t="shared" si="173"/>
        <v>2.6022279988572714E-12</v>
      </c>
      <c r="CW186" s="22">
        <f t="shared" si="174"/>
        <v>4.8565452596705266E-12</v>
      </c>
      <c r="CX186" s="62">
        <f t="shared" si="122"/>
        <v>289.60612764011779</v>
      </c>
      <c r="CY186" s="62">
        <f ca="1">AVERAGE(OFFSET($CX$3,0,0,'Données projet'!$E$13+1,1))-AVERAGE(OFFSET($H$3,0,0,'Données projet'!$E$13+1,1))</f>
        <v>321.05795935196863</v>
      </c>
      <c r="CZ186" s="62">
        <f t="shared" si="150"/>
        <v>209.59551322748908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-4.5474735088646412E-13</v>
      </c>
      <c r="DP186" s="18">
        <f>DO186*VLOOKUP('Données projet'!$B$14,Paramètres!$A$1:$I$89,3,0)*VLOOKUP('Données projet'!$B$14,Paramètres!$A$1:$I$89,5,0)</f>
        <v>-4.8949004849418999E-13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638.58602907610805</v>
      </c>
      <c r="DU186" s="62">
        <f t="shared" si="152"/>
        <v>341.9250949809848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3.3992364478763198E-14</v>
      </c>
      <c r="EL186" s="14">
        <f t="shared" si="179"/>
        <v>5.790027782444094E-13</v>
      </c>
      <c r="EM186" s="22">
        <f t="shared" si="180"/>
        <v>1.0676332069095257E-12</v>
      </c>
      <c r="EN186" s="62">
        <f t="shared" si="128"/>
        <v>289.60612764011404</v>
      </c>
      <c r="EO186" s="62">
        <f ca="1">AVERAGE(OFFSET($EN$3,0,0,'Données projet'!$E$15+1,1))-AVERAGE(OFFSET($H$3,0,0,'Données projet'!$E$15+1,1))</f>
        <v>223.57443551076992</v>
      </c>
      <c r="EP186" s="62">
        <f t="shared" si="154"/>
        <v>382.12751862619427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1.2857911044187953</v>
      </c>
      <c r="EW186" s="23">
        <f>EXP(-LN(2)/25)*EW185+(1-EXP(-LN(2)/25))/(LN(2)/25)*Calculateur!ER186*Calculateur!ET186*VLOOKUP('Données projet'!$B$15,Paramètres!$A$1:$I$89,3,0)*0.475*44/12</f>
        <v>0.19956731039101885</v>
      </c>
      <c r="EX186" s="23">
        <f>EXP(-LN(2)/2)*EX185+(1-EXP(-LN(2)/2))/(LN(2)/2)*ER186*EU186*VLOOKUP('Données projet'!$B$15,Paramètres!$A$1:$I$89,3,0)*0.475*44/12</f>
        <v>9.487250660813803E-23</v>
      </c>
      <c r="EY186" s="24">
        <f t="shared" si="181"/>
        <v>1.4853584148098142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283.95543623515323</v>
      </c>
      <c r="FK186" s="62">
        <f t="shared" si="156"/>
        <v>196.96883829830929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5.6843418860808015E-14</v>
      </c>
      <c r="GA186" s="18">
        <f>FZ186*VLOOKUP('Données projet'!$B$17,Paramètres!$A$1:$I$89,3,0)*VLOOKUP('Données projet'!$B$17,Paramètres!$A$1:$I$89,5,0)</f>
        <v>3.3992364478763198E-14</v>
      </c>
      <c r="GB186" s="14">
        <f t="shared" si="185"/>
        <v>5.790027782444094E-13</v>
      </c>
      <c r="GC186" s="22">
        <f t="shared" si="186"/>
        <v>1.0676332069095257E-12</v>
      </c>
      <c r="GD186" s="62">
        <f t="shared" si="134"/>
        <v>289.60612764011404</v>
      </c>
      <c r="GE186" s="62">
        <f ca="1">AVERAGE(OFFSET($GD$3,0,0,'Données projet'!$E$17+1,1))-AVERAGE(OFFSET($H$3,0,0,'Données projet'!$E$17+1,1))</f>
        <v>223.57443551076992</v>
      </c>
      <c r="GF186" s="62">
        <f t="shared" si="158"/>
        <v>382.12751862619427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1.2857911044187953</v>
      </c>
      <c r="GM186" s="23">
        <f>EXP(-LN(2)/25)*GM185+(1-EXP(-LN(2)/25))/(LN(2)/25)*Calculateur!GH186*Calculateur!GJ186*VLOOKUP('Données projet'!$B$17,Paramètres!$A$1:$I$89,3,0)*0.475*44/12</f>
        <v>0.19956731039101885</v>
      </c>
      <c r="GN186" s="23">
        <f>EXP(-LN(2)/2)*GN185+(1-EXP(-LN(2)/2))/(LN(2)/2)*GH186*GK186*VLOOKUP('Données projet'!$B$17,Paramètres!$A$1:$I$89,3,0)*0.475*44/12</f>
        <v>9.487250660813803E-23</v>
      </c>
      <c r="GO186" s="23">
        <f t="shared" si="187"/>
        <v>1.4853584148098142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1.5916157281026244E-12</v>
      </c>
      <c r="GV186" s="18">
        <f>GU186*VLOOKUP('Données projet'!$B$18,Paramètres!$A$1:$I$89,3,0)*VLOOKUP('Données projet'!$B$18,Paramètres!$A$1:$I$89,5,0)</f>
        <v>1.7380443750880657E-12</v>
      </c>
      <c r="GW186" s="14">
        <f t="shared" si="188"/>
        <v>1.8727070317424442E-11</v>
      </c>
      <c r="GX186" s="22">
        <f t="shared" si="189"/>
        <v>3.5643408089459281E-11</v>
      </c>
      <c r="GY186" s="62">
        <f t="shared" si="137"/>
        <v>289.6061276401486</v>
      </c>
      <c r="GZ186" s="62">
        <f ca="1">AVERAGE(OFFSET($GY$3,0,0,'Données projet'!$E$18+1,1))-AVERAGE(OFFSET($H$3,0,0,'Données projet'!$E$18+1,1))</f>
        <v>754.33260592777049</v>
      </c>
      <c r="HA186" s="62">
        <f t="shared" si="160"/>
        <v>250.97643915279005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9">
        <f t="shared" si="110"/>
        <v>183.33333333333334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-4.1145540308207271E-13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550.39292625253665</v>
      </c>
      <c r="T187" s="62">
        <f t="shared" si="142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-4.5474735088646412E-13</v>
      </c>
      <c r="AJ187" s="14">
        <f>AI187*VLOOKUP('Données projet'!$B$10,Paramètres!$A$1:$I$89,3,0)*VLOOKUP('Données projet'!$B$10,Paramètres!$A$1:$I$89,5,0)</f>
        <v>-4.6111381379887462E-13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606.55142836375308</v>
      </c>
      <c r="AO187" s="62">
        <f t="shared" si="144"/>
        <v>325.72635759450861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5.1159076974727213E-13</v>
      </c>
      <c r="BE187" s="14">
        <f>BD187*VLOOKUP('Données projet'!$B$11,Paramètres!$A$1:$I$89,3,0)*VLOOKUP('Données projet'!$B$11,Paramètres!$A$1:$I$89,5,0)</f>
        <v>5.3471467253984886E-13</v>
      </c>
      <c r="BF187" s="14">
        <f t="shared" si="167"/>
        <v>6.6087717628803869E-12</v>
      </c>
      <c r="BG187" s="22">
        <f t="shared" si="168"/>
        <v>1.244157220835691E-11</v>
      </c>
      <c r="BH187" s="62">
        <f t="shared" si="116"/>
        <v>289.67078632611918</v>
      </c>
      <c r="BI187" s="62">
        <f ca="1">AVERAGE(OFFSET($BH$3,0,0,'Données projet'!$E$11+1,1))-AVERAGE(OFFSET($H$3,0,0,'Données projet'!$E$11+1,1))</f>
        <v>635.13577238794812</v>
      </c>
      <c r="BJ187" s="62">
        <f t="shared" si="146"/>
        <v>374.35810525172019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-6.8212102632969618E-13</v>
      </c>
      <c r="BZ187" s="14">
        <f>BY187*VLOOKUP('Données projet'!$B$12,Paramètres!$A$1:$I$89,3,0)*VLOOKUP('Données projet'!$B$12,Paramètres!$A$1:$I$89,5,0)</f>
        <v>-3.0149749363772573E-13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580.02817743695846</v>
      </c>
      <c r="CE187" s="62">
        <f t="shared" si="148"/>
        <v>551.23515633208865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3.979039320256561E-13</v>
      </c>
      <c r="CU187" s="18">
        <f>CT187*VLOOKUP('Données projet'!$B$13,Paramètres!$A$1:$I$89,3,0)*VLOOKUP('Données projet'!$B$13,Paramètres!$A$1:$I$89,5,0)</f>
        <v>1.8621904018800707E-13</v>
      </c>
      <c r="CV187" s="14">
        <f t="shared" si="173"/>
        <v>2.6022279988572714E-12</v>
      </c>
      <c r="CW187" s="22">
        <f t="shared" si="174"/>
        <v>4.8565452596705266E-12</v>
      </c>
      <c r="CX187" s="62">
        <f t="shared" si="122"/>
        <v>289.67078632611157</v>
      </c>
      <c r="CY187" s="62">
        <f ca="1">AVERAGE(OFFSET($CX$3,0,0,'Données projet'!$E$13+1,1))-AVERAGE(OFFSET($H$3,0,0,'Données projet'!$E$13+1,1))</f>
        <v>321.05795935196863</v>
      </c>
      <c r="CZ187" s="62">
        <f t="shared" si="150"/>
        <v>209.59551322748908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-4.5474735088646412E-13</v>
      </c>
      <c r="DP187" s="18">
        <f>DO187*VLOOKUP('Données projet'!$B$14,Paramètres!$A$1:$I$89,3,0)*VLOOKUP('Données projet'!$B$14,Paramètres!$A$1:$I$89,5,0)</f>
        <v>-4.8949004849418999E-13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638.58602907610805</v>
      </c>
      <c r="DU187" s="62">
        <f t="shared" si="152"/>
        <v>341.9250949809848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3.3992364478763198E-14</v>
      </c>
      <c r="EL187" s="14">
        <f t="shared" si="179"/>
        <v>5.790027782444094E-13</v>
      </c>
      <c r="EM187" s="22">
        <f t="shared" si="180"/>
        <v>1.0676332069095257E-12</v>
      </c>
      <c r="EN187" s="62">
        <f t="shared" si="128"/>
        <v>289.67078632610782</v>
      </c>
      <c r="EO187" s="62">
        <f ca="1">AVERAGE(OFFSET($EN$3,0,0,'Données projet'!$E$15+1,1))-AVERAGE(OFFSET($H$3,0,0,'Données projet'!$E$15+1,1))</f>
        <v>223.57443551076992</v>
      </c>
      <c r="EP187" s="62">
        <f t="shared" si="154"/>
        <v>382.12751862619427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1.2605775251162776</v>
      </c>
      <c r="EW187" s="23">
        <f>EXP(-LN(2)/25)*EW186+(1-EXP(-LN(2)/25))/(LN(2)/25)*Calculateur!ER187*Calculateur!ET187*VLOOKUP('Données projet'!$B$15,Paramètres!$A$1:$I$89,3,0)*0.475*44/12</f>
        <v>0.19411013179358771</v>
      </c>
      <c r="EX187" s="23">
        <f>EXP(-LN(2)/2)*EX186+(1-EXP(-LN(2)/2))/(LN(2)/2)*ER187*EU187*VLOOKUP('Données projet'!$B$15,Paramètres!$A$1:$I$89,3,0)*0.475*44/12</f>
        <v>6.7084992770779941E-23</v>
      </c>
      <c r="EY187" s="24">
        <f t="shared" si="181"/>
        <v>1.4546876569098655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283.95543623515323</v>
      </c>
      <c r="FK187" s="62">
        <f t="shared" si="156"/>
        <v>196.96883829830929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5.6843418860808015E-14</v>
      </c>
      <c r="GA187" s="18">
        <f>FZ187*VLOOKUP('Données projet'!$B$17,Paramètres!$A$1:$I$89,3,0)*VLOOKUP('Données projet'!$B$17,Paramètres!$A$1:$I$89,5,0)</f>
        <v>3.3992364478763198E-14</v>
      </c>
      <c r="GB187" s="14">
        <f t="shared" si="185"/>
        <v>5.790027782444094E-13</v>
      </c>
      <c r="GC187" s="22">
        <f t="shared" si="186"/>
        <v>1.0676332069095257E-12</v>
      </c>
      <c r="GD187" s="62">
        <f t="shared" si="134"/>
        <v>289.67078632610782</v>
      </c>
      <c r="GE187" s="62">
        <f ca="1">AVERAGE(OFFSET($GD$3,0,0,'Données projet'!$E$17+1,1))-AVERAGE(OFFSET($H$3,0,0,'Données projet'!$E$17+1,1))</f>
        <v>223.57443551076992</v>
      </c>
      <c r="GF187" s="62">
        <f t="shared" si="158"/>
        <v>382.12751862619427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1.2605775251162776</v>
      </c>
      <c r="GM187" s="23">
        <f>EXP(-LN(2)/25)*GM186+(1-EXP(-LN(2)/25))/(LN(2)/25)*Calculateur!GH187*Calculateur!GJ187*VLOOKUP('Données projet'!$B$17,Paramètres!$A$1:$I$89,3,0)*0.475*44/12</f>
        <v>0.19411013179358771</v>
      </c>
      <c r="GN187" s="23">
        <f>EXP(-LN(2)/2)*GN186+(1-EXP(-LN(2)/2))/(LN(2)/2)*GH187*GK187*VLOOKUP('Données projet'!$B$17,Paramètres!$A$1:$I$89,3,0)*0.475*44/12</f>
        <v>6.7084992770779941E-23</v>
      </c>
      <c r="GO187" s="23">
        <f t="shared" si="187"/>
        <v>1.4546876569098655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1.5916157281026244E-12</v>
      </c>
      <c r="GV187" s="18">
        <f>GU187*VLOOKUP('Données projet'!$B$18,Paramètres!$A$1:$I$89,3,0)*VLOOKUP('Données projet'!$B$18,Paramètres!$A$1:$I$89,5,0)</f>
        <v>1.7380443750880657E-12</v>
      </c>
      <c r="GW187" s="14">
        <f t="shared" si="188"/>
        <v>1.8727070317424442E-11</v>
      </c>
      <c r="GX187" s="22">
        <f t="shared" si="189"/>
        <v>3.5643408089459281E-11</v>
      </c>
      <c r="GY187" s="62">
        <f t="shared" si="137"/>
        <v>289.67078632614238</v>
      </c>
      <c r="GZ187" s="62">
        <f ca="1">AVERAGE(OFFSET($GY$3,0,0,'Données projet'!$E$18+1,1))-AVERAGE(OFFSET($H$3,0,0,'Données projet'!$E$18+1,1))</f>
        <v>754.33260592777049</v>
      </c>
      <c r="HA187" s="62">
        <f t="shared" si="160"/>
        <v>250.97643915279005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9">
        <f t="shared" si="110"/>
        <v>183.33333333333334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-4.1145540308207271E-13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550.39292625253665</v>
      </c>
      <c r="T188" s="62">
        <f t="shared" si="142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-4.5474735088646412E-13</v>
      </c>
      <c r="AJ188" s="14">
        <f>AI188*VLOOKUP('Données projet'!$B$10,Paramètres!$A$1:$I$89,3,0)*VLOOKUP('Données projet'!$B$10,Paramètres!$A$1:$I$89,5,0)</f>
        <v>-4.6111381379887462E-13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606.55142836375308</v>
      </c>
      <c r="AO188" s="62">
        <f t="shared" si="144"/>
        <v>325.72635759450861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5.1159076974727213E-13</v>
      </c>
      <c r="BE188" s="14">
        <f>BD188*VLOOKUP('Données projet'!$B$11,Paramètres!$A$1:$I$89,3,0)*VLOOKUP('Données projet'!$B$11,Paramètres!$A$1:$I$89,5,0)</f>
        <v>5.3471467253984886E-13</v>
      </c>
      <c r="BF188" s="14">
        <f t="shared" si="167"/>
        <v>6.6087717628803869E-12</v>
      </c>
      <c r="BG188" s="22">
        <f t="shared" si="168"/>
        <v>1.244157220835691E-11</v>
      </c>
      <c r="BH188" s="62">
        <f t="shared" si="116"/>
        <v>289.73432332846619</v>
      </c>
      <c r="BI188" s="62">
        <f ca="1">AVERAGE(OFFSET($BH$3,0,0,'Données projet'!$E$11+1,1))-AVERAGE(OFFSET($H$3,0,0,'Données projet'!$E$11+1,1))</f>
        <v>635.13577238794812</v>
      </c>
      <c r="BJ188" s="62">
        <f t="shared" si="146"/>
        <v>374.35810525172019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-6.8212102632969618E-13</v>
      </c>
      <c r="BZ188" s="14">
        <f>BY188*VLOOKUP('Données projet'!$B$12,Paramètres!$A$1:$I$89,3,0)*VLOOKUP('Données projet'!$B$12,Paramètres!$A$1:$I$89,5,0)</f>
        <v>-3.0149749363772573E-13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580.02817743695846</v>
      </c>
      <c r="CE188" s="62">
        <f t="shared" si="148"/>
        <v>551.23515633208865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3.979039320256561E-13</v>
      </c>
      <c r="CU188" s="18">
        <f>CT188*VLOOKUP('Données projet'!$B$13,Paramètres!$A$1:$I$89,3,0)*VLOOKUP('Données projet'!$B$13,Paramètres!$A$1:$I$89,5,0)</f>
        <v>1.8621904018800707E-13</v>
      </c>
      <c r="CV188" s="14">
        <f t="shared" si="173"/>
        <v>2.6022279988572714E-12</v>
      </c>
      <c r="CW188" s="22">
        <f t="shared" si="174"/>
        <v>4.8565452596705266E-12</v>
      </c>
      <c r="CX188" s="62">
        <f t="shared" si="122"/>
        <v>289.73432332845857</v>
      </c>
      <c r="CY188" s="62">
        <f ca="1">AVERAGE(OFFSET($CX$3,0,0,'Données projet'!$E$13+1,1))-AVERAGE(OFFSET($H$3,0,0,'Données projet'!$E$13+1,1))</f>
        <v>321.05795935196863</v>
      </c>
      <c r="CZ188" s="62">
        <f t="shared" si="150"/>
        <v>209.59551322748908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-4.5474735088646412E-13</v>
      </c>
      <c r="DP188" s="18">
        <f>DO188*VLOOKUP('Données projet'!$B$14,Paramètres!$A$1:$I$89,3,0)*VLOOKUP('Données projet'!$B$14,Paramètres!$A$1:$I$89,5,0)</f>
        <v>-4.8949004849418999E-13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638.58602907610805</v>
      </c>
      <c r="DU188" s="62">
        <f t="shared" si="152"/>
        <v>341.9250949809848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3.3992364478763198E-14</v>
      </c>
      <c r="EL188" s="14">
        <f t="shared" si="179"/>
        <v>5.790027782444094E-13</v>
      </c>
      <c r="EM188" s="22">
        <f t="shared" si="180"/>
        <v>1.0676332069095257E-12</v>
      </c>
      <c r="EN188" s="62">
        <f t="shared" si="128"/>
        <v>289.73432332845482</v>
      </c>
      <c r="EO188" s="62">
        <f ca="1">AVERAGE(OFFSET($EN$3,0,0,'Données projet'!$E$15+1,1))-AVERAGE(OFFSET($H$3,0,0,'Données projet'!$E$15+1,1))</f>
        <v>223.57443551076992</v>
      </c>
      <c r="EP188" s="62">
        <f t="shared" si="154"/>
        <v>382.12751862619427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1.2358583687251175</v>
      </c>
      <c r="EW188" s="23">
        <f>EXP(-LN(2)/25)*EW187+(1-EXP(-LN(2)/25))/(LN(2)/25)*Calculateur!ER188*Calculateur!ET188*VLOOKUP('Données projet'!$B$15,Paramètres!$A$1:$I$89,3,0)*0.475*44/12</f>
        <v>0.18880218003188387</v>
      </c>
      <c r="EX188" s="23">
        <f>EXP(-LN(2)/2)*EX187+(1-EXP(-LN(2)/2))/(LN(2)/2)*ER188*EU188*VLOOKUP('Données projet'!$B$15,Paramètres!$A$1:$I$89,3,0)*0.475*44/12</f>
        <v>4.7436253304069015E-23</v>
      </c>
      <c r="EY188" s="24">
        <f t="shared" si="181"/>
        <v>1.4246605487570014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283.95543623515323</v>
      </c>
      <c r="FK188" s="62">
        <f t="shared" si="156"/>
        <v>196.96883829830929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5.6843418860808015E-14</v>
      </c>
      <c r="GA188" s="18">
        <f>FZ188*VLOOKUP('Données projet'!$B$17,Paramètres!$A$1:$I$89,3,0)*VLOOKUP('Données projet'!$B$17,Paramètres!$A$1:$I$89,5,0)</f>
        <v>3.3992364478763198E-14</v>
      </c>
      <c r="GB188" s="14">
        <f t="shared" si="185"/>
        <v>5.790027782444094E-13</v>
      </c>
      <c r="GC188" s="22">
        <f t="shared" si="186"/>
        <v>1.0676332069095257E-12</v>
      </c>
      <c r="GD188" s="62">
        <f t="shared" si="134"/>
        <v>289.73432332845482</v>
      </c>
      <c r="GE188" s="62">
        <f ca="1">AVERAGE(OFFSET($GD$3,0,0,'Données projet'!$E$17+1,1))-AVERAGE(OFFSET($H$3,0,0,'Données projet'!$E$17+1,1))</f>
        <v>223.57443551076992</v>
      </c>
      <c r="GF188" s="62">
        <f t="shared" si="158"/>
        <v>382.12751862619427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1.2358583687251175</v>
      </c>
      <c r="GM188" s="23">
        <f>EXP(-LN(2)/25)*GM187+(1-EXP(-LN(2)/25))/(LN(2)/25)*Calculateur!GH188*Calculateur!GJ188*VLOOKUP('Données projet'!$B$17,Paramètres!$A$1:$I$89,3,0)*0.475*44/12</f>
        <v>0.18880218003188387</v>
      </c>
      <c r="GN188" s="23">
        <f>EXP(-LN(2)/2)*GN187+(1-EXP(-LN(2)/2))/(LN(2)/2)*GH188*GK188*VLOOKUP('Données projet'!$B$17,Paramètres!$A$1:$I$89,3,0)*0.475*44/12</f>
        <v>4.7436253304069015E-23</v>
      </c>
      <c r="GO188" s="23">
        <f t="shared" si="187"/>
        <v>1.4246605487570014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1.5916157281026244E-12</v>
      </c>
      <c r="GV188" s="18">
        <f>GU188*VLOOKUP('Données projet'!$B$18,Paramètres!$A$1:$I$89,3,0)*VLOOKUP('Données projet'!$B$18,Paramètres!$A$1:$I$89,5,0)</f>
        <v>1.7380443750880657E-12</v>
      </c>
      <c r="GW188" s="14">
        <f t="shared" si="188"/>
        <v>1.8727070317424442E-11</v>
      </c>
      <c r="GX188" s="22">
        <f t="shared" si="189"/>
        <v>3.5643408089459281E-11</v>
      </c>
      <c r="GY188" s="62">
        <f t="shared" si="137"/>
        <v>289.73432332848938</v>
      </c>
      <c r="GZ188" s="62">
        <f ca="1">AVERAGE(OFFSET($GY$3,0,0,'Données projet'!$E$18+1,1))-AVERAGE(OFFSET($H$3,0,0,'Données projet'!$E$18+1,1))</f>
        <v>754.33260592777049</v>
      </c>
      <c r="HA188" s="62">
        <f t="shared" si="160"/>
        <v>250.97643915279005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9">
        <f t="shared" si="110"/>
        <v>183.33333333333334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-4.1145540308207271E-13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550.39292625253665</v>
      </c>
      <c r="T189" s="62">
        <f t="shared" si="142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-4.5474735088646412E-13</v>
      </c>
      <c r="AJ189" s="14">
        <f>AI189*VLOOKUP('Données projet'!$B$10,Paramètres!$A$1:$I$89,3,0)*VLOOKUP('Données projet'!$B$10,Paramètres!$A$1:$I$89,5,0)</f>
        <v>-4.6111381379887462E-13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606.55142836375308</v>
      </c>
      <c r="AO189" s="62">
        <f t="shared" si="144"/>
        <v>325.72635759450861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5.1159076974727213E-13</v>
      </c>
      <c r="BE189" s="14">
        <f>BD189*VLOOKUP('Données projet'!$B$11,Paramètres!$A$1:$I$89,3,0)*VLOOKUP('Données projet'!$B$11,Paramètres!$A$1:$I$89,5,0)</f>
        <v>5.3471467253984886E-13</v>
      </c>
      <c r="BF189" s="14">
        <f t="shared" si="167"/>
        <v>6.6087717628803869E-12</v>
      </c>
      <c r="BG189" s="22">
        <f t="shared" si="168"/>
        <v>1.244157220835691E-11</v>
      </c>
      <c r="BH189" s="62">
        <f t="shared" si="116"/>
        <v>289.79675810586986</v>
      </c>
      <c r="BI189" s="62">
        <f ca="1">AVERAGE(OFFSET($BH$3,0,0,'Données projet'!$E$11+1,1))-AVERAGE(OFFSET($H$3,0,0,'Données projet'!$E$11+1,1))</f>
        <v>635.13577238794812</v>
      </c>
      <c r="BJ189" s="62">
        <f t="shared" si="146"/>
        <v>374.35810525172019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-6.8212102632969618E-13</v>
      </c>
      <c r="BZ189" s="14">
        <f>BY189*VLOOKUP('Données projet'!$B$12,Paramètres!$A$1:$I$89,3,0)*VLOOKUP('Données projet'!$B$12,Paramètres!$A$1:$I$89,5,0)</f>
        <v>-3.0149749363772573E-13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580.02817743695846</v>
      </c>
      <c r="CE189" s="62">
        <f t="shared" si="148"/>
        <v>551.23515633208865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3.979039320256561E-13</v>
      </c>
      <c r="CU189" s="18">
        <f>CT189*VLOOKUP('Données projet'!$B$13,Paramètres!$A$1:$I$89,3,0)*VLOOKUP('Données projet'!$B$13,Paramètres!$A$1:$I$89,5,0)</f>
        <v>1.8621904018800707E-13</v>
      </c>
      <c r="CV189" s="14">
        <f t="shared" si="173"/>
        <v>2.6022279988572714E-12</v>
      </c>
      <c r="CW189" s="22">
        <f t="shared" si="174"/>
        <v>4.8565452596705266E-12</v>
      </c>
      <c r="CX189" s="62">
        <f t="shared" si="122"/>
        <v>289.79675810586224</v>
      </c>
      <c r="CY189" s="62">
        <f ca="1">AVERAGE(OFFSET($CX$3,0,0,'Données projet'!$E$13+1,1))-AVERAGE(OFFSET($H$3,0,0,'Données projet'!$E$13+1,1))</f>
        <v>321.05795935196863</v>
      </c>
      <c r="CZ189" s="62">
        <f t="shared" si="150"/>
        <v>209.59551322748908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-4.5474735088646412E-13</v>
      </c>
      <c r="DP189" s="18">
        <f>DO189*VLOOKUP('Données projet'!$B$14,Paramètres!$A$1:$I$89,3,0)*VLOOKUP('Données projet'!$B$14,Paramètres!$A$1:$I$89,5,0)</f>
        <v>-4.8949004849418999E-13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638.58602907610805</v>
      </c>
      <c r="DU189" s="62">
        <f t="shared" si="152"/>
        <v>341.9250949809848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3.3992364478763198E-14</v>
      </c>
      <c r="EL189" s="14">
        <f t="shared" si="179"/>
        <v>5.790027782444094E-13</v>
      </c>
      <c r="EM189" s="22">
        <f t="shared" si="180"/>
        <v>1.0676332069095257E-12</v>
      </c>
      <c r="EN189" s="62">
        <f t="shared" si="128"/>
        <v>289.79675810585849</v>
      </c>
      <c r="EO189" s="62">
        <f ca="1">AVERAGE(OFFSET($EN$3,0,0,'Données projet'!$E$15+1,1))-AVERAGE(OFFSET($H$3,0,0,'Données projet'!$E$15+1,1))</f>
        <v>223.57443551076992</v>
      </c>
      <c r="EP189" s="62">
        <f t="shared" si="154"/>
        <v>382.12751862619427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1.2116239399135913</v>
      </c>
      <c r="EW189" s="23">
        <f>EXP(-LN(2)/25)*EW188+(1-EXP(-LN(2)/25))/(LN(2)/25)*Calculateur!ER189*Calculateur!ET189*VLOOKUP('Données projet'!$B$15,Paramètres!$A$1:$I$89,3,0)*0.475*44/12</f>
        <v>0.18363937449023687</v>
      </c>
      <c r="EX189" s="23">
        <f>EXP(-LN(2)/2)*EX188+(1-EXP(-LN(2)/2))/(LN(2)/2)*ER189*EU189*VLOOKUP('Données projet'!$B$15,Paramètres!$A$1:$I$89,3,0)*0.475*44/12</f>
        <v>3.354249638538997E-23</v>
      </c>
      <c r="EY189" s="24">
        <f t="shared" si="181"/>
        <v>1.3952633144038282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283.95543623515323</v>
      </c>
      <c r="FK189" s="62">
        <f t="shared" si="156"/>
        <v>196.96883829830929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5.6843418860808015E-14</v>
      </c>
      <c r="GA189" s="18">
        <f>FZ189*VLOOKUP('Données projet'!$B$17,Paramètres!$A$1:$I$89,3,0)*VLOOKUP('Données projet'!$B$17,Paramètres!$A$1:$I$89,5,0)</f>
        <v>3.3992364478763198E-14</v>
      </c>
      <c r="GB189" s="14">
        <f t="shared" si="185"/>
        <v>5.790027782444094E-13</v>
      </c>
      <c r="GC189" s="22">
        <f t="shared" si="186"/>
        <v>1.0676332069095257E-12</v>
      </c>
      <c r="GD189" s="62">
        <f t="shared" si="134"/>
        <v>289.79675810585849</v>
      </c>
      <c r="GE189" s="62">
        <f ca="1">AVERAGE(OFFSET($GD$3,0,0,'Données projet'!$E$17+1,1))-AVERAGE(OFFSET($H$3,0,0,'Données projet'!$E$17+1,1))</f>
        <v>223.57443551076992</v>
      </c>
      <c r="GF189" s="62">
        <f t="shared" si="158"/>
        <v>382.12751862619427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1.2116239399135913</v>
      </c>
      <c r="GM189" s="23">
        <f>EXP(-LN(2)/25)*GM188+(1-EXP(-LN(2)/25))/(LN(2)/25)*Calculateur!GH189*Calculateur!GJ189*VLOOKUP('Données projet'!$B$17,Paramètres!$A$1:$I$89,3,0)*0.475*44/12</f>
        <v>0.18363937449023687</v>
      </c>
      <c r="GN189" s="23">
        <f>EXP(-LN(2)/2)*GN188+(1-EXP(-LN(2)/2))/(LN(2)/2)*GH189*GK189*VLOOKUP('Données projet'!$B$17,Paramètres!$A$1:$I$89,3,0)*0.475*44/12</f>
        <v>3.354249638538997E-23</v>
      </c>
      <c r="GO189" s="23">
        <f t="shared" si="187"/>
        <v>1.3952633144038282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1.5916157281026244E-12</v>
      </c>
      <c r="GV189" s="18">
        <f>GU189*VLOOKUP('Données projet'!$B$18,Paramètres!$A$1:$I$89,3,0)*VLOOKUP('Données projet'!$B$18,Paramètres!$A$1:$I$89,5,0)</f>
        <v>1.7380443750880657E-12</v>
      </c>
      <c r="GW189" s="14">
        <f t="shared" si="188"/>
        <v>1.8727070317424442E-11</v>
      </c>
      <c r="GX189" s="22">
        <f t="shared" si="189"/>
        <v>3.5643408089459281E-11</v>
      </c>
      <c r="GY189" s="62">
        <f t="shared" si="137"/>
        <v>289.79675810589305</v>
      </c>
      <c r="GZ189" s="62">
        <f ca="1">AVERAGE(OFFSET($GY$3,0,0,'Données projet'!$E$18+1,1))-AVERAGE(OFFSET($H$3,0,0,'Données projet'!$E$18+1,1))</f>
        <v>754.33260592777049</v>
      </c>
      <c r="HA189" s="62">
        <f t="shared" si="160"/>
        <v>250.97643915279005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9">
        <f t="shared" si="110"/>
        <v>183.33333333333334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-4.1145540308207271E-13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550.39292625253665</v>
      </c>
      <c r="T190" s="62">
        <f t="shared" si="142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-4.5474735088646412E-13</v>
      </c>
      <c r="AJ190" s="14">
        <f>AI190*VLOOKUP('Données projet'!$B$10,Paramètres!$A$1:$I$89,3,0)*VLOOKUP('Données projet'!$B$10,Paramètres!$A$1:$I$89,5,0)</f>
        <v>-4.6111381379887462E-13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606.55142836375308</v>
      </c>
      <c r="AO190" s="62">
        <f t="shared" si="144"/>
        <v>325.72635759450861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5.1159076974727213E-13</v>
      </c>
      <c r="BE190" s="14">
        <f>BD190*VLOOKUP('Données projet'!$B$11,Paramètres!$A$1:$I$89,3,0)*VLOOKUP('Données projet'!$B$11,Paramètres!$A$1:$I$89,5,0)</f>
        <v>5.3471467253984886E-13</v>
      </c>
      <c r="BF190" s="14">
        <f t="shared" si="167"/>
        <v>6.6087717628803869E-12</v>
      </c>
      <c r="BG190" s="22">
        <f t="shared" si="168"/>
        <v>1.244157220835691E-11</v>
      </c>
      <c r="BH190" s="62">
        <f t="shared" si="116"/>
        <v>289.85810977946886</v>
      </c>
      <c r="BI190" s="62">
        <f ca="1">AVERAGE(OFFSET($BH$3,0,0,'Données projet'!$E$11+1,1))-AVERAGE(OFFSET($H$3,0,0,'Données projet'!$E$11+1,1))</f>
        <v>635.13577238794812</v>
      </c>
      <c r="BJ190" s="62">
        <f t="shared" si="146"/>
        <v>374.35810525172019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-6.8212102632969618E-13</v>
      </c>
      <c r="BZ190" s="14">
        <f>BY190*VLOOKUP('Données projet'!$B$12,Paramètres!$A$1:$I$89,3,0)*VLOOKUP('Données projet'!$B$12,Paramètres!$A$1:$I$89,5,0)</f>
        <v>-3.0149749363772573E-13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580.02817743695846</v>
      </c>
      <c r="CE190" s="62">
        <f t="shared" si="148"/>
        <v>551.23515633208865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3.979039320256561E-13</v>
      </c>
      <c r="CU190" s="18">
        <f>CT190*VLOOKUP('Données projet'!$B$13,Paramètres!$A$1:$I$89,3,0)*VLOOKUP('Données projet'!$B$13,Paramètres!$A$1:$I$89,5,0)</f>
        <v>1.8621904018800707E-13</v>
      </c>
      <c r="CV190" s="14">
        <f t="shared" si="173"/>
        <v>2.6022279988572714E-12</v>
      </c>
      <c r="CW190" s="22">
        <f t="shared" si="174"/>
        <v>4.8565452596705266E-12</v>
      </c>
      <c r="CX190" s="62">
        <f t="shared" si="122"/>
        <v>289.85810977946124</v>
      </c>
      <c r="CY190" s="62">
        <f ca="1">AVERAGE(OFFSET($CX$3,0,0,'Données projet'!$E$13+1,1))-AVERAGE(OFFSET($H$3,0,0,'Données projet'!$E$13+1,1))</f>
        <v>321.05795935196863</v>
      </c>
      <c r="CZ190" s="62">
        <f t="shared" si="150"/>
        <v>209.59551322748908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-4.5474735088646412E-13</v>
      </c>
      <c r="DP190" s="18">
        <f>DO190*VLOOKUP('Données projet'!$B$14,Paramètres!$A$1:$I$89,3,0)*VLOOKUP('Données projet'!$B$14,Paramètres!$A$1:$I$89,5,0)</f>
        <v>-4.8949004849418999E-13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638.58602907610805</v>
      </c>
      <c r="DU190" s="62">
        <f t="shared" si="152"/>
        <v>341.9250949809848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3.3992364478763198E-14</v>
      </c>
      <c r="EL190" s="14">
        <f t="shared" si="179"/>
        <v>5.790027782444094E-13</v>
      </c>
      <c r="EM190" s="22">
        <f t="shared" si="180"/>
        <v>1.0676332069095257E-12</v>
      </c>
      <c r="EN190" s="62">
        <f t="shared" si="128"/>
        <v>289.85810977945749</v>
      </c>
      <c r="EO190" s="62">
        <f ca="1">AVERAGE(OFFSET($EN$3,0,0,'Données projet'!$E$15+1,1))-AVERAGE(OFFSET($H$3,0,0,'Données projet'!$E$15+1,1))</f>
        <v>223.57443551076992</v>
      </c>
      <c r="EP190" s="62">
        <f t="shared" si="154"/>
        <v>382.12751862619427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1.1878647334695172</v>
      </c>
      <c r="EW190" s="23">
        <f>EXP(-LN(2)/25)*EW189+(1-EXP(-LN(2)/25))/(LN(2)/25)*Calculateur!ER190*Calculateur!ET190*VLOOKUP('Données projet'!$B$15,Paramètres!$A$1:$I$89,3,0)*0.475*44/12</f>
        <v>0.17861774613762635</v>
      </c>
      <c r="EX190" s="23">
        <f>EXP(-LN(2)/2)*EX189+(1-EXP(-LN(2)/2))/(LN(2)/2)*ER190*EU190*VLOOKUP('Données projet'!$B$15,Paramètres!$A$1:$I$89,3,0)*0.475*44/12</f>
        <v>2.3718126652034507E-23</v>
      </c>
      <c r="EY190" s="24">
        <f t="shared" si="181"/>
        <v>1.3664824796071435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283.95543623515323</v>
      </c>
      <c r="FK190" s="62">
        <f t="shared" si="156"/>
        <v>196.96883829830929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5.6843418860808015E-14</v>
      </c>
      <c r="GA190" s="18">
        <f>FZ190*VLOOKUP('Données projet'!$B$17,Paramètres!$A$1:$I$89,3,0)*VLOOKUP('Données projet'!$B$17,Paramètres!$A$1:$I$89,5,0)</f>
        <v>3.3992364478763198E-14</v>
      </c>
      <c r="GB190" s="14">
        <f t="shared" si="185"/>
        <v>5.790027782444094E-13</v>
      </c>
      <c r="GC190" s="22">
        <f t="shared" si="186"/>
        <v>1.0676332069095257E-12</v>
      </c>
      <c r="GD190" s="62">
        <f t="shared" si="134"/>
        <v>289.85810977945749</v>
      </c>
      <c r="GE190" s="62">
        <f ca="1">AVERAGE(OFFSET($GD$3,0,0,'Données projet'!$E$17+1,1))-AVERAGE(OFFSET($H$3,0,0,'Données projet'!$E$17+1,1))</f>
        <v>223.57443551076992</v>
      </c>
      <c r="GF190" s="62">
        <f t="shared" si="158"/>
        <v>382.12751862619427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1.1878647334695172</v>
      </c>
      <c r="GM190" s="23">
        <f>EXP(-LN(2)/25)*GM189+(1-EXP(-LN(2)/25))/(LN(2)/25)*Calculateur!GH190*Calculateur!GJ190*VLOOKUP('Données projet'!$B$17,Paramètres!$A$1:$I$89,3,0)*0.475*44/12</f>
        <v>0.17861774613762635</v>
      </c>
      <c r="GN190" s="23">
        <f>EXP(-LN(2)/2)*GN189+(1-EXP(-LN(2)/2))/(LN(2)/2)*GH190*GK190*VLOOKUP('Données projet'!$B$17,Paramètres!$A$1:$I$89,3,0)*0.475*44/12</f>
        <v>2.3718126652034507E-23</v>
      </c>
      <c r="GO190" s="23">
        <f t="shared" si="187"/>
        <v>1.3664824796071435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1.5916157281026244E-12</v>
      </c>
      <c r="GV190" s="18">
        <f>GU190*VLOOKUP('Données projet'!$B$18,Paramètres!$A$1:$I$89,3,0)*VLOOKUP('Données projet'!$B$18,Paramètres!$A$1:$I$89,5,0)</f>
        <v>1.7380443750880657E-12</v>
      </c>
      <c r="GW190" s="14">
        <f t="shared" si="188"/>
        <v>1.8727070317424442E-11</v>
      </c>
      <c r="GX190" s="22">
        <f t="shared" si="189"/>
        <v>3.5643408089459281E-11</v>
      </c>
      <c r="GY190" s="62">
        <f t="shared" si="137"/>
        <v>289.85810977949205</v>
      </c>
      <c r="GZ190" s="62">
        <f ca="1">AVERAGE(OFFSET($GY$3,0,0,'Données projet'!$E$18+1,1))-AVERAGE(OFFSET($H$3,0,0,'Données projet'!$E$18+1,1))</f>
        <v>754.33260592777049</v>
      </c>
      <c r="HA190" s="62">
        <f t="shared" si="160"/>
        <v>250.97643915279005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9">
        <f t="shared" si="110"/>
        <v>183.33333333333334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-4.1145540308207271E-13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550.39292625253665</v>
      </c>
      <c r="T191" s="62">
        <f t="shared" si="142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-4.5474735088646412E-13</v>
      </c>
      <c r="AJ191" s="14">
        <f>AI191*VLOOKUP('Données projet'!$B$10,Paramètres!$A$1:$I$89,3,0)*VLOOKUP('Données projet'!$B$10,Paramètres!$A$1:$I$89,5,0)</f>
        <v>-4.6111381379887462E-13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606.55142836375308</v>
      </c>
      <c r="AO191" s="62">
        <f t="shared" si="144"/>
        <v>325.72635759450861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5.1159076974727213E-13</v>
      </c>
      <c r="BE191" s="14">
        <f>BD191*VLOOKUP('Données projet'!$B$11,Paramètres!$A$1:$I$89,3,0)*VLOOKUP('Données projet'!$B$11,Paramètres!$A$1:$I$89,5,0)</f>
        <v>5.3471467253984886E-13</v>
      </c>
      <c r="BF191" s="14">
        <f t="shared" si="167"/>
        <v>6.6087717628803869E-12</v>
      </c>
      <c r="BG191" s="22">
        <f t="shared" si="168"/>
        <v>1.244157220835691E-11</v>
      </c>
      <c r="BH191" s="62">
        <f t="shared" si="116"/>
        <v>289.91839713869268</v>
      </c>
      <c r="BI191" s="62">
        <f ca="1">AVERAGE(OFFSET($BH$3,0,0,'Données projet'!$E$11+1,1))-AVERAGE(OFFSET($H$3,0,0,'Données projet'!$E$11+1,1))</f>
        <v>635.13577238794812</v>
      </c>
      <c r="BJ191" s="62">
        <f t="shared" si="146"/>
        <v>374.35810525172019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-6.8212102632969618E-13</v>
      </c>
      <c r="BZ191" s="14">
        <f>BY191*VLOOKUP('Données projet'!$B$12,Paramètres!$A$1:$I$89,3,0)*VLOOKUP('Données projet'!$B$12,Paramètres!$A$1:$I$89,5,0)</f>
        <v>-3.0149749363772573E-13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580.02817743695846</v>
      </c>
      <c r="CE191" s="62">
        <f t="shared" si="148"/>
        <v>551.23515633208865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3.979039320256561E-13</v>
      </c>
      <c r="CU191" s="18">
        <f>CT191*VLOOKUP('Données projet'!$B$13,Paramètres!$A$1:$I$89,3,0)*VLOOKUP('Données projet'!$B$13,Paramètres!$A$1:$I$89,5,0)</f>
        <v>1.8621904018800707E-13</v>
      </c>
      <c r="CV191" s="14">
        <f t="shared" si="173"/>
        <v>2.6022279988572714E-12</v>
      </c>
      <c r="CW191" s="22">
        <f t="shared" si="174"/>
        <v>4.8565452596705266E-12</v>
      </c>
      <c r="CX191" s="62">
        <f t="shared" si="122"/>
        <v>289.91839713868507</v>
      </c>
      <c r="CY191" s="62">
        <f ca="1">AVERAGE(OFFSET($CX$3,0,0,'Données projet'!$E$13+1,1))-AVERAGE(OFFSET($H$3,0,0,'Données projet'!$E$13+1,1))</f>
        <v>321.05795935196863</v>
      </c>
      <c r="CZ191" s="62">
        <f t="shared" si="150"/>
        <v>209.59551322748908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-4.5474735088646412E-13</v>
      </c>
      <c r="DP191" s="18">
        <f>DO191*VLOOKUP('Données projet'!$B$14,Paramètres!$A$1:$I$89,3,0)*VLOOKUP('Données projet'!$B$14,Paramètres!$A$1:$I$89,5,0)</f>
        <v>-4.8949004849418999E-13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638.58602907610805</v>
      </c>
      <c r="DU191" s="62">
        <f t="shared" si="152"/>
        <v>341.9250949809848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3.3992364478763198E-14</v>
      </c>
      <c r="EL191" s="14">
        <f t="shared" si="179"/>
        <v>5.790027782444094E-13</v>
      </c>
      <c r="EM191" s="22">
        <f t="shared" si="180"/>
        <v>1.0676332069095257E-12</v>
      </c>
      <c r="EN191" s="62">
        <f t="shared" si="128"/>
        <v>289.91839713868131</v>
      </c>
      <c r="EO191" s="62">
        <f ca="1">AVERAGE(OFFSET($EN$3,0,0,'Données projet'!$E$15+1,1))-AVERAGE(OFFSET($H$3,0,0,'Données projet'!$E$15+1,1))</f>
        <v>223.57443551076992</v>
      </c>
      <c r="EP191" s="62">
        <f t="shared" si="154"/>
        <v>382.12751862619427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1.1645714305721264</v>
      </c>
      <c r="EW191" s="23">
        <f>EXP(-LN(2)/25)*EW190+(1-EXP(-LN(2)/25))/(LN(2)/25)*Calculateur!ER191*Calculateur!ET191*VLOOKUP('Données projet'!$B$15,Paramètres!$A$1:$I$89,3,0)*0.475*44/12</f>
        <v>0.17373343447639392</v>
      </c>
      <c r="EX191" s="23">
        <f>EXP(-LN(2)/2)*EX190+(1-EXP(-LN(2)/2))/(LN(2)/2)*ER191*EU191*VLOOKUP('Données projet'!$B$15,Paramètres!$A$1:$I$89,3,0)*0.475*44/12</f>
        <v>1.6771248192694985E-23</v>
      </c>
      <c r="EY191" s="24">
        <f t="shared" si="181"/>
        <v>1.3383048650485203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283.95543623515323</v>
      </c>
      <c r="FK191" s="62">
        <f t="shared" si="156"/>
        <v>196.96883829830929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5.6843418860808015E-14</v>
      </c>
      <c r="GA191" s="18">
        <f>FZ191*VLOOKUP('Données projet'!$B$17,Paramètres!$A$1:$I$89,3,0)*VLOOKUP('Données projet'!$B$17,Paramètres!$A$1:$I$89,5,0)</f>
        <v>3.3992364478763198E-14</v>
      </c>
      <c r="GB191" s="14">
        <f t="shared" si="185"/>
        <v>5.790027782444094E-13</v>
      </c>
      <c r="GC191" s="22">
        <f t="shared" si="186"/>
        <v>1.0676332069095257E-12</v>
      </c>
      <c r="GD191" s="62">
        <f t="shared" si="134"/>
        <v>289.91839713868131</v>
      </c>
      <c r="GE191" s="62">
        <f ca="1">AVERAGE(OFFSET($GD$3,0,0,'Données projet'!$E$17+1,1))-AVERAGE(OFFSET($H$3,0,0,'Données projet'!$E$17+1,1))</f>
        <v>223.57443551076992</v>
      </c>
      <c r="GF191" s="62">
        <f t="shared" si="158"/>
        <v>382.12751862619427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1.1645714305721264</v>
      </c>
      <c r="GM191" s="23">
        <f>EXP(-LN(2)/25)*GM190+(1-EXP(-LN(2)/25))/(LN(2)/25)*Calculateur!GH191*Calculateur!GJ191*VLOOKUP('Données projet'!$B$17,Paramètres!$A$1:$I$89,3,0)*0.475*44/12</f>
        <v>0.17373343447639392</v>
      </c>
      <c r="GN191" s="23">
        <f>EXP(-LN(2)/2)*GN190+(1-EXP(-LN(2)/2))/(LN(2)/2)*GH191*GK191*VLOOKUP('Données projet'!$B$17,Paramètres!$A$1:$I$89,3,0)*0.475*44/12</f>
        <v>1.6771248192694985E-23</v>
      </c>
      <c r="GO191" s="23">
        <f t="shared" si="187"/>
        <v>1.3383048650485203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1.5916157281026244E-12</v>
      </c>
      <c r="GV191" s="18">
        <f>GU191*VLOOKUP('Données projet'!$B$18,Paramètres!$A$1:$I$89,3,0)*VLOOKUP('Données projet'!$B$18,Paramètres!$A$1:$I$89,5,0)</f>
        <v>1.7380443750880657E-12</v>
      </c>
      <c r="GW191" s="14">
        <f t="shared" si="188"/>
        <v>1.8727070317424442E-11</v>
      </c>
      <c r="GX191" s="22">
        <f t="shared" si="189"/>
        <v>3.5643408089459281E-11</v>
      </c>
      <c r="GY191" s="62">
        <f t="shared" si="137"/>
        <v>289.91839713871587</v>
      </c>
      <c r="GZ191" s="62">
        <f ca="1">AVERAGE(OFFSET($GY$3,0,0,'Données projet'!$E$18+1,1))-AVERAGE(OFFSET($H$3,0,0,'Données projet'!$E$18+1,1))</f>
        <v>754.33260592777049</v>
      </c>
      <c r="HA191" s="62">
        <f t="shared" si="160"/>
        <v>250.97643915279005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9">
        <f t="shared" si="110"/>
        <v>183.33333333333334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-4.1145540308207271E-13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550.39292625253665</v>
      </c>
      <c r="T192" s="62">
        <f t="shared" si="142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-4.5474735088646412E-13</v>
      </c>
      <c r="AJ192" s="14">
        <f>AI192*VLOOKUP('Données projet'!$B$10,Paramètres!$A$1:$I$89,3,0)*VLOOKUP('Données projet'!$B$10,Paramètres!$A$1:$I$89,5,0)</f>
        <v>-4.6111381379887462E-13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606.55142836375308</v>
      </c>
      <c r="AO192" s="62">
        <f t="shared" si="144"/>
        <v>325.72635759450861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5.1159076974727213E-13</v>
      </c>
      <c r="BE192" s="14">
        <f>BD192*VLOOKUP('Données projet'!$B$11,Paramètres!$A$1:$I$89,3,0)*VLOOKUP('Données projet'!$B$11,Paramètres!$A$1:$I$89,5,0)</f>
        <v>5.3471467253984886E-13</v>
      </c>
      <c r="BF192" s="14">
        <f t="shared" si="167"/>
        <v>6.6087717628803869E-12</v>
      </c>
      <c r="BG192" s="22">
        <f t="shared" si="168"/>
        <v>1.244157220835691E-11</v>
      </c>
      <c r="BH192" s="62">
        <f t="shared" si="116"/>
        <v>289.97763864701631</v>
      </c>
      <c r="BI192" s="62">
        <f ca="1">AVERAGE(OFFSET($BH$3,0,0,'Données projet'!$E$11+1,1))-AVERAGE(OFFSET($H$3,0,0,'Données projet'!$E$11+1,1))</f>
        <v>635.13577238794812</v>
      </c>
      <c r="BJ192" s="62">
        <f t="shared" si="146"/>
        <v>374.35810525172019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-6.8212102632969618E-13</v>
      </c>
      <c r="BZ192" s="14">
        <f>BY192*VLOOKUP('Données projet'!$B$12,Paramètres!$A$1:$I$89,3,0)*VLOOKUP('Données projet'!$B$12,Paramètres!$A$1:$I$89,5,0)</f>
        <v>-3.0149749363772573E-13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580.02817743695846</v>
      </c>
      <c r="CE192" s="62">
        <f t="shared" si="148"/>
        <v>551.23515633208865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3.979039320256561E-13</v>
      </c>
      <c r="CU192" s="18">
        <f>CT192*VLOOKUP('Données projet'!$B$13,Paramètres!$A$1:$I$89,3,0)*VLOOKUP('Données projet'!$B$13,Paramètres!$A$1:$I$89,5,0)</f>
        <v>1.8621904018800707E-13</v>
      </c>
      <c r="CV192" s="14">
        <f t="shared" si="173"/>
        <v>2.6022279988572714E-12</v>
      </c>
      <c r="CW192" s="22">
        <f t="shared" si="174"/>
        <v>4.8565452596705266E-12</v>
      </c>
      <c r="CX192" s="62">
        <f t="shared" si="122"/>
        <v>289.97763864700869</v>
      </c>
      <c r="CY192" s="62">
        <f ca="1">AVERAGE(OFFSET($CX$3,0,0,'Données projet'!$E$13+1,1))-AVERAGE(OFFSET($H$3,0,0,'Données projet'!$E$13+1,1))</f>
        <v>321.05795935196863</v>
      </c>
      <c r="CZ192" s="62">
        <f t="shared" si="150"/>
        <v>209.59551322748908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-4.5474735088646412E-13</v>
      </c>
      <c r="DP192" s="18">
        <f>DO192*VLOOKUP('Données projet'!$B$14,Paramètres!$A$1:$I$89,3,0)*VLOOKUP('Données projet'!$B$14,Paramètres!$A$1:$I$89,5,0)</f>
        <v>-4.8949004849418999E-13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638.58602907610805</v>
      </c>
      <c r="DU192" s="62">
        <f t="shared" si="152"/>
        <v>341.9250949809848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3.3992364478763198E-14</v>
      </c>
      <c r="EL192" s="14">
        <f t="shared" si="179"/>
        <v>5.790027782444094E-13</v>
      </c>
      <c r="EM192" s="22">
        <f t="shared" si="180"/>
        <v>1.0676332069095257E-12</v>
      </c>
      <c r="EN192" s="62">
        <f t="shared" si="128"/>
        <v>289.97763864700494</v>
      </c>
      <c r="EO192" s="62">
        <f ca="1">AVERAGE(OFFSET($EN$3,0,0,'Données projet'!$E$15+1,1))-AVERAGE(OFFSET($H$3,0,0,'Données projet'!$E$15+1,1))</f>
        <v>223.57443551076992</v>
      </c>
      <c r="EP192" s="62">
        <f t="shared" si="154"/>
        <v>382.12751862619427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1.1417348951370416</v>
      </c>
      <c r="EW192" s="23">
        <f>EXP(-LN(2)/25)*EW191+(1-EXP(-LN(2)/25))/(LN(2)/25)*Calculateur!ER192*Calculateur!ET192*VLOOKUP('Données projet'!$B$15,Paramètres!$A$1:$I$89,3,0)*0.475*44/12</f>
        <v>0.16898268457439267</v>
      </c>
      <c r="EX192" s="23">
        <f>EXP(-LN(2)/2)*EX191+(1-EXP(-LN(2)/2))/(LN(2)/2)*ER192*EU192*VLOOKUP('Données projet'!$B$15,Paramètres!$A$1:$I$89,3,0)*0.475*44/12</f>
        <v>1.1859063326017254E-23</v>
      </c>
      <c r="EY192" s="24">
        <f t="shared" si="181"/>
        <v>1.3107175797114343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283.95543623515323</v>
      </c>
      <c r="FK192" s="62">
        <f t="shared" si="156"/>
        <v>196.96883829830929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5.6843418860808015E-14</v>
      </c>
      <c r="GA192" s="18">
        <f>FZ192*VLOOKUP('Données projet'!$B$17,Paramètres!$A$1:$I$89,3,0)*VLOOKUP('Données projet'!$B$17,Paramètres!$A$1:$I$89,5,0)</f>
        <v>3.3992364478763198E-14</v>
      </c>
      <c r="GB192" s="14">
        <f t="shared" si="185"/>
        <v>5.790027782444094E-13</v>
      </c>
      <c r="GC192" s="22">
        <f t="shared" si="186"/>
        <v>1.0676332069095257E-12</v>
      </c>
      <c r="GD192" s="62">
        <f t="shared" si="134"/>
        <v>289.97763864700494</v>
      </c>
      <c r="GE192" s="62">
        <f ca="1">AVERAGE(OFFSET($GD$3,0,0,'Données projet'!$E$17+1,1))-AVERAGE(OFFSET($H$3,0,0,'Données projet'!$E$17+1,1))</f>
        <v>223.57443551076992</v>
      </c>
      <c r="GF192" s="62">
        <f t="shared" si="158"/>
        <v>382.12751862619427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1.1417348951370416</v>
      </c>
      <c r="GM192" s="23">
        <f>EXP(-LN(2)/25)*GM191+(1-EXP(-LN(2)/25))/(LN(2)/25)*Calculateur!GH192*Calculateur!GJ192*VLOOKUP('Données projet'!$B$17,Paramètres!$A$1:$I$89,3,0)*0.475*44/12</f>
        <v>0.16898268457439267</v>
      </c>
      <c r="GN192" s="23">
        <f>EXP(-LN(2)/2)*GN191+(1-EXP(-LN(2)/2))/(LN(2)/2)*GH192*GK192*VLOOKUP('Données projet'!$B$17,Paramètres!$A$1:$I$89,3,0)*0.475*44/12</f>
        <v>1.1859063326017254E-23</v>
      </c>
      <c r="GO192" s="23">
        <f t="shared" si="187"/>
        <v>1.3107175797114343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1.5916157281026244E-12</v>
      </c>
      <c r="GV192" s="18">
        <f>GU192*VLOOKUP('Données projet'!$B$18,Paramètres!$A$1:$I$89,3,0)*VLOOKUP('Données projet'!$B$18,Paramètres!$A$1:$I$89,5,0)</f>
        <v>1.7380443750880657E-12</v>
      </c>
      <c r="GW192" s="14">
        <f t="shared" si="188"/>
        <v>1.8727070317424442E-11</v>
      </c>
      <c r="GX192" s="22">
        <f t="shared" si="189"/>
        <v>3.5643408089459281E-11</v>
      </c>
      <c r="GY192" s="62">
        <f t="shared" si="137"/>
        <v>289.9776386470395</v>
      </c>
      <c r="GZ192" s="62">
        <f ca="1">AVERAGE(OFFSET($GY$3,0,0,'Données projet'!$E$18+1,1))-AVERAGE(OFFSET($H$3,0,0,'Données projet'!$E$18+1,1))</f>
        <v>754.33260592777049</v>
      </c>
      <c r="HA192" s="62">
        <f t="shared" si="160"/>
        <v>250.97643915279005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9">
        <f t="shared" si="110"/>
        <v>183.33333333333334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-4.1145540308207271E-13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550.39292625253665</v>
      </c>
      <c r="T193" s="62">
        <f t="shared" si="142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-4.5474735088646412E-13</v>
      </c>
      <c r="AJ193" s="14">
        <f>AI193*VLOOKUP('Données projet'!$B$10,Paramètres!$A$1:$I$89,3,0)*VLOOKUP('Données projet'!$B$10,Paramètres!$A$1:$I$89,5,0)</f>
        <v>-4.6111381379887462E-13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606.55142836375308</v>
      </c>
      <c r="AO193" s="62">
        <f t="shared" si="144"/>
        <v>325.72635759450861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5.1159076974727213E-13</v>
      </c>
      <c r="BE193" s="14">
        <f>BD193*VLOOKUP('Données projet'!$B$11,Paramètres!$A$1:$I$89,3,0)*VLOOKUP('Données projet'!$B$11,Paramètres!$A$1:$I$89,5,0)</f>
        <v>5.3471467253984886E-13</v>
      </c>
      <c r="BF193" s="14">
        <f t="shared" si="167"/>
        <v>6.6087717628803869E-12</v>
      </c>
      <c r="BG193" s="22">
        <f t="shared" si="168"/>
        <v>1.244157220835691E-11</v>
      </c>
      <c r="BH193" s="62">
        <f t="shared" si="116"/>
        <v>290.03585244761473</v>
      </c>
      <c r="BI193" s="62">
        <f ca="1">AVERAGE(OFFSET($BH$3,0,0,'Données projet'!$E$11+1,1))-AVERAGE(OFFSET($H$3,0,0,'Données projet'!$E$11+1,1))</f>
        <v>635.13577238794812</v>
      </c>
      <c r="BJ193" s="62">
        <f t="shared" si="146"/>
        <v>374.35810525172019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-6.8212102632969618E-13</v>
      </c>
      <c r="BZ193" s="14">
        <f>BY193*VLOOKUP('Données projet'!$B$12,Paramètres!$A$1:$I$89,3,0)*VLOOKUP('Données projet'!$B$12,Paramètres!$A$1:$I$89,5,0)</f>
        <v>-3.0149749363772573E-13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580.02817743695846</v>
      </c>
      <c r="CE193" s="62">
        <f t="shared" si="148"/>
        <v>551.23515633208865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3.979039320256561E-13</v>
      </c>
      <c r="CU193" s="18">
        <f>CT193*VLOOKUP('Données projet'!$B$13,Paramètres!$A$1:$I$89,3,0)*VLOOKUP('Données projet'!$B$13,Paramètres!$A$1:$I$89,5,0)</f>
        <v>1.8621904018800707E-13</v>
      </c>
      <c r="CV193" s="14">
        <f t="shared" si="173"/>
        <v>2.6022279988572714E-12</v>
      </c>
      <c r="CW193" s="22">
        <f t="shared" si="174"/>
        <v>4.8565452596705266E-12</v>
      </c>
      <c r="CX193" s="62">
        <f t="shared" si="122"/>
        <v>290.03585244760711</v>
      </c>
      <c r="CY193" s="62">
        <f ca="1">AVERAGE(OFFSET($CX$3,0,0,'Données projet'!$E$13+1,1))-AVERAGE(OFFSET($H$3,0,0,'Données projet'!$E$13+1,1))</f>
        <v>321.05795935196863</v>
      </c>
      <c r="CZ193" s="62">
        <f t="shared" si="150"/>
        <v>209.59551322748908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-4.5474735088646412E-13</v>
      </c>
      <c r="DP193" s="18">
        <f>DO193*VLOOKUP('Données projet'!$B$14,Paramètres!$A$1:$I$89,3,0)*VLOOKUP('Données projet'!$B$14,Paramètres!$A$1:$I$89,5,0)</f>
        <v>-4.8949004849418999E-13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638.58602907610805</v>
      </c>
      <c r="DU193" s="62">
        <f t="shared" si="152"/>
        <v>341.9250949809848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3.3992364478763198E-14</v>
      </c>
      <c r="EL193" s="14">
        <f t="shared" si="179"/>
        <v>5.790027782444094E-13</v>
      </c>
      <c r="EM193" s="22">
        <f t="shared" si="180"/>
        <v>1.0676332069095257E-12</v>
      </c>
      <c r="EN193" s="62">
        <f t="shared" si="128"/>
        <v>290.03585244760336</v>
      </c>
      <c r="EO193" s="62">
        <f ca="1">AVERAGE(OFFSET($EN$3,0,0,'Données projet'!$E$15+1,1))-AVERAGE(OFFSET($H$3,0,0,'Données projet'!$E$15+1,1))</f>
        <v>223.57443551076992</v>
      </c>
      <c r="EP193" s="62">
        <f t="shared" si="154"/>
        <v>382.12751862619427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1.1193461702329275</v>
      </c>
      <c r="EW193" s="23">
        <f>EXP(-LN(2)/25)*EW192+(1-EXP(-LN(2)/25))/(LN(2)/25)*Calculateur!ER193*Calculateur!ET193*VLOOKUP('Données projet'!$B$15,Paramètres!$A$1:$I$89,3,0)*0.475*44/12</f>
        <v>0.16436184417829272</v>
      </c>
      <c r="EX193" s="23">
        <f>EXP(-LN(2)/2)*EX192+(1-EXP(-LN(2)/2))/(LN(2)/2)*ER193*EU193*VLOOKUP('Données projet'!$B$15,Paramètres!$A$1:$I$89,3,0)*0.475*44/12</f>
        <v>8.3856240963474926E-24</v>
      </c>
      <c r="EY193" s="24">
        <f t="shared" si="181"/>
        <v>1.2837080144112203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283.95543623515323</v>
      </c>
      <c r="FK193" s="62">
        <f t="shared" si="156"/>
        <v>196.96883829830929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5.6843418860808015E-14</v>
      </c>
      <c r="GA193" s="18">
        <f>FZ193*VLOOKUP('Données projet'!$B$17,Paramètres!$A$1:$I$89,3,0)*VLOOKUP('Données projet'!$B$17,Paramètres!$A$1:$I$89,5,0)</f>
        <v>3.3992364478763198E-14</v>
      </c>
      <c r="GB193" s="14">
        <f t="shared" si="185"/>
        <v>5.790027782444094E-13</v>
      </c>
      <c r="GC193" s="22">
        <f t="shared" si="186"/>
        <v>1.0676332069095257E-12</v>
      </c>
      <c r="GD193" s="62">
        <f t="shared" si="134"/>
        <v>290.03585244760336</v>
      </c>
      <c r="GE193" s="62">
        <f ca="1">AVERAGE(OFFSET($GD$3,0,0,'Données projet'!$E$17+1,1))-AVERAGE(OFFSET($H$3,0,0,'Données projet'!$E$17+1,1))</f>
        <v>223.57443551076992</v>
      </c>
      <c r="GF193" s="62">
        <f t="shared" si="158"/>
        <v>382.12751862619427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1.1193461702329275</v>
      </c>
      <c r="GM193" s="23">
        <f>EXP(-LN(2)/25)*GM192+(1-EXP(-LN(2)/25))/(LN(2)/25)*Calculateur!GH193*Calculateur!GJ193*VLOOKUP('Données projet'!$B$17,Paramètres!$A$1:$I$89,3,0)*0.475*44/12</f>
        <v>0.16436184417829272</v>
      </c>
      <c r="GN193" s="23">
        <f>EXP(-LN(2)/2)*GN192+(1-EXP(-LN(2)/2))/(LN(2)/2)*GH193*GK193*VLOOKUP('Données projet'!$B$17,Paramètres!$A$1:$I$89,3,0)*0.475*44/12</f>
        <v>8.3856240963474926E-24</v>
      </c>
      <c r="GO193" s="23">
        <f t="shared" si="187"/>
        <v>1.2837080144112203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1.5916157281026244E-12</v>
      </c>
      <c r="GV193" s="18">
        <f>GU193*VLOOKUP('Données projet'!$B$18,Paramètres!$A$1:$I$89,3,0)*VLOOKUP('Données projet'!$B$18,Paramètres!$A$1:$I$89,5,0)</f>
        <v>1.7380443750880657E-12</v>
      </c>
      <c r="GW193" s="14">
        <f t="shared" si="188"/>
        <v>1.8727070317424442E-11</v>
      </c>
      <c r="GX193" s="22">
        <f t="shared" si="189"/>
        <v>3.5643408089459281E-11</v>
      </c>
      <c r="GY193" s="62">
        <f t="shared" si="137"/>
        <v>290.03585244763792</v>
      </c>
      <c r="GZ193" s="62">
        <f ca="1">AVERAGE(OFFSET($GY$3,0,0,'Données projet'!$E$18+1,1))-AVERAGE(OFFSET($H$3,0,0,'Données projet'!$E$18+1,1))</f>
        <v>754.33260592777049</v>
      </c>
      <c r="HA193" s="62">
        <f t="shared" si="160"/>
        <v>250.97643915279005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9">
        <f t="shared" si="110"/>
        <v>183.33333333333334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-4.1145540308207271E-13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550.39292625253665</v>
      </c>
      <c r="T194" s="62">
        <f t="shared" si="142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-4.5474735088646412E-13</v>
      </c>
      <c r="AJ194" s="14">
        <f>AI194*VLOOKUP('Données projet'!$B$10,Paramètres!$A$1:$I$89,3,0)*VLOOKUP('Données projet'!$B$10,Paramètres!$A$1:$I$89,5,0)</f>
        <v>-4.6111381379887462E-13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606.55142836375308</v>
      </c>
      <c r="AO194" s="62">
        <f t="shared" si="144"/>
        <v>325.72635759450861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5.1159076974727213E-13</v>
      </c>
      <c r="BE194" s="14">
        <f>BD194*VLOOKUP('Données projet'!$B$11,Paramètres!$A$1:$I$89,3,0)*VLOOKUP('Données projet'!$B$11,Paramètres!$A$1:$I$89,5,0)</f>
        <v>5.3471467253984886E-13</v>
      </c>
      <c r="BF194" s="14">
        <f t="shared" si="167"/>
        <v>6.6087717628803869E-12</v>
      </c>
      <c r="BG194" s="22">
        <f t="shared" si="168"/>
        <v>1.244157220835691E-11</v>
      </c>
      <c r="BH194" s="62">
        <f t="shared" si="116"/>
        <v>290.09305636891929</v>
      </c>
      <c r="BI194" s="62">
        <f ca="1">AVERAGE(OFFSET($BH$3,0,0,'Données projet'!$E$11+1,1))-AVERAGE(OFFSET($H$3,0,0,'Données projet'!$E$11+1,1))</f>
        <v>635.13577238794812</v>
      </c>
      <c r="BJ194" s="62">
        <f t="shared" si="146"/>
        <v>374.35810525172019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-6.8212102632969618E-13</v>
      </c>
      <c r="BZ194" s="14">
        <f>BY194*VLOOKUP('Données projet'!$B$12,Paramètres!$A$1:$I$89,3,0)*VLOOKUP('Données projet'!$B$12,Paramètres!$A$1:$I$89,5,0)</f>
        <v>-3.0149749363772573E-13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580.02817743695846</v>
      </c>
      <c r="CE194" s="62">
        <f t="shared" si="148"/>
        <v>551.23515633208865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3.979039320256561E-13</v>
      </c>
      <c r="CU194" s="18">
        <f>CT194*VLOOKUP('Données projet'!$B$13,Paramètres!$A$1:$I$89,3,0)*VLOOKUP('Données projet'!$B$13,Paramètres!$A$1:$I$89,5,0)</f>
        <v>1.8621904018800707E-13</v>
      </c>
      <c r="CV194" s="14">
        <f t="shared" si="173"/>
        <v>2.6022279988572714E-12</v>
      </c>
      <c r="CW194" s="22">
        <f t="shared" si="174"/>
        <v>4.8565452596705266E-12</v>
      </c>
      <c r="CX194" s="62">
        <f t="shared" si="122"/>
        <v>290.09305636891168</v>
      </c>
      <c r="CY194" s="62">
        <f ca="1">AVERAGE(OFFSET($CX$3,0,0,'Données projet'!$E$13+1,1))-AVERAGE(OFFSET($H$3,0,0,'Données projet'!$E$13+1,1))</f>
        <v>321.05795935196863</v>
      </c>
      <c r="CZ194" s="62">
        <f t="shared" si="150"/>
        <v>209.59551322748908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-4.5474735088646412E-13</v>
      </c>
      <c r="DP194" s="18">
        <f>DO194*VLOOKUP('Données projet'!$B$14,Paramètres!$A$1:$I$89,3,0)*VLOOKUP('Données projet'!$B$14,Paramètres!$A$1:$I$89,5,0)</f>
        <v>-4.8949004849418999E-13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638.58602907610805</v>
      </c>
      <c r="DU194" s="62">
        <f t="shared" si="152"/>
        <v>341.9250949809848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3.3992364478763198E-14</v>
      </c>
      <c r="EL194" s="14">
        <f t="shared" si="179"/>
        <v>5.790027782444094E-13</v>
      </c>
      <c r="EM194" s="22">
        <f t="shared" si="180"/>
        <v>1.0676332069095257E-12</v>
      </c>
      <c r="EN194" s="62">
        <f t="shared" si="128"/>
        <v>290.09305636890792</v>
      </c>
      <c r="EO194" s="62">
        <f ca="1">AVERAGE(OFFSET($EN$3,0,0,'Données projet'!$E$15+1,1))-AVERAGE(OFFSET($H$3,0,0,'Données projet'!$E$15+1,1))</f>
        <v>223.57443551076992</v>
      </c>
      <c r="EP194" s="62">
        <f t="shared" si="154"/>
        <v>382.12751862619427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1.0973964745684093</v>
      </c>
      <c r="EW194" s="23">
        <f>EXP(-LN(2)/25)*EW193+(1-EXP(-LN(2)/25))/(LN(2)/25)*Calculateur!ER194*Calculateur!ET194*VLOOKUP('Données projet'!$B$15,Paramètres!$A$1:$I$89,3,0)*0.475*44/12</f>
        <v>0.15986736090582357</v>
      </c>
      <c r="EX194" s="23">
        <f>EXP(-LN(2)/2)*EX193+(1-EXP(-LN(2)/2))/(LN(2)/2)*ER194*EU194*VLOOKUP('Données projet'!$B$15,Paramètres!$A$1:$I$89,3,0)*0.475*44/12</f>
        <v>5.9295316630086268E-24</v>
      </c>
      <c r="EY194" s="24">
        <f t="shared" si="181"/>
        <v>1.2572638354742329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283.95543623515323</v>
      </c>
      <c r="FK194" s="62">
        <f t="shared" si="156"/>
        <v>196.96883829830929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5.6843418860808015E-14</v>
      </c>
      <c r="GA194" s="18">
        <f>FZ194*VLOOKUP('Données projet'!$B$17,Paramètres!$A$1:$I$89,3,0)*VLOOKUP('Données projet'!$B$17,Paramètres!$A$1:$I$89,5,0)</f>
        <v>3.3992364478763198E-14</v>
      </c>
      <c r="GB194" s="14">
        <f t="shared" si="185"/>
        <v>5.790027782444094E-13</v>
      </c>
      <c r="GC194" s="22">
        <f t="shared" si="186"/>
        <v>1.0676332069095257E-12</v>
      </c>
      <c r="GD194" s="62">
        <f t="shared" si="134"/>
        <v>290.09305636890792</v>
      </c>
      <c r="GE194" s="62">
        <f ca="1">AVERAGE(OFFSET($GD$3,0,0,'Données projet'!$E$17+1,1))-AVERAGE(OFFSET($H$3,0,0,'Données projet'!$E$17+1,1))</f>
        <v>223.57443551076992</v>
      </c>
      <c r="GF194" s="62">
        <f t="shared" si="158"/>
        <v>382.12751862619427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1.0973964745684093</v>
      </c>
      <c r="GM194" s="23">
        <f>EXP(-LN(2)/25)*GM193+(1-EXP(-LN(2)/25))/(LN(2)/25)*Calculateur!GH194*Calculateur!GJ194*VLOOKUP('Données projet'!$B$17,Paramètres!$A$1:$I$89,3,0)*0.475*44/12</f>
        <v>0.15986736090582357</v>
      </c>
      <c r="GN194" s="23">
        <f>EXP(-LN(2)/2)*GN193+(1-EXP(-LN(2)/2))/(LN(2)/2)*GH194*GK194*VLOOKUP('Données projet'!$B$17,Paramètres!$A$1:$I$89,3,0)*0.475*44/12</f>
        <v>5.9295316630086268E-24</v>
      </c>
      <c r="GO194" s="23">
        <f t="shared" si="187"/>
        <v>1.2572638354742329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1.5916157281026244E-12</v>
      </c>
      <c r="GV194" s="18">
        <f>GU194*VLOOKUP('Données projet'!$B$18,Paramètres!$A$1:$I$89,3,0)*VLOOKUP('Données projet'!$B$18,Paramètres!$A$1:$I$89,5,0)</f>
        <v>1.7380443750880657E-12</v>
      </c>
      <c r="GW194" s="14">
        <f t="shared" si="188"/>
        <v>1.8727070317424442E-11</v>
      </c>
      <c r="GX194" s="22">
        <f t="shared" si="189"/>
        <v>3.5643408089459281E-11</v>
      </c>
      <c r="GY194" s="62">
        <f t="shared" si="137"/>
        <v>290.09305636894248</v>
      </c>
      <c r="GZ194" s="62">
        <f ca="1">AVERAGE(OFFSET($GY$3,0,0,'Données projet'!$E$18+1,1))-AVERAGE(OFFSET($H$3,0,0,'Données projet'!$E$18+1,1))</f>
        <v>754.33260592777049</v>
      </c>
      <c r="HA194" s="62">
        <f t="shared" si="160"/>
        <v>250.97643915279005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9">
        <f t="shared" si="110"/>
        <v>183.33333333333334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-4.1145540308207271E-13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550.39292625253665</v>
      </c>
      <c r="T195" s="62">
        <f t="shared" si="142"/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-4.5474735088646412E-13</v>
      </c>
      <c r="AJ195" s="14">
        <f>AI195*VLOOKUP('Données projet'!$B$10,Paramètres!$A$1:$I$89,3,0)*VLOOKUP('Données projet'!$B$10,Paramètres!$A$1:$I$89,5,0)</f>
        <v>-4.6111381379887462E-13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606.55142836375308</v>
      </c>
      <c r="AO195" s="62">
        <f t="shared" si="144"/>
        <v>325.72635759450861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5.1159076974727213E-13</v>
      </c>
      <c r="BE195" s="14">
        <f>BD195*VLOOKUP('Données projet'!$B$11,Paramètres!$A$1:$I$89,3,0)*VLOOKUP('Données projet'!$B$11,Paramètres!$A$1:$I$89,5,0)</f>
        <v>5.3471467253984886E-13</v>
      </c>
      <c r="BF195" s="14">
        <f t="shared" si="167"/>
        <v>6.6087717628803869E-12</v>
      </c>
      <c r="BG195" s="22">
        <f t="shared" si="168"/>
        <v>1.244157220835691E-11</v>
      </c>
      <c r="BH195" s="62">
        <f t="shared" si="116"/>
        <v>290.14926793007811</v>
      </c>
      <c r="BI195" s="62">
        <f ca="1">AVERAGE(OFFSET($BH$3,0,0,'Données projet'!$E$11+1,1))-AVERAGE(OFFSET($H$3,0,0,'Données projet'!$E$11+1,1))</f>
        <v>635.13577238794812</v>
      </c>
      <c r="BJ195" s="62">
        <f t="shared" si="146"/>
        <v>374.35810525172019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-6.8212102632969618E-13</v>
      </c>
      <c r="BZ195" s="14">
        <f>BY195*VLOOKUP('Données projet'!$B$12,Paramètres!$A$1:$I$89,3,0)*VLOOKUP('Données projet'!$B$12,Paramètres!$A$1:$I$89,5,0)</f>
        <v>-3.0149749363772573E-13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580.02817743695846</v>
      </c>
      <c r="CE195" s="62">
        <f t="shared" si="148"/>
        <v>551.23515633208865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3.979039320256561E-13</v>
      </c>
      <c r="CU195" s="18">
        <f>CT195*VLOOKUP('Données projet'!$B$13,Paramètres!$A$1:$I$89,3,0)*VLOOKUP('Données projet'!$B$13,Paramètres!$A$1:$I$89,5,0)</f>
        <v>1.8621904018800707E-13</v>
      </c>
      <c r="CV195" s="14">
        <f t="shared" si="173"/>
        <v>2.6022279988572714E-12</v>
      </c>
      <c r="CW195" s="22">
        <f t="shared" si="174"/>
        <v>4.8565452596705266E-12</v>
      </c>
      <c r="CX195" s="62">
        <f t="shared" si="122"/>
        <v>290.14926793007049</v>
      </c>
      <c r="CY195" s="62">
        <f ca="1">AVERAGE(OFFSET($CX$3,0,0,'Données projet'!$E$13+1,1))-AVERAGE(OFFSET($H$3,0,0,'Données projet'!$E$13+1,1))</f>
        <v>321.05795935196863</v>
      </c>
      <c r="CZ195" s="62">
        <f t="shared" si="150"/>
        <v>209.59551322748908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-4.5474735088646412E-13</v>
      </c>
      <c r="DP195" s="18">
        <f>DO195*VLOOKUP('Données projet'!$B$14,Paramètres!$A$1:$I$89,3,0)*VLOOKUP('Données projet'!$B$14,Paramètres!$A$1:$I$89,5,0)</f>
        <v>-4.8949004849418999E-13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638.58602907610805</v>
      </c>
      <c r="DU195" s="62">
        <f t="shared" si="152"/>
        <v>341.9250949809848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3.3992364478763198E-14</v>
      </c>
      <c r="EL195" s="14">
        <f t="shared" si="179"/>
        <v>5.790027782444094E-13</v>
      </c>
      <c r="EM195" s="22">
        <f t="shared" si="180"/>
        <v>1.0676332069095257E-12</v>
      </c>
      <c r="EN195" s="62">
        <f t="shared" si="128"/>
        <v>290.14926793006674</v>
      </c>
      <c r="EO195" s="62">
        <f ca="1">AVERAGE(OFFSET($EN$3,0,0,'Données projet'!$E$15+1,1))-AVERAGE(OFFSET($H$3,0,0,'Données projet'!$E$15+1,1))</f>
        <v>223.57443551076992</v>
      </c>
      <c r="EP195" s="62">
        <f t="shared" si="154"/>
        <v>382.12751862619427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1.0758771990478799</v>
      </c>
      <c r="EW195" s="23">
        <f>EXP(-LN(2)/25)*EW194+(1-EXP(-LN(2)/25))/(LN(2)/25)*Calculateur!ER195*Calculateur!ET195*VLOOKUP('Données projet'!$B$15,Paramètres!$A$1:$I$89,3,0)*0.475*44/12</f>
        <v>0.15549577951479471</v>
      </c>
      <c r="EX195" s="23">
        <f>EXP(-LN(2)/2)*EX194+(1-EXP(-LN(2)/2))/(LN(2)/2)*ER195*EU195*VLOOKUP('Données projet'!$B$15,Paramètres!$A$1:$I$89,3,0)*0.475*44/12</f>
        <v>4.1928120481737463E-24</v>
      </c>
      <c r="EY195" s="24">
        <f t="shared" si="181"/>
        <v>1.2313729785626746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283.95543623515323</v>
      </c>
      <c r="FK195" s="62">
        <f t="shared" si="156"/>
        <v>196.96883829830929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5.6843418860808015E-14</v>
      </c>
      <c r="GA195" s="18">
        <f>FZ195*VLOOKUP('Données projet'!$B$17,Paramètres!$A$1:$I$89,3,0)*VLOOKUP('Données projet'!$B$17,Paramètres!$A$1:$I$89,5,0)</f>
        <v>3.3992364478763198E-14</v>
      </c>
      <c r="GB195" s="14">
        <f t="shared" si="185"/>
        <v>5.790027782444094E-13</v>
      </c>
      <c r="GC195" s="22">
        <f t="shared" si="186"/>
        <v>1.0676332069095257E-12</v>
      </c>
      <c r="GD195" s="62">
        <f t="shared" si="134"/>
        <v>290.14926793006674</v>
      </c>
      <c r="GE195" s="62">
        <f ca="1">AVERAGE(OFFSET($GD$3,0,0,'Données projet'!$E$17+1,1))-AVERAGE(OFFSET($H$3,0,0,'Données projet'!$E$17+1,1))</f>
        <v>223.57443551076992</v>
      </c>
      <c r="GF195" s="62">
        <f t="shared" si="158"/>
        <v>382.12751862619427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1.0758771990478799</v>
      </c>
      <c r="GM195" s="23">
        <f>EXP(-LN(2)/25)*GM194+(1-EXP(-LN(2)/25))/(LN(2)/25)*Calculateur!GH195*Calculateur!GJ195*VLOOKUP('Données projet'!$B$17,Paramètres!$A$1:$I$89,3,0)*0.475*44/12</f>
        <v>0.15549577951479471</v>
      </c>
      <c r="GN195" s="23">
        <f>EXP(-LN(2)/2)*GN194+(1-EXP(-LN(2)/2))/(LN(2)/2)*GH195*GK195*VLOOKUP('Données projet'!$B$17,Paramètres!$A$1:$I$89,3,0)*0.475*44/12</f>
        <v>4.1928120481737463E-24</v>
      </c>
      <c r="GO195" s="23">
        <f t="shared" si="187"/>
        <v>1.2313729785626746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1.5916157281026244E-12</v>
      </c>
      <c r="GV195" s="18">
        <f>GU195*VLOOKUP('Données projet'!$B$18,Paramètres!$A$1:$I$89,3,0)*VLOOKUP('Données projet'!$B$18,Paramètres!$A$1:$I$89,5,0)</f>
        <v>1.7380443750880657E-12</v>
      </c>
      <c r="GW195" s="14">
        <f t="shared" si="188"/>
        <v>1.8727070317424442E-11</v>
      </c>
      <c r="GX195" s="22">
        <f t="shared" si="189"/>
        <v>3.5643408089459281E-11</v>
      </c>
      <c r="GY195" s="62">
        <f t="shared" si="137"/>
        <v>290.1492679301013</v>
      </c>
      <c r="GZ195" s="62">
        <f ca="1">AVERAGE(OFFSET($GY$3,0,0,'Données projet'!$E$18+1,1))-AVERAGE(OFFSET($H$3,0,0,'Données projet'!$E$18+1,1))</f>
        <v>754.33260592777049</v>
      </c>
      <c r="HA195" s="62">
        <f t="shared" si="160"/>
        <v>250.97643915279005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9">
        <f t="shared" ref="H196:H203" si="192">(B196+E196+F196)*44/12+(C196+D196)*0.475*44/12</f>
        <v>183.33333333333334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-4.1145540308207271E-13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550.39292625253665</v>
      </c>
      <c r="T196" s="62">
        <f t="shared" si="14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-4.5474735088646412E-13</v>
      </c>
      <c r="AJ196" s="14">
        <f>AI196*VLOOKUP('Données projet'!$B$10,Paramètres!$A$1:$I$89,3,0)*VLOOKUP('Données projet'!$B$10,Paramètres!$A$1:$I$89,5,0)</f>
        <v>-4.6111381379887462E-13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606.55142836375308</v>
      </c>
      <c r="AO196" s="62">
        <f t="shared" si="144"/>
        <v>325.72635759450861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5.1159076974727213E-13</v>
      </c>
      <c r="BE196" s="14">
        <f>BD196*VLOOKUP('Données projet'!$B$11,Paramètres!$A$1:$I$89,3,0)*VLOOKUP('Données projet'!$B$11,Paramètres!$A$1:$I$89,5,0)</f>
        <v>5.3471467253984886E-13</v>
      </c>
      <c r="BF196" s="14">
        <f t="shared" si="167"/>
        <v>6.6087717628803869E-12</v>
      </c>
      <c r="BG196" s="22">
        <f t="shared" si="168"/>
        <v>1.244157220835691E-11</v>
      </c>
      <c r="BH196" s="62">
        <f t="shared" ref="BH196:BH203" si="194">BG196+(AY196+AZ196)*44/12</f>
        <v>290.20450434632096</v>
      </c>
      <c r="BI196" s="62">
        <f ca="1">AVERAGE(OFFSET($BH$3,0,0,'Données projet'!$E$11+1,1))-AVERAGE(OFFSET($H$3,0,0,'Données projet'!$E$11+1,1))</f>
        <v>635.13577238794812</v>
      </c>
      <c r="BJ196" s="62">
        <f t="shared" si="146"/>
        <v>374.35810525172019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-6.8212102632969618E-13</v>
      </c>
      <c r="BZ196" s="14">
        <f>BY196*VLOOKUP('Données projet'!$B$12,Paramètres!$A$1:$I$89,3,0)*VLOOKUP('Données projet'!$B$12,Paramètres!$A$1:$I$89,5,0)</f>
        <v>-3.0149749363772573E-13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580.02817743695846</v>
      </c>
      <c r="CE196" s="62">
        <f t="shared" si="148"/>
        <v>551.23515633208865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3.979039320256561E-13</v>
      </c>
      <c r="CU196" s="18">
        <f>CT196*VLOOKUP('Données projet'!$B$13,Paramètres!$A$1:$I$89,3,0)*VLOOKUP('Données projet'!$B$13,Paramètres!$A$1:$I$89,5,0)</f>
        <v>1.8621904018800707E-13</v>
      </c>
      <c r="CV196" s="14">
        <f t="shared" si="173"/>
        <v>2.6022279988572714E-12</v>
      </c>
      <c r="CW196" s="22">
        <f t="shared" si="174"/>
        <v>4.8565452596705266E-12</v>
      </c>
      <c r="CX196" s="62">
        <f t="shared" ref="CX196:CX203" si="196">CW196+(CO196+CP196)*44/12</f>
        <v>290.20450434631334</v>
      </c>
      <c r="CY196" s="62">
        <f ca="1">AVERAGE(OFFSET($CX$3,0,0,'Données projet'!$E$13+1,1))-AVERAGE(OFFSET($H$3,0,0,'Données projet'!$E$13+1,1))</f>
        <v>321.05795935196863</v>
      </c>
      <c r="CZ196" s="62">
        <f t="shared" si="150"/>
        <v>209.59551322748908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-4.5474735088646412E-13</v>
      </c>
      <c r="DP196" s="18">
        <f>DO196*VLOOKUP('Données projet'!$B$14,Paramètres!$A$1:$I$89,3,0)*VLOOKUP('Données projet'!$B$14,Paramètres!$A$1:$I$89,5,0)</f>
        <v>-4.8949004849418999E-13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638.58602907610805</v>
      </c>
      <c r="DU196" s="62">
        <f t="shared" si="152"/>
        <v>341.9250949809848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3.3992364478763198E-14</v>
      </c>
      <c r="EL196" s="14">
        <f t="shared" si="179"/>
        <v>5.790027782444094E-13</v>
      </c>
      <c r="EM196" s="22">
        <f t="shared" si="180"/>
        <v>1.0676332069095257E-12</v>
      </c>
      <c r="EN196" s="62">
        <f t="shared" ref="EN196:EN203" si="198">EM196+(EE196+EF196)*44/12</f>
        <v>290.20450434630959</v>
      </c>
      <c r="EO196" s="62">
        <f ca="1">AVERAGE(OFFSET($EN$3,0,0,'Données projet'!$E$15+1,1))-AVERAGE(OFFSET($H$3,0,0,'Données projet'!$E$15+1,1))</f>
        <v>223.57443551076992</v>
      </c>
      <c r="EP196" s="62">
        <f t="shared" si="154"/>
        <v>382.12751862619427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1.054779903394846</v>
      </c>
      <c r="EW196" s="23">
        <f>EXP(-LN(2)/25)*EW195+(1-EXP(-LN(2)/25))/(LN(2)/25)*Calculateur!ER196*Calculateur!ET196*VLOOKUP('Données projet'!$B$15,Paramètres!$A$1:$I$89,3,0)*0.475*44/12</f>
        <v>0.15124373924679499</v>
      </c>
      <c r="EX196" s="23">
        <f>EXP(-LN(2)/2)*EX195+(1-EXP(-LN(2)/2))/(LN(2)/2)*ER196*EU196*VLOOKUP('Données projet'!$B$15,Paramètres!$A$1:$I$89,3,0)*0.475*44/12</f>
        <v>2.9647658315043134E-24</v>
      </c>
      <c r="EY196" s="24">
        <f t="shared" si="181"/>
        <v>1.2060236426416409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283.95543623515323</v>
      </c>
      <c r="FK196" s="62">
        <f t="shared" si="156"/>
        <v>196.96883829830929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5.6843418860808015E-14</v>
      </c>
      <c r="GA196" s="18">
        <f>FZ196*VLOOKUP('Données projet'!$B$17,Paramètres!$A$1:$I$89,3,0)*VLOOKUP('Données projet'!$B$17,Paramètres!$A$1:$I$89,5,0)</f>
        <v>3.3992364478763198E-14</v>
      </c>
      <c r="GB196" s="14">
        <f t="shared" si="185"/>
        <v>5.790027782444094E-13</v>
      </c>
      <c r="GC196" s="22">
        <f t="shared" si="186"/>
        <v>1.0676332069095257E-12</v>
      </c>
      <c r="GD196" s="62">
        <f t="shared" ref="GD196:GD203" si="200">GC196+(FU196+FV196)*44/12</f>
        <v>290.20450434630959</v>
      </c>
      <c r="GE196" s="62">
        <f ca="1">AVERAGE(OFFSET($GD$3,0,0,'Données projet'!$E$17+1,1))-AVERAGE(OFFSET($H$3,0,0,'Données projet'!$E$17+1,1))</f>
        <v>223.57443551076992</v>
      </c>
      <c r="GF196" s="62">
        <f t="shared" si="158"/>
        <v>382.12751862619427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1.054779903394846</v>
      </c>
      <c r="GM196" s="23">
        <f>EXP(-LN(2)/25)*GM195+(1-EXP(-LN(2)/25))/(LN(2)/25)*Calculateur!GH196*Calculateur!GJ196*VLOOKUP('Données projet'!$B$17,Paramètres!$A$1:$I$89,3,0)*0.475*44/12</f>
        <v>0.15124373924679499</v>
      </c>
      <c r="GN196" s="23">
        <f>EXP(-LN(2)/2)*GN195+(1-EXP(-LN(2)/2))/(LN(2)/2)*GH196*GK196*VLOOKUP('Données projet'!$B$17,Paramètres!$A$1:$I$89,3,0)*0.475*44/12</f>
        <v>2.9647658315043134E-24</v>
      </c>
      <c r="GO196" s="23">
        <f t="shared" si="187"/>
        <v>1.2060236426416409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1.5916157281026244E-12</v>
      </c>
      <c r="GV196" s="18">
        <f>GU196*VLOOKUP('Données projet'!$B$18,Paramètres!$A$1:$I$89,3,0)*VLOOKUP('Données projet'!$B$18,Paramètres!$A$1:$I$89,5,0)</f>
        <v>1.7380443750880657E-12</v>
      </c>
      <c r="GW196" s="14">
        <f t="shared" si="188"/>
        <v>1.8727070317424442E-11</v>
      </c>
      <c r="GX196" s="22">
        <f t="shared" si="189"/>
        <v>3.5643408089459281E-11</v>
      </c>
      <c r="GY196" s="62">
        <f t="shared" ref="GY196:GY203" si="201">GX196+(GP196+GQ196)*44/12</f>
        <v>290.20450434634415</v>
      </c>
      <c r="GZ196" s="62">
        <f ca="1">AVERAGE(OFFSET($GY$3,0,0,'Données projet'!$E$18+1,1))-AVERAGE(OFFSET($H$3,0,0,'Données projet'!$E$18+1,1))</f>
        <v>754.33260592777049</v>
      </c>
      <c r="HA196" s="62">
        <f t="shared" si="160"/>
        <v>250.97643915279005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9">
        <f t="shared" si="192"/>
        <v>183.33333333333334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-4.1145540308207271E-13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550.39292625253665</v>
      </c>
      <c r="T197" s="62">
        <f t="shared" ref="T197:T203" si="204">$T$3</f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-4.5474735088646412E-13</v>
      </c>
      <c r="AJ197" s="14">
        <f>AI197*VLOOKUP('Données projet'!$B$10,Paramètres!$A$1:$I$89,3,0)*VLOOKUP('Données projet'!$B$10,Paramètres!$A$1:$I$89,5,0)</f>
        <v>-4.6111381379887462E-13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606.55142836375308</v>
      </c>
      <c r="AO197" s="62">
        <f t="shared" ref="AO197:AO203" si="205">$AO$3</f>
        <v>325.72635759450861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5.1159076974727213E-13</v>
      </c>
      <c r="BE197" s="14">
        <f>BD197*VLOOKUP('Données projet'!$B$11,Paramètres!$A$1:$I$89,3,0)*VLOOKUP('Données projet'!$B$11,Paramètres!$A$1:$I$89,5,0)</f>
        <v>5.3471467253984886E-13</v>
      </c>
      <c r="BF197" s="14">
        <f t="shared" si="167"/>
        <v>6.6087717628803869E-12</v>
      </c>
      <c r="BG197" s="22">
        <f t="shared" si="168"/>
        <v>1.244157220835691E-11</v>
      </c>
      <c r="BH197" s="62">
        <f t="shared" si="194"/>
        <v>290.25878253423218</v>
      </c>
      <c r="BI197" s="62">
        <f ca="1">AVERAGE(OFFSET($BH$3,0,0,'Données projet'!$E$11+1,1))-AVERAGE(OFFSET($H$3,0,0,'Données projet'!$E$11+1,1))</f>
        <v>635.13577238794812</v>
      </c>
      <c r="BJ197" s="62">
        <f t="shared" ref="BJ197:BJ203" si="206">$BJ$3</f>
        <v>374.35810525172019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-6.8212102632969618E-13</v>
      </c>
      <c r="BZ197" s="14">
        <f>BY197*VLOOKUP('Données projet'!$B$12,Paramètres!$A$1:$I$89,3,0)*VLOOKUP('Données projet'!$B$12,Paramètres!$A$1:$I$89,5,0)</f>
        <v>-3.0149749363772573E-13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580.02817743695846</v>
      </c>
      <c r="CE197" s="62">
        <f t="shared" ref="CE197:CE203" si="207">$CE$3</f>
        <v>551.23515633208865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3.979039320256561E-13</v>
      </c>
      <c r="CU197" s="18">
        <f>CT197*VLOOKUP('Données projet'!$B$13,Paramètres!$A$1:$I$89,3,0)*VLOOKUP('Données projet'!$B$13,Paramètres!$A$1:$I$89,5,0)</f>
        <v>1.8621904018800707E-13</v>
      </c>
      <c r="CV197" s="14">
        <f t="shared" si="173"/>
        <v>2.6022279988572714E-12</v>
      </c>
      <c r="CW197" s="22">
        <f t="shared" si="174"/>
        <v>4.8565452596705266E-12</v>
      </c>
      <c r="CX197" s="62">
        <f t="shared" si="196"/>
        <v>290.25878253422457</v>
      </c>
      <c r="CY197" s="62">
        <f ca="1">AVERAGE(OFFSET($CX$3,0,0,'Données projet'!$E$13+1,1))-AVERAGE(OFFSET($H$3,0,0,'Données projet'!$E$13+1,1))</f>
        <v>321.05795935196863</v>
      </c>
      <c r="CZ197" s="62">
        <f t="shared" ref="CZ197:CZ203" si="208">$CZ$3</f>
        <v>209.59551322748908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-4.5474735088646412E-13</v>
      </c>
      <c r="DP197" s="18">
        <f>DO197*VLOOKUP('Données projet'!$B$14,Paramètres!$A$1:$I$89,3,0)*VLOOKUP('Données projet'!$B$14,Paramètres!$A$1:$I$89,5,0)</f>
        <v>-4.8949004849418999E-13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638.58602907610805</v>
      </c>
      <c r="DU197" s="62">
        <f t="shared" ref="DU197:DU203" si="209">$DU$3</f>
        <v>341.9250949809848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3.3992364478763198E-14</v>
      </c>
      <c r="EL197" s="14">
        <f t="shared" si="179"/>
        <v>5.790027782444094E-13</v>
      </c>
      <c r="EM197" s="22">
        <f t="shared" si="180"/>
        <v>1.0676332069095257E-12</v>
      </c>
      <c r="EN197" s="62">
        <f t="shared" si="198"/>
        <v>290.25878253422081</v>
      </c>
      <c r="EO197" s="62">
        <f ca="1">AVERAGE(OFFSET($EN$3,0,0,'Données projet'!$E$15+1,1))-AVERAGE(OFFSET($H$3,0,0,'Données projet'!$E$15+1,1))</f>
        <v>223.57443551076992</v>
      </c>
      <c r="EP197" s="62">
        <f t="shared" ref="EP197:EP203" si="210">$EP$3</f>
        <v>382.12751862619427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1.0340963128414884</v>
      </c>
      <c r="EW197" s="23">
        <f>EXP(-LN(2)/25)*EW196+(1-EXP(-LN(2)/25))/(LN(2)/25)*Calculateur!ER197*Calculateur!ET197*VLOOKUP('Données projet'!$B$15,Paramètres!$A$1:$I$89,3,0)*0.475*44/12</f>
        <v>0.14710797124352881</v>
      </c>
      <c r="EX197" s="23">
        <f>EXP(-LN(2)/2)*EX196+(1-EXP(-LN(2)/2))/(LN(2)/2)*ER197*EU197*VLOOKUP('Données projet'!$B$15,Paramètres!$A$1:$I$89,3,0)*0.475*44/12</f>
        <v>2.0964060240868731E-24</v>
      </c>
      <c r="EY197" s="24">
        <f t="shared" si="181"/>
        <v>1.1812042840850172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283.95543623515323</v>
      </c>
      <c r="FK197" s="62">
        <f t="shared" ref="FK197:FK203" si="211">$FK$3</f>
        <v>196.96883829830929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5.6843418860808015E-14</v>
      </c>
      <c r="GA197" s="18">
        <f>FZ197*VLOOKUP('Données projet'!$B$17,Paramètres!$A$1:$I$89,3,0)*VLOOKUP('Données projet'!$B$17,Paramètres!$A$1:$I$89,5,0)</f>
        <v>3.3992364478763198E-14</v>
      </c>
      <c r="GB197" s="14">
        <f t="shared" si="185"/>
        <v>5.790027782444094E-13</v>
      </c>
      <c r="GC197" s="22">
        <f t="shared" si="186"/>
        <v>1.0676332069095257E-12</v>
      </c>
      <c r="GD197" s="62">
        <f t="shared" si="200"/>
        <v>290.25878253422081</v>
      </c>
      <c r="GE197" s="62">
        <f ca="1">AVERAGE(OFFSET($GD$3,0,0,'Données projet'!$E$17+1,1))-AVERAGE(OFFSET($H$3,0,0,'Données projet'!$E$17+1,1))</f>
        <v>223.57443551076992</v>
      </c>
      <c r="GF197" s="62">
        <f t="shared" ref="GF197:GF203" si="212">$GF$3</f>
        <v>382.12751862619427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1.0340963128414884</v>
      </c>
      <c r="GM197" s="23">
        <f>EXP(-LN(2)/25)*GM196+(1-EXP(-LN(2)/25))/(LN(2)/25)*Calculateur!GH197*Calculateur!GJ197*VLOOKUP('Données projet'!$B$17,Paramètres!$A$1:$I$89,3,0)*0.475*44/12</f>
        <v>0.14710797124352881</v>
      </c>
      <c r="GN197" s="23">
        <f>EXP(-LN(2)/2)*GN196+(1-EXP(-LN(2)/2))/(LN(2)/2)*GH197*GK197*VLOOKUP('Données projet'!$B$17,Paramètres!$A$1:$I$89,3,0)*0.475*44/12</f>
        <v>2.0964060240868731E-24</v>
      </c>
      <c r="GO197" s="23">
        <f t="shared" si="187"/>
        <v>1.1812042840850172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1.5916157281026244E-12</v>
      </c>
      <c r="GV197" s="18">
        <f>GU197*VLOOKUP('Données projet'!$B$18,Paramètres!$A$1:$I$89,3,0)*VLOOKUP('Données projet'!$B$18,Paramètres!$A$1:$I$89,5,0)</f>
        <v>1.7380443750880657E-12</v>
      </c>
      <c r="GW197" s="14">
        <f t="shared" si="188"/>
        <v>1.8727070317424442E-11</v>
      </c>
      <c r="GX197" s="22">
        <f t="shared" si="189"/>
        <v>3.5643408089459281E-11</v>
      </c>
      <c r="GY197" s="62">
        <f t="shared" si="201"/>
        <v>290.25878253425537</v>
      </c>
      <c r="GZ197" s="62">
        <f ca="1">AVERAGE(OFFSET($GY$3,0,0,'Données projet'!$E$18+1,1))-AVERAGE(OFFSET($H$3,0,0,'Données projet'!$E$18+1,1))</f>
        <v>754.33260592777049</v>
      </c>
      <c r="HA197" s="62">
        <f t="shared" ref="HA197:HA203" si="213">$HA$3</f>
        <v>250.97643915279005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9">
        <f t="shared" si="192"/>
        <v>183.33333333333334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-4.1145540308207271E-13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550.39292625253665</v>
      </c>
      <c r="T198" s="62">
        <f t="shared" si="204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-4.5474735088646412E-13</v>
      </c>
      <c r="AJ198" s="14">
        <f>AI198*VLOOKUP('Données projet'!$B$10,Paramètres!$A$1:$I$89,3,0)*VLOOKUP('Données projet'!$B$10,Paramètres!$A$1:$I$89,5,0)</f>
        <v>-4.6111381379887462E-13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606.55142836375308</v>
      </c>
      <c r="AO198" s="62">
        <f t="shared" si="205"/>
        <v>325.72635759450861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5.1159076974727213E-13</v>
      </c>
      <c r="BE198" s="14">
        <f>BD198*VLOOKUP('Données projet'!$B$11,Paramètres!$A$1:$I$89,3,0)*VLOOKUP('Données projet'!$B$11,Paramètres!$A$1:$I$89,5,0)</f>
        <v>5.3471467253984886E-13</v>
      </c>
      <c r="BF198" s="14">
        <f t="shared" si="167"/>
        <v>6.6087717628803869E-12</v>
      </c>
      <c r="BG198" s="22">
        <f t="shared" si="168"/>
        <v>1.244157220835691E-11</v>
      </c>
      <c r="BH198" s="62">
        <f t="shared" si="194"/>
        <v>290.31211911693094</v>
      </c>
      <c r="BI198" s="62">
        <f ca="1">AVERAGE(OFFSET($BH$3,0,0,'Données projet'!$E$11+1,1))-AVERAGE(OFFSET($H$3,0,0,'Données projet'!$E$11+1,1))</f>
        <v>635.13577238794812</v>
      </c>
      <c r="BJ198" s="62">
        <f t="shared" si="206"/>
        <v>374.35810525172019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-6.8212102632969618E-13</v>
      </c>
      <c r="BZ198" s="14">
        <f>BY198*VLOOKUP('Données projet'!$B$12,Paramètres!$A$1:$I$89,3,0)*VLOOKUP('Données projet'!$B$12,Paramètres!$A$1:$I$89,5,0)</f>
        <v>-3.0149749363772573E-13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580.02817743695846</v>
      </c>
      <c r="CE198" s="62">
        <f t="shared" si="207"/>
        <v>551.23515633208865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3.979039320256561E-13</v>
      </c>
      <c r="CU198" s="18">
        <f>CT198*VLOOKUP('Données projet'!$B$13,Paramètres!$A$1:$I$89,3,0)*VLOOKUP('Données projet'!$B$13,Paramètres!$A$1:$I$89,5,0)</f>
        <v>1.8621904018800707E-13</v>
      </c>
      <c r="CV198" s="14">
        <f t="shared" si="173"/>
        <v>2.6022279988572714E-12</v>
      </c>
      <c r="CW198" s="22">
        <f t="shared" si="174"/>
        <v>4.8565452596705266E-12</v>
      </c>
      <c r="CX198" s="62">
        <f t="shared" si="196"/>
        <v>290.31211911692333</v>
      </c>
      <c r="CY198" s="62">
        <f ca="1">AVERAGE(OFFSET($CX$3,0,0,'Données projet'!$E$13+1,1))-AVERAGE(OFFSET($H$3,0,0,'Données projet'!$E$13+1,1))</f>
        <v>321.05795935196863</v>
      </c>
      <c r="CZ198" s="62">
        <f t="shared" si="208"/>
        <v>209.59551322748908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-4.5474735088646412E-13</v>
      </c>
      <c r="DP198" s="18">
        <f>DO198*VLOOKUP('Données projet'!$B$14,Paramètres!$A$1:$I$89,3,0)*VLOOKUP('Données projet'!$B$14,Paramètres!$A$1:$I$89,5,0)</f>
        <v>-4.8949004849418999E-13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638.58602907610805</v>
      </c>
      <c r="DU198" s="62">
        <f t="shared" si="209"/>
        <v>341.9250949809848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3.3992364478763198E-14</v>
      </c>
      <c r="EL198" s="14">
        <f t="shared" si="179"/>
        <v>5.790027782444094E-13</v>
      </c>
      <c r="EM198" s="22">
        <f t="shared" si="180"/>
        <v>1.0676332069095257E-12</v>
      </c>
      <c r="EN198" s="62">
        <f t="shared" si="198"/>
        <v>290.31211911691958</v>
      </c>
      <c r="EO198" s="62">
        <f ca="1">AVERAGE(OFFSET($EN$3,0,0,'Données projet'!$E$15+1,1))-AVERAGE(OFFSET($H$3,0,0,'Données projet'!$E$15+1,1))</f>
        <v>223.57443551076992</v>
      </c>
      <c r="EP198" s="62">
        <f t="shared" si="210"/>
        <v>382.12751862619427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1.0138183148831377</v>
      </c>
      <c r="EW198" s="23">
        <f>EXP(-LN(2)/25)*EW197+(1-EXP(-LN(2)/25))/(LN(2)/25)*Calculateur!ER198*Calculateur!ET198*VLOOKUP('Données projet'!$B$15,Paramètres!$A$1:$I$89,3,0)*0.475*44/12</f>
        <v>0.14308529603380252</v>
      </c>
      <c r="EX198" s="23">
        <f>EXP(-LN(2)/2)*EX197+(1-EXP(-LN(2)/2))/(LN(2)/2)*ER198*EU198*VLOOKUP('Données projet'!$B$15,Paramètres!$A$1:$I$89,3,0)*0.475*44/12</f>
        <v>1.4823829157521567E-24</v>
      </c>
      <c r="EY198" s="24">
        <f t="shared" si="181"/>
        <v>1.1569036109169402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283.95543623515323</v>
      </c>
      <c r="FK198" s="62">
        <f t="shared" si="211"/>
        <v>196.96883829830929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5.6843418860808015E-14</v>
      </c>
      <c r="GA198" s="18">
        <f>FZ198*VLOOKUP('Données projet'!$B$17,Paramètres!$A$1:$I$89,3,0)*VLOOKUP('Données projet'!$B$17,Paramètres!$A$1:$I$89,5,0)</f>
        <v>3.3992364478763198E-14</v>
      </c>
      <c r="GB198" s="14">
        <f t="shared" si="185"/>
        <v>5.790027782444094E-13</v>
      </c>
      <c r="GC198" s="22">
        <f t="shared" si="186"/>
        <v>1.0676332069095257E-12</v>
      </c>
      <c r="GD198" s="62">
        <f t="shared" si="200"/>
        <v>290.31211911691958</v>
      </c>
      <c r="GE198" s="62">
        <f ca="1">AVERAGE(OFFSET($GD$3,0,0,'Données projet'!$E$17+1,1))-AVERAGE(OFFSET($H$3,0,0,'Données projet'!$E$17+1,1))</f>
        <v>223.57443551076992</v>
      </c>
      <c r="GF198" s="62">
        <f t="shared" si="212"/>
        <v>382.12751862619427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1.0138183148831377</v>
      </c>
      <c r="GM198" s="23">
        <f>EXP(-LN(2)/25)*GM197+(1-EXP(-LN(2)/25))/(LN(2)/25)*Calculateur!GH198*Calculateur!GJ198*VLOOKUP('Données projet'!$B$17,Paramètres!$A$1:$I$89,3,0)*0.475*44/12</f>
        <v>0.14308529603380252</v>
      </c>
      <c r="GN198" s="23">
        <f>EXP(-LN(2)/2)*GN197+(1-EXP(-LN(2)/2))/(LN(2)/2)*GH198*GK198*VLOOKUP('Données projet'!$B$17,Paramètres!$A$1:$I$89,3,0)*0.475*44/12</f>
        <v>1.4823829157521567E-24</v>
      </c>
      <c r="GO198" s="23">
        <f t="shared" si="187"/>
        <v>1.1569036109169402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1.5916157281026244E-12</v>
      </c>
      <c r="GV198" s="18">
        <f>GU198*VLOOKUP('Données projet'!$B$18,Paramètres!$A$1:$I$89,3,0)*VLOOKUP('Données projet'!$B$18,Paramètres!$A$1:$I$89,5,0)</f>
        <v>1.7380443750880657E-12</v>
      </c>
      <c r="GW198" s="14">
        <f t="shared" si="188"/>
        <v>1.8727070317424442E-11</v>
      </c>
      <c r="GX198" s="22">
        <f t="shared" si="189"/>
        <v>3.5643408089459281E-11</v>
      </c>
      <c r="GY198" s="62">
        <f t="shared" si="201"/>
        <v>290.31211911695414</v>
      </c>
      <c r="GZ198" s="62">
        <f ca="1">AVERAGE(OFFSET($GY$3,0,0,'Données projet'!$E$18+1,1))-AVERAGE(OFFSET($H$3,0,0,'Données projet'!$E$18+1,1))</f>
        <v>754.33260592777049</v>
      </c>
      <c r="HA198" s="62">
        <f t="shared" si="213"/>
        <v>250.97643915279005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9">
        <f t="shared" si="192"/>
        <v>183.33333333333334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-4.1145540308207271E-13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550.39292625253665</v>
      </c>
      <c r="T199" s="62">
        <f t="shared" si="204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-4.5474735088646412E-13</v>
      </c>
      <c r="AJ199" s="14">
        <f>AI199*VLOOKUP('Données projet'!$B$10,Paramètres!$A$1:$I$89,3,0)*VLOOKUP('Données projet'!$B$10,Paramètres!$A$1:$I$89,5,0)</f>
        <v>-4.6111381379887462E-13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606.55142836375308</v>
      </c>
      <c r="AO199" s="62">
        <f t="shared" si="205"/>
        <v>325.72635759450861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5.1159076974727213E-13</v>
      </c>
      <c r="BE199" s="14">
        <f>BD199*VLOOKUP('Données projet'!$B$11,Paramètres!$A$1:$I$89,3,0)*VLOOKUP('Données projet'!$B$11,Paramètres!$A$1:$I$89,5,0)</f>
        <v>5.3471467253984886E-13</v>
      </c>
      <c r="BF199" s="14">
        <f t="shared" si="167"/>
        <v>6.6087717628803869E-12</v>
      </c>
      <c r="BG199" s="22">
        <f t="shared" si="168"/>
        <v>1.244157220835691E-11</v>
      </c>
      <c r="BH199" s="62">
        <f t="shared" si="194"/>
        <v>290.36453042916264</v>
      </c>
      <c r="BI199" s="62">
        <f ca="1">AVERAGE(OFFSET($BH$3,0,0,'Données projet'!$E$11+1,1))-AVERAGE(OFFSET($H$3,0,0,'Données projet'!$E$11+1,1))</f>
        <v>635.13577238794812</v>
      </c>
      <c r="BJ199" s="62">
        <f t="shared" si="206"/>
        <v>374.35810525172019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-6.8212102632969618E-13</v>
      </c>
      <c r="BZ199" s="14">
        <f>BY199*VLOOKUP('Données projet'!$B$12,Paramètres!$A$1:$I$89,3,0)*VLOOKUP('Données projet'!$B$12,Paramètres!$A$1:$I$89,5,0)</f>
        <v>-3.0149749363772573E-13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580.02817743695846</v>
      </c>
      <c r="CE199" s="62">
        <f t="shared" si="207"/>
        <v>551.23515633208865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3.979039320256561E-13</v>
      </c>
      <c r="CU199" s="18">
        <f>CT199*VLOOKUP('Données projet'!$B$13,Paramètres!$A$1:$I$89,3,0)*VLOOKUP('Données projet'!$B$13,Paramètres!$A$1:$I$89,5,0)</f>
        <v>1.8621904018800707E-13</v>
      </c>
      <c r="CV199" s="14">
        <f t="shared" si="173"/>
        <v>2.6022279988572714E-12</v>
      </c>
      <c r="CW199" s="22">
        <f t="shared" si="174"/>
        <v>4.8565452596705266E-12</v>
      </c>
      <c r="CX199" s="62">
        <f t="shared" si="196"/>
        <v>290.36453042915502</v>
      </c>
      <c r="CY199" s="62">
        <f ca="1">AVERAGE(OFFSET($CX$3,0,0,'Données projet'!$E$13+1,1))-AVERAGE(OFFSET($H$3,0,0,'Données projet'!$E$13+1,1))</f>
        <v>321.05795935196863</v>
      </c>
      <c r="CZ199" s="62">
        <f t="shared" si="208"/>
        <v>209.59551322748908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-4.5474735088646412E-13</v>
      </c>
      <c r="DP199" s="18">
        <f>DO199*VLOOKUP('Données projet'!$B$14,Paramètres!$A$1:$I$89,3,0)*VLOOKUP('Données projet'!$B$14,Paramètres!$A$1:$I$89,5,0)</f>
        <v>-4.8949004849418999E-13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638.58602907610805</v>
      </c>
      <c r="DU199" s="62">
        <f t="shared" si="209"/>
        <v>341.9250949809848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3.3992364478763198E-14</v>
      </c>
      <c r="EL199" s="14">
        <f t="shared" si="179"/>
        <v>5.790027782444094E-13</v>
      </c>
      <c r="EM199" s="22">
        <f t="shared" si="180"/>
        <v>1.0676332069095257E-12</v>
      </c>
      <c r="EN199" s="62">
        <f t="shared" si="198"/>
        <v>290.36453042915127</v>
      </c>
      <c r="EO199" s="62">
        <f ca="1">AVERAGE(OFFSET($EN$3,0,0,'Données projet'!$E$15+1,1))-AVERAGE(OFFSET($H$3,0,0,'Données projet'!$E$15+1,1))</f>
        <v>223.57443551076992</v>
      </c>
      <c r="EP199" s="62">
        <f t="shared" si="210"/>
        <v>382.12751862619427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0.99393795609639268</v>
      </c>
      <c r="EW199" s="23">
        <f>EXP(-LN(2)/25)*EW198+(1-EXP(-LN(2)/25))/(LN(2)/25)*Calculateur!ER199*Calculateur!ET199*VLOOKUP('Données projet'!$B$15,Paramètres!$A$1:$I$89,3,0)*0.475*44/12</f>
        <v>0.13917262108922948</v>
      </c>
      <c r="EX199" s="23">
        <f>EXP(-LN(2)/2)*EX198+(1-EXP(-LN(2)/2))/(LN(2)/2)*ER199*EU199*VLOOKUP('Données projet'!$B$15,Paramètres!$A$1:$I$89,3,0)*0.475*44/12</f>
        <v>1.0482030120434366E-24</v>
      </c>
      <c r="EY199" s="24">
        <f t="shared" si="181"/>
        <v>1.1331105771856222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283.95543623515323</v>
      </c>
      <c r="FK199" s="62">
        <f t="shared" si="211"/>
        <v>196.96883829830929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5.6843418860808015E-14</v>
      </c>
      <c r="GA199" s="18">
        <f>FZ199*VLOOKUP('Données projet'!$B$17,Paramètres!$A$1:$I$89,3,0)*VLOOKUP('Données projet'!$B$17,Paramètres!$A$1:$I$89,5,0)</f>
        <v>3.3992364478763198E-14</v>
      </c>
      <c r="GB199" s="14">
        <f t="shared" si="185"/>
        <v>5.790027782444094E-13</v>
      </c>
      <c r="GC199" s="22">
        <f t="shared" si="186"/>
        <v>1.0676332069095257E-12</v>
      </c>
      <c r="GD199" s="62">
        <f t="shared" si="200"/>
        <v>290.36453042915127</v>
      </c>
      <c r="GE199" s="62">
        <f ca="1">AVERAGE(OFFSET($GD$3,0,0,'Données projet'!$E$17+1,1))-AVERAGE(OFFSET($H$3,0,0,'Données projet'!$E$17+1,1))</f>
        <v>223.57443551076992</v>
      </c>
      <c r="GF199" s="62">
        <f t="shared" si="212"/>
        <v>382.12751862619427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0.99393795609639268</v>
      </c>
      <c r="GM199" s="23">
        <f>EXP(-LN(2)/25)*GM198+(1-EXP(-LN(2)/25))/(LN(2)/25)*Calculateur!GH199*Calculateur!GJ199*VLOOKUP('Données projet'!$B$17,Paramètres!$A$1:$I$89,3,0)*0.475*44/12</f>
        <v>0.13917262108922948</v>
      </c>
      <c r="GN199" s="23">
        <f>EXP(-LN(2)/2)*GN198+(1-EXP(-LN(2)/2))/(LN(2)/2)*GH199*GK199*VLOOKUP('Données projet'!$B$17,Paramètres!$A$1:$I$89,3,0)*0.475*44/12</f>
        <v>1.0482030120434366E-24</v>
      </c>
      <c r="GO199" s="23">
        <f t="shared" si="187"/>
        <v>1.1331105771856222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1.5916157281026244E-12</v>
      </c>
      <c r="GV199" s="18">
        <f>GU199*VLOOKUP('Données projet'!$B$18,Paramètres!$A$1:$I$89,3,0)*VLOOKUP('Données projet'!$B$18,Paramètres!$A$1:$I$89,5,0)</f>
        <v>1.7380443750880657E-12</v>
      </c>
      <c r="GW199" s="14">
        <f t="shared" si="188"/>
        <v>1.8727070317424442E-11</v>
      </c>
      <c r="GX199" s="22">
        <f t="shared" si="189"/>
        <v>3.5643408089459281E-11</v>
      </c>
      <c r="GY199" s="62">
        <f t="shared" si="201"/>
        <v>290.36453042918583</v>
      </c>
      <c r="GZ199" s="62">
        <f ca="1">AVERAGE(OFFSET($GY$3,0,0,'Données projet'!$E$18+1,1))-AVERAGE(OFFSET($H$3,0,0,'Données projet'!$E$18+1,1))</f>
        <v>754.33260592777049</v>
      </c>
      <c r="HA199" s="62">
        <f t="shared" si="213"/>
        <v>250.97643915279005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9">
        <f t="shared" si="192"/>
        <v>183.33333333333334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-4.1145540308207271E-13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550.39292625253665</v>
      </c>
      <c r="T200" s="62">
        <f t="shared" si="204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-4.5474735088646412E-13</v>
      </c>
      <c r="AJ200" s="14">
        <f>AI200*VLOOKUP('Données projet'!$B$10,Paramètres!$A$1:$I$89,3,0)*VLOOKUP('Données projet'!$B$10,Paramètres!$A$1:$I$89,5,0)</f>
        <v>-4.6111381379887462E-13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606.55142836375308</v>
      </c>
      <c r="AO200" s="62">
        <f t="shared" si="205"/>
        <v>325.72635759450861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5.1159076974727213E-13</v>
      </c>
      <c r="BE200" s="14">
        <f>BD200*VLOOKUP('Données projet'!$B$11,Paramètres!$A$1:$I$89,3,0)*VLOOKUP('Données projet'!$B$11,Paramètres!$A$1:$I$89,5,0)</f>
        <v>5.3471467253984886E-13</v>
      </c>
      <c r="BF200" s="14">
        <f t="shared" si="167"/>
        <v>6.6087717628803869E-12</v>
      </c>
      <c r="BG200" s="22">
        <f t="shared" si="168"/>
        <v>1.244157220835691E-11</v>
      </c>
      <c r="BH200" s="62">
        <f t="shared" si="194"/>
        <v>290.41603252230124</v>
      </c>
      <c r="BI200" s="62">
        <f ca="1">AVERAGE(OFFSET($BH$3,0,0,'Données projet'!$E$11+1,1))-AVERAGE(OFFSET($H$3,0,0,'Données projet'!$E$11+1,1))</f>
        <v>635.13577238794812</v>
      </c>
      <c r="BJ200" s="62">
        <f t="shared" si="206"/>
        <v>374.35810525172019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-6.8212102632969618E-13</v>
      </c>
      <c r="BZ200" s="14">
        <f>BY200*VLOOKUP('Données projet'!$B$12,Paramètres!$A$1:$I$89,3,0)*VLOOKUP('Données projet'!$B$12,Paramètres!$A$1:$I$89,5,0)</f>
        <v>-3.0149749363772573E-13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580.02817743695846</v>
      </c>
      <c r="CE200" s="62">
        <f t="shared" si="207"/>
        <v>551.23515633208865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3.979039320256561E-13</v>
      </c>
      <c r="CU200" s="18">
        <f>CT200*VLOOKUP('Données projet'!$B$13,Paramètres!$A$1:$I$89,3,0)*VLOOKUP('Données projet'!$B$13,Paramètres!$A$1:$I$89,5,0)</f>
        <v>1.8621904018800707E-13</v>
      </c>
      <c r="CV200" s="14">
        <f t="shared" si="173"/>
        <v>2.6022279988572714E-12</v>
      </c>
      <c r="CW200" s="22">
        <f t="shared" si="174"/>
        <v>4.8565452596705266E-12</v>
      </c>
      <c r="CX200" s="62">
        <f t="shared" si="196"/>
        <v>290.41603252229362</v>
      </c>
      <c r="CY200" s="62">
        <f ca="1">AVERAGE(OFFSET($CX$3,0,0,'Données projet'!$E$13+1,1))-AVERAGE(OFFSET($H$3,0,0,'Données projet'!$E$13+1,1))</f>
        <v>321.05795935196863</v>
      </c>
      <c r="CZ200" s="62">
        <f t="shared" si="208"/>
        <v>209.59551322748908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-4.5474735088646412E-13</v>
      </c>
      <c r="DP200" s="18">
        <f>DO200*VLOOKUP('Données projet'!$B$14,Paramètres!$A$1:$I$89,3,0)*VLOOKUP('Données projet'!$B$14,Paramètres!$A$1:$I$89,5,0)</f>
        <v>-4.8949004849418999E-13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638.58602907610805</v>
      </c>
      <c r="DU200" s="62">
        <f t="shared" si="209"/>
        <v>341.9250949809848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3.3992364478763198E-14</v>
      </c>
      <c r="EL200" s="14">
        <f t="shared" si="179"/>
        <v>5.790027782444094E-13</v>
      </c>
      <c r="EM200" s="22">
        <f t="shared" si="180"/>
        <v>1.0676332069095257E-12</v>
      </c>
      <c r="EN200" s="62">
        <f t="shared" si="198"/>
        <v>290.41603252228987</v>
      </c>
      <c r="EO200" s="62">
        <f ca="1">AVERAGE(OFFSET($EN$3,0,0,'Données projet'!$E$15+1,1))-AVERAGE(OFFSET($H$3,0,0,'Données projet'!$E$15+1,1))</f>
        <v>223.57443551076992</v>
      </c>
      <c r="EP200" s="62">
        <f t="shared" si="210"/>
        <v>382.12751862619427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0.97444743901963415</v>
      </c>
      <c r="EW200" s="23">
        <f>EXP(-LN(2)/25)*EW199+(1-EXP(-LN(2)/25))/(LN(2)/25)*Calculateur!ER200*Calculateur!ET200*VLOOKUP('Données projet'!$B$15,Paramètres!$A$1:$I$89,3,0)*0.475*44/12</f>
        <v>0.13536693844677444</v>
      </c>
      <c r="EX200" s="23">
        <f>EXP(-LN(2)/2)*EX199+(1-EXP(-LN(2)/2))/(LN(2)/2)*ER200*EU200*VLOOKUP('Données projet'!$B$15,Paramètres!$A$1:$I$89,3,0)*0.475*44/12</f>
        <v>7.4119145787607836E-25</v>
      </c>
      <c r="EY200" s="24">
        <f t="shared" si="181"/>
        <v>1.1098143774664087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283.95543623515323</v>
      </c>
      <c r="FK200" s="62">
        <f t="shared" si="211"/>
        <v>196.96883829830929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5.6843418860808015E-14</v>
      </c>
      <c r="GA200" s="18">
        <f>FZ200*VLOOKUP('Données projet'!$B$17,Paramètres!$A$1:$I$89,3,0)*VLOOKUP('Données projet'!$B$17,Paramètres!$A$1:$I$89,5,0)</f>
        <v>3.3992364478763198E-14</v>
      </c>
      <c r="GB200" s="14">
        <f t="shared" si="185"/>
        <v>5.790027782444094E-13</v>
      </c>
      <c r="GC200" s="22">
        <f t="shared" si="186"/>
        <v>1.0676332069095257E-12</v>
      </c>
      <c r="GD200" s="62">
        <f t="shared" si="200"/>
        <v>290.41603252228987</v>
      </c>
      <c r="GE200" s="62">
        <f ca="1">AVERAGE(OFFSET($GD$3,0,0,'Données projet'!$E$17+1,1))-AVERAGE(OFFSET($H$3,0,0,'Données projet'!$E$17+1,1))</f>
        <v>223.57443551076992</v>
      </c>
      <c r="GF200" s="62">
        <f t="shared" si="212"/>
        <v>382.12751862619427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0.97444743901963415</v>
      </c>
      <c r="GM200" s="23">
        <f>EXP(-LN(2)/25)*GM199+(1-EXP(-LN(2)/25))/(LN(2)/25)*Calculateur!GH200*Calculateur!GJ200*VLOOKUP('Données projet'!$B$17,Paramètres!$A$1:$I$89,3,0)*0.475*44/12</f>
        <v>0.13536693844677444</v>
      </c>
      <c r="GN200" s="23">
        <f>EXP(-LN(2)/2)*GN199+(1-EXP(-LN(2)/2))/(LN(2)/2)*GH200*GK200*VLOOKUP('Données projet'!$B$17,Paramètres!$A$1:$I$89,3,0)*0.475*44/12</f>
        <v>7.4119145787607836E-25</v>
      </c>
      <c r="GO200" s="23">
        <f t="shared" si="187"/>
        <v>1.1098143774664087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1.5916157281026244E-12</v>
      </c>
      <c r="GV200" s="18">
        <f>GU200*VLOOKUP('Données projet'!$B$18,Paramètres!$A$1:$I$89,3,0)*VLOOKUP('Données projet'!$B$18,Paramètres!$A$1:$I$89,5,0)</f>
        <v>1.7380443750880657E-12</v>
      </c>
      <c r="GW200" s="14">
        <f t="shared" si="188"/>
        <v>1.8727070317424442E-11</v>
      </c>
      <c r="GX200" s="22">
        <f t="shared" si="189"/>
        <v>3.5643408089459281E-11</v>
      </c>
      <c r="GY200" s="62">
        <f t="shared" si="201"/>
        <v>290.41603252232443</v>
      </c>
      <c r="GZ200" s="62">
        <f ca="1">AVERAGE(OFFSET($GY$3,0,0,'Données projet'!$E$18+1,1))-AVERAGE(OFFSET($H$3,0,0,'Données projet'!$E$18+1,1))</f>
        <v>754.33260592777049</v>
      </c>
      <c r="HA200" s="62">
        <f t="shared" si="213"/>
        <v>250.97643915279005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9">
        <f t="shared" si="192"/>
        <v>183.33333333333334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-4.1145540308207271E-13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550.39292625253665</v>
      </c>
      <c r="T201" s="62">
        <f t="shared" si="204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-4.5474735088646412E-13</v>
      </c>
      <c r="AJ201" s="14">
        <f>AI201*VLOOKUP('Données projet'!$B$10,Paramètres!$A$1:$I$89,3,0)*VLOOKUP('Données projet'!$B$10,Paramètres!$A$1:$I$89,5,0)</f>
        <v>-4.6111381379887462E-13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606.55142836375308</v>
      </c>
      <c r="AO201" s="62">
        <f t="shared" si="205"/>
        <v>325.72635759450861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5.1159076974727213E-13</v>
      </c>
      <c r="BE201" s="14">
        <f>BD201*VLOOKUP('Données projet'!$B$11,Paramètres!$A$1:$I$89,3,0)*VLOOKUP('Données projet'!$B$11,Paramètres!$A$1:$I$89,5,0)</f>
        <v>5.3471467253984886E-13</v>
      </c>
      <c r="BF201" s="14">
        <f t="shared" si="167"/>
        <v>6.6087717628803869E-12</v>
      </c>
      <c r="BG201" s="22">
        <f t="shared" si="168"/>
        <v>1.244157220835691E-11</v>
      </c>
      <c r="BH201" s="62">
        <f t="shared" si="194"/>
        <v>290.46664116926536</v>
      </c>
      <c r="BI201" s="62">
        <f ca="1">AVERAGE(OFFSET($BH$3,0,0,'Données projet'!$E$11+1,1))-AVERAGE(OFFSET($H$3,0,0,'Données projet'!$E$11+1,1))</f>
        <v>635.13577238794812</v>
      </c>
      <c r="BJ201" s="62">
        <f t="shared" si="206"/>
        <v>374.35810525172019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-6.8212102632969618E-13</v>
      </c>
      <c r="BZ201" s="14">
        <f>BY201*VLOOKUP('Données projet'!$B$12,Paramètres!$A$1:$I$89,3,0)*VLOOKUP('Données projet'!$B$12,Paramètres!$A$1:$I$89,5,0)</f>
        <v>-3.0149749363772573E-13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580.02817743695846</v>
      </c>
      <c r="CE201" s="62">
        <f t="shared" si="207"/>
        <v>551.23515633208865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3.979039320256561E-13</v>
      </c>
      <c r="CU201" s="18">
        <f>CT201*VLOOKUP('Données projet'!$B$13,Paramètres!$A$1:$I$89,3,0)*VLOOKUP('Données projet'!$B$13,Paramètres!$A$1:$I$89,5,0)</f>
        <v>1.8621904018800707E-13</v>
      </c>
      <c r="CV201" s="14">
        <f t="shared" si="173"/>
        <v>2.6022279988572714E-12</v>
      </c>
      <c r="CW201" s="22">
        <f t="shared" si="174"/>
        <v>4.8565452596705266E-12</v>
      </c>
      <c r="CX201" s="62">
        <f t="shared" si="196"/>
        <v>290.46664116925774</v>
      </c>
      <c r="CY201" s="62">
        <f ca="1">AVERAGE(OFFSET($CX$3,0,0,'Données projet'!$E$13+1,1))-AVERAGE(OFFSET($H$3,0,0,'Données projet'!$E$13+1,1))</f>
        <v>321.05795935196863</v>
      </c>
      <c r="CZ201" s="62">
        <f t="shared" si="208"/>
        <v>209.59551322748908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-4.5474735088646412E-13</v>
      </c>
      <c r="DP201" s="18">
        <f>DO201*VLOOKUP('Données projet'!$B$14,Paramètres!$A$1:$I$89,3,0)*VLOOKUP('Données projet'!$B$14,Paramètres!$A$1:$I$89,5,0)</f>
        <v>-4.8949004849418999E-13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638.58602907610805</v>
      </c>
      <c r="DU201" s="62">
        <f t="shared" si="209"/>
        <v>341.9250949809848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3.3992364478763198E-14</v>
      </c>
      <c r="EL201" s="14">
        <f t="shared" si="179"/>
        <v>5.790027782444094E-13</v>
      </c>
      <c r="EM201" s="22">
        <f t="shared" si="180"/>
        <v>1.0676332069095257E-12</v>
      </c>
      <c r="EN201" s="62">
        <f t="shared" si="198"/>
        <v>290.46664116925399</v>
      </c>
      <c r="EO201" s="62">
        <f ca="1">AVERAGE(OFFSET($EN$3,0,0,'Données projet'!$E$15+1,1))-AVERAGE(OFFSET($H$3,0,0,'Données projet'!$E$15+1,1))</f>
        <v>223.57443551076992</v>
      </c>
      <c r="EP201" s="62">
        <f t="shared" si="210"/>
        <v>382.12751862619427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0.95533911909470937</v>
      </c>
      <c r="EW201" s="23">
        <f>EXP(-LN(2)/25)*EW200+(1-EXP(-LN(2)/25))/(LN(2)/25)*Calculateur!ER201*Calculateur!ET201*VLOOKUP('Données projet'!$B$15,Paramètres!$A$1:$I$89,3,0)*0.475*44/12</f>
        <v>0.13166532239630949</v>
      </c>
      <c r="EX201" s="23">
        <f>EXP(-LN(2)/2)*EX200+(1-EXP(-LN(2)/2))/(LN(2)/2)*ER201*EU201*VLOOKUP('Données projet'!$B$15,Paramètres!$A$1:$I$89,3,0)*0.475*44/12</f>
        <v>5.2410150602171829E-25</v>
      </c>
      <c r="EY201" s="24">
        <f t="shared" si="181"/>
        <v>1.0870044414910189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283.95543623515323</v>
      </c>
      <c r="FK201" s="62">
        <f t="shared" si="211"/>
        <v>196.96883829830929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5.6843418860808015E-14</v>
      </c>
      <c r="GA201" s="18">
        <f>FZ201*VLOOKUP('Données projet'!$B$17,Paramètres!$A$1:$I$89,3,0)*VLOOKUP('Données projet'!$B$17,Paramètres!$A$1:$I$89,5,0)</f>
        <v>3.3992364478763198E-14</v>
      </c>
      <c r="GB201" s="14">
        <f t="shared" si="185"/>
        <v>5.790027782444094E-13</v>
      </c>
      <c r="GC201" s="22">
        <f t="shared" si="186"/>
        <v>1.0676332069095257E-12</v>
      </c>
      <c r="GD201" s="62">
        <f t="shared" si="200"/>
        <v>290.46664116925399</v>
      </c>
      <c r="GE201" s="62">
        <f ca="1">AVERAGE(OFFSET($GD$3,0,0,'Données projet'!$E$17+1,1))-AVERAGE(OFFSET($H$3,0,0,'Données projet'!$E$17+1,1))</f>
        <v>223.57443551076992</v>
      </c>
      <c r="GF201" s="62">
        <f t="shared" si="212"/>
        <v>382.12751862619427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0.95533911909470937</v>
      </c>
      <c r="GM201" s="23">
        <f>EXP(-LN(2)/25)*GM200+(1-EXP(-LN(2)/25))/(LN(2)/25)*Calculateur!GH201*Calculateur!GJ201*VLOOKUP('Données projet'!$B$17,Paramètres!$A$1:$I$89,3,0)*0.475*44/12</f>
        <v>0.13166532239630949</v>
      </c>
      <c r="GN201" s="23">
        <f>EXP(-LN(2)/2)*GN200+(1-EXP(-LN(2)/2))/(LN(2)/2)*GH201*GK201*VLOOKUP('Données projet'!$B$17,Paramètres!$A$1:$I$89,3,0)*0.475*44/12</f>
        <v>5.2410150602171829E-25</v>
      </c>
      <c r="GO201" s="23">
        <f t="shared" si="187"/>
        <v>1.0870044414910189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1.5916157281026244E-12</v>
      </c>
      <c r="GV201" s="18">
        <f>GU201*VLOOKUP('Données projet'!$B$18,Paramètres!$A$1:$I$89,3,0)*VLOOKUP('Données projet'!$B$18,Paramètres!$A$1:$I$89,5,0)</f>
        <v>1.7380443750880657E-12</v>
      </c>
      <c r="GW201" s="14">
        <f t="shared" si="188"/>
        <v>1.8727070317424442E-11</v>
      </c>
      <c r="GX201" s="22">
        <f t="shared" si="189"/>
        <v>3.5643408089459281E-11</v>
      </c>
      <c r="GY201" s="62">
        <f t="shared" si="201"/>
        <v>290.46664116928855</v>
      </c>
      <c r="GZ201" s="62">
        <f ca="1">AVERAGE(OFFSET($GY$3,0,0,'Données projet'!$E$18+1,1))-AVERAGE(OFFSET($H$3,0,0,'Données projet'!$E$18+1,1))</f>
        <v>754.33260592777049</v>
      </c>
      <c r="HA201" s="62">
        <f t="shared" si="213"/>
        <v>250.97643915279005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9">
        <f t="shared" si="192"/>
        <v>183.33333333333334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-4.1145540308207271E-13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550.39292625253665</v>
      </c>
      <c r="T202" s="62">
        <f t="shared" si="204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-4.5474735088646412E-13</v>
      </c>
      <c r="AJ202" s="14">
        <f>AI202*VLOOKUP('Données projet'!$B$10,Paramètres!$A$1:$I$89,3,0)*VLOOKUP('Données projet'!$B$10,Paramètres!$A$1:$I$89,5,0)</f>
        <v>-4.6111381379887462E-13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606.55142836375308</v>
      </c>
      <c r="AO202" s="62">
        <f t="shared" si="205"/>
        <v>325.72635759450861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5.1159076974727213E-13</v>
      </c>
      <c r="BE202" s="14">
        <f>BD202*VLOOKUP('Données projet'!$B$11,Paramètres!$A$1:$I$89,3,0)*VLOOKUP('Données projet'!$B$11,Paramètres!$A$1:$I$89,5,0)</f>
        <v>5.3471467253984886E-13</v>
      </c>
      <c r="BF202" s="14">
        <f t="shared" si="167"/>
        <v>6.6087717628803869E-12</v>
      </c>
      <c r="BG202" s="22">
        <f t="shared" si="168"/>
        <v>1.244157220835691E-11</v>
      </c>
      <c r="BH202" s="62">
        <f t="shared" si="194"/>
        <v>290.51637186934857</v>
      </c>
      <c r="BI202" s="62">
        <f ca="1">AVERAGE(OFFSET($BH$3,0,0,'Données projet'!$E$11+1,1))-AVERAGE(OFFSET($H$3,0,0,'Données projet'!$E$11+1,1))</f>
        <v>635.13577238794812</v>
      </c>
      <c r="BJ202" s="62">
        <f t="shared" si="206"/>
        <v>374.35810525172019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-6.8212102632969618E-13</v>
      </c>
      <c r="BZ202" s="14">
        <f>BY202*VLOOKUP('Données projet'!$B$12,Paramètres!$A$1:$I$89,3,0)*VLOOKUP('Données projet'!$B$12,Paramètres!$A$1:$I$89,5,0)</f>
        <v>-3.0149749363772573E-13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580.02817743695846</v>
      </c>
      <c r="CE202" s="62">
        <f t="shared" si="207"/>
        <v>551.23515633208865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3.979039320256561E-13</v>
      </c>
      <c r="CU202" s="18">
        <f>CT202*VLOOKUP('Données projet'!$B$13,Paramètres!$A$1:$I$89,3,0)*VLOOKUP('Données projet'!$B$13,Paramètres!$A$1:$I$89,5,0)</f>
        <v>1.8621904018800707E-13</v>
      </c>
      <c r="CV202" s="14">
        <f t="shared" si="173"/>
        <v>2.6022279988572714E-12</v>
      </c>
      <c r="CW202" s="22">
        <f t="shared" si="174"/>
        <v>4.8565452596705266E-12</v>
      </c>
      <c r="CX202" s="62">
        <f t="shared" si="196"/>
        <v>290.51637186934096</v>
      </c>
      <c r="CY202" s="62">
        <f ca="1">AVERAGE(OFFSET($CX$3,0,0,'Données projet'!$E$13+1,1))-AVERAGE(OFFSET($H$3,0,0,'Données projet'!$E$13+1,1))</f>
        <v>321.05795935196863</v>
      </c>
      <c r="CZ202" s="62">
        <f t="shared" si="208"/>
        <v>209.59551322748908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-4.5474735088646412E-13</v>
      </c>
      <c r="DP202" s="18">
        <f>DO202*VLOOKUP('Données projet'!$B$14,Paramètres!$A$1:$I$89,3,0)*VLOOKUP('Données projet'!$B$14,Paramètres!$A$1:$I$89,5,0)</f>
        <v>-4.8949004849418999E-13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638.58602907610805</v>
      </c>
      <c r="DU202" s="62">
        <f t="shared" si="209"/>
        <v>341.9250949809848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3.3992364478763198E-14</v>
      </c>
      <c r="EL202" s="14">
        <f t="shared" si="179"/>
        <v>5.790027782444094E-13</v>
      </c>
      <c r="EM202" s="22">
        <f t="shared" si="180"/>
        <v>1.0676332069095257E-12</v>
      </c>
      <c r="EN202" s="62">
        <f t="shared" si="198"/>
        <v>290.51637186933721</v>
      </c>
      <c r="EO202" s="62">
        <f ca="1">AVERAGE(OFFSET($EN$3,0,0,'Données projet'!$E$15+1,1))-AVERAGE(OFFSET($H$3,0,0,'Données projet'!$E$15+1,1))</f>
        <v>223.57443551076992</v>
      </c>
      <c r="EP202" s="62">
        <f t="shared" si="210"/>
        <v>382.12751862619427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0.93660550166858803</v>
      </c>
      <c r="EW202" s="23">
        <f>EXP(-LN(2)/25)*EW201+(1-EXP(-LN(2)/25))/(LN(2)/25)*Calculateur!ER202*Calculateur!ET202*VLOOKUP('Données projet'!$B$15,Paramètres!$A$1:$I$89,3,0)*0.475*44/12</f>
        <v>0.12806492723140403</v>
      </c>
      <c r="EX202" s="23">
        <f>EXP(-LN(2)/2)*EX201+(1-EXP(-LN(2)/2))/(LN(2)/2)*ER202*EU202*VLOOKUP('Données projet'!$B$15,Paramètres!$A$1:$I$89,3,0)*0.475*44/12</f>
        <v>3.7059572893803918E-25</v>
      </c>
      <c r="EY202" s="24">
        <f t="shared" si="181"/>
        <v>1.064670428899992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283.95543623515323</v>
      </c>
      <c r="FK202" s="62">
        <f t="shared" si="211"/>
        <v>196.96883829830929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5.6843418860808015E-14</v>
      </c>
      <c r="GA202" s="18">
        <f>FZ202*VLOOKUP('Données projet'!$B$17,Paramètres!$A$1:$I$89,3,0)*VLOOKUP('Données projet'!$B$17,Paramètres!$A$1:$I$89,5,0)</f>
        <v>3.3992364478763198E-14</v>
      </c>
      <c r="GB202" s="14">
        <f t="shared" si="185"/>
        <v>5.790027782444094E-13</v>
      </c>
      <c r="GC202" s="22">
        <f t="shared" si="186"/>
        <v>1.0676332069095257E-12</v>
      </c>
      <c r="GD202" s="62">
        <f t="shared" si="200"/>
        <v>290.51637186933721</v>
      </c>
      <c r="GE202" s="62">
        <f ca="1">AVERAGE(OFFSET($GD$3,0,0,'Données projet'!$E$17+1,1))-AVERAGE(OFFSET($H$3,0,0,'Données projet'!$E$17+1,1))</f>
        <v>223.57443551076992</v>
      </c>
      <c r="GF202" s="62">
        <f t="shared" si="212"/>
        <v>382.12751862619427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0.93660550166858803</v>
      </c>
      <c r="GM202" s="23">
        <f>EXP(-LN(2)/25)*GM201+(1-EXP(-LN(2)/25))/(LN(2)/25)*Calculateur!GH202*Calculateur!GJ202*VLOOKUP('Données projet'!$B$17,Paramètres!$A$1:$I$89,3,0)*0.475*44/12</f>
        <v>0.12806492723140403</v>
      </c>
      <c r="GN202" s="23">
        <f>EXP(-LN(2)/2)*GN201+(1-EXP(-LN(2)/2))/(LN(2)/2)*GH202*GK202*VLOOKUP('Données projet'!$B$17,Paramètres!$A$1:$I$89,3,0)*0.475*44/12</f>
        <v>3.7059572893803918E-25</v>
      </c>
      <c r="GO202" s="23">
        <f t="shared" si="187"/>
        <v>1.064670428899992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1.5916157281026244E-12</v>
      </c>
      <c r="GV202" s="18">
        <f>GU202*VLOOKUP('Données projet'!$B$18,Paramètres!$A$1:$I$89,3,0)*VLOOKUP('Données projet'!$B$18,Paramètres!$A$1:$I$89,5,0)</f>
        <v>1.7380443750880657E-12</v>
      </c>
      <c r="GW202" s="14">
        <f t="shared" si="188"/>
        <v>1.8727070317424442E-11</v>
      </c>
      <c r="GX202" s="22">
        <f t="shared" si="189"/>
        <v>3.5643408089459281E-11</v>
      </c>
      <c r="GY202" s="62">
        <f t="shared" si="201"/>
        <v>290.51637186937177</v>
      </c>
      <c r="GZ202" s="62">
        <f ca="1">AVERAGE(OFFSET($GY$3,0,0,'Données projet'!$E$18+1,1))-AVERAGE(OFFSET($H$3,0,0,'Données projet'!$E$18+1,1))</f>
        <v>754.33260592777049</v>
      </c>
      <c r="HA202" s="62">
        <f t="shared" si="213"/>
        <v>250.97643915279005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9">
        <f t="shared" si="192"/>
        <v>183.33333333333334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-4.1145540308207271E-13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550.39292625253665</v>
      </c>
      <c r="T203" s="62">
        <f t="shared" si="204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-4.5474735088646412E-13</v>
      </c>
      <c r="AJ203" s="14">
        <f>AI203*VLOOKUP('Données projet'!$B$10,Paramètres!$A$1:$I$89,3,0)*VLOOKUP('Données projet'!$B$10,Paramètres!$A$1:$I$89,5,0)</f>
        <v>-4.6111381379887462E-13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606.55142836375308</v>
      </c>
      <c r="AO203" s="62">
        <f t="shared" si="205"/>
        <v>325.72635759450861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5.1159076974727213E-13</v>
      </c>
      <c r="BE203" s="14">
        <f>BD203*VLOOKUP('Données projet'!$B$11,Paramètres!$A$1:$I$89,3,0)*VLOOKUP('Données projet'!$B$11,Paramètres!$A$1:$I$89,5,0)</f>
        <v>5.3471467253984886E-13</v>
      </c>
      <c r="BF203" s="14">
        <f t="shared" si="167"/>
        <v>6.6087717628803869E-12</v>
      </c>
      <c r="BG203" s="22">
        <f t="shared" si="168"/>
        <v>1.244157220835691E-11</v>
      </c>
      <c r="BH203" s="62">
        <f t="shared" si="194"/>
        <v>290.56523985296656</v>
      </c>
      <c r="BI203" s="62">
        <f ca="1">AVERAGE(OFFSET($BH$3,0,0,'Données projet'!$E$11+1,1))-AVERAGE(OFFSET($H$3,0,0,'Données projet'!$E$11+1,1))</f>
        <v>635.13577238794812</v>
      </c>
      <c r="BJ203" s="62">
        <f t="shared" si="206"/>
        <v>374.35810525172019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-6.8212102632969618E-13</v>
      </c>
      <c r="BZ203" s="14">
        <f>BY203*VLOOKUP('Données projet'!$B$12,Paramètres!$A$1:$I$89,3,0)*VLOOKUP('Données projet'!$B$12,Paramètres!$A$1:$I$89,5,0)</f>
        <v>-3.0149749363772573E-13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580.02817743695846</v>
      </c>
      <c r="CE203" s="62">
        <f t="shared" si="207"/>
        <v>551.23515633208865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3.979039320256561E-13</v>
      </c>
      <c r="CU203" s="18">
        <f>CT203*VLOOKUP('Données projet'!$B$13,Paramètres!$A$1:$I$89,3,0)*VLOOKUP('Données projet'!$B$13,Paramètres!$A$1:$I$89,5,0)</f>
        <v>1.8621904018800707E-13</v>
      </c>
      <c r="CV203" s="14">
        <f t="shared" si="173"/>
        <v>2.6022279988572714E-12</v>
      </c>
      <c r="CW203" s="22">
        <f t="shared" si="174"/>
        <v>4.8565452596705266E-12</v>
      </c>
      <c r="CX203" s="62">
        <f t="shared" si="196"/>
        <v>290.56523985295894</v>
      </c>
      <c r="CY203" s="62">
        <f ca="1">AVERAGE(OFFSET($CX$3,0,0,'Données projet'!$E$13+1,1))-AVERAGE(OFFSET($H$3,0,0,'Données projet'!$E$13+1,1))</f>
        <v>321.05795935196863</v>
      </c>
      <c r="CZ203" s="62">
        <f t="shared" si="208"/>
        <v>209.59551322748908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-4.5474735088646412E-13</v>
      </c>
      <c r="DP203" s="18">
        <f>DO203*VLOOKUP('Données projet'!$B$14,Paramètres!$A$1:$I$89,3,0)*VLOOKUP('Données projet'!$B$14,Paramètres!$A$1:$I$89,5,0)</f>
        <v>-4.8949004849418999E-13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638.58602907610805</v>
      </c>
      <c r="DU203" s="62">
        <f t="shared" si="209"/>
        <v>341.9250949809848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3.3992364478763198E-14</v>
      </c>
      <c r="EL203" s="14">
        <f t="shared" si="179"/>
        <v>5.790027782444094E-13</v>
      </c>
      <c r="EM203" s="22">
        <f t="shared" si="180"/>
        <v>1.0676332069095257E-12</v>
      </c>
      <c r="EN203" s="62">
        <f t="shared" si="198"/>
        <v>290.56523985295519</v>
      </c>
      <c r="EO203" s="62">
        <f ca="1">AVERAGE(OFFSET($EN$3,0,0,'Données projet'!$E$15+1,1))-AVERAGE(OFFSET($H$3,0,0,'Données projet'!$E$15+1,1))</f>
        <v>223.57443551076992</v>
      </c>
      <c r="EP203" s="62">
        <f t="shared" si="210"/>
        <v>382.12751862619427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0.91823923905381455</v>
      </c>
      <c r="EW203" s="23">
        <f>EXP(-LN(2)/25)*EW202+(1-EXP(-LN(2)/25))/(LN(2)/25)*Calculateur!ER203*Calculateur!ET203*VLOOKUP('Données projet'!$B$15,Paramètres!$A$1:$I$89,3,0)*0.475*44/12</f>
        <v>0.12456298506161946</v>
      </c>
      <c r="EX203" s="23">
        <f>EXP(-LN(2)/2)*EX202+(1-EXP(-LN(2)/2))/(LN(2)/2)*ER203*EU203*VLOOKUP('Données projet'!$B$15,Paramètres!$A$1:$I$89,3,0)*0.475*44/12</f>
        <v>2.6205075301085914E-25</v>
      </c>
      <c r="EY203" s="24">
        <f t="shared" si="181"/>
        <v>1.042802224115434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283.95543623515323</v>
      </c>
      <c r="FK203" s="62">
        <f t="shared" si="211"/>
        <v>196.96883829830929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5.6843418860808015E-14</v>
      </c>
      <c r="GA203" s="18">
        <f>FZ203*VLOOKUP('Données projet'!$B$17,Paramètres!$A$1:$I$89,3,0)*VLOOKUP('Données projet'!$B$17,Paramètres!$A$1:$I$89,5,0)</f>
        <v>3.3992364478763198E-14</v>
      </c>
      <c r="GB203" s="14">
        <f t="shared" si="185"/>
        <v>5.790027782444094E-13</v>
      </c>
      <c r="GC203" s="22">
        <f t="shared" si="186"/>
        <v>1.0676332069095257E-12</v>
      </c>
      <c r="GD203" s="62">
        <f t="shared" si="200"/>
        <v>290.56523985295519</v>
      </c>
      <c r="GE203" s="62">
        <f ca="1">AVERAGE(OFFSET($GD$3,0,0,'Données projet'!$E$17+1,1))-AVERAGE(OFFSET($H$3,0,0,'Données projet'!$E$17+1,1))</f>
        <v>223.57443551076992</v>
      </c>
      <c r="GF203" s="62">
        <f t="shared" si="212"/>
        <v>382.12751862619427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0.91823923905381455</v>
      </c>
      <c r="GM203" s="23">
        <f>EXP(-LN(2)/25)*GM202+(1-EXP(-LN(2)/25))/(LN(2)/25)*Calculateur!GH203*Calculateur!GJ203*VLOOKUP('Données projet'!$B$17,Paramètres!$A$1:$I$89,3,0)*0.475*44/12</f>
        <v>0.12456298506161946</v>
      </c>
      <c r="GN203" s="23">
        <f>EXP(-LN(2)/2)*GN202+(1-EXP(-LN(2)/2))/(LN(2)/2)*GH203*GK203*VLOOKUP('Données projet'!$B$17,Paramètres!$A$1:$I$89,3,0)*0.475*44/12</f>
        <v>2.6205075301085914E-25</v>
      </c>
      <c r="GO203" s="23">
        <f t="shared" si="187"/>
        <v>1.042802224115434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1.5916157281026244E-12</v>
      </c>
      <c r="GV203" s="18">
        <f>GU203*VLOOKUP('Données projet'!$B$18,Paramètres!$A$1:$I$89,3,0)*VLOOKUP('Données projet'!$B$18,Paramètres!$A$1:$I$89,5,0)</f>
        <v>1.7380443750880657E-12</v>
      </c>
      <c r="GW203" s="14">
        <f t="shared" si="188"/>
        <v>1.8727070317424442E-11</v>
      </c>
      <c r="GX203" s="22">
        <f t="shared" si="189"/>
        <v>3.5643408089459281E-11</v>
      </c>
      <c r="GY203" s="62">
        <f t="shared" si="201"/>
        <v>290.56523985298975</v>
      </c>
      <c r="GZ203" s="62">
        <f ca="1">AVERAGE(OFFSET($GY$3,0,0,'Données projet'!$E$18+1,1))-AVERAGE(OFFSET($H$3,0,0,'Données projet'!$E$18+1,1))</f>
        <v>754.33260592777049</v>
      </c>
      <c r="HA203" s="62">
        <f t="shared" si="213"/>
        <v>250.97643915279005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1.2392705892426346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1.2392705892426346</v>
      </c>
      <c r="BA205" s="87">
        <f>EXP(LN('Données projet'!B88)/'Données projet'!A88)</f>
        <v>1.2835948199965717</v>
      </c>
      <c r="BV205" s="87">
        <f>EXP(LN('Données projet'!B114)/'Données projet'!A114)</f>
        <v>1.3414904650106145</v>
      </c>
      <c r="CQ205" s="87">
        <f>EXP(LN('Données projet'!B140)/'Données projet'!A140)</f>
        <v>1.1810516433311786</v>
      </c>
      <c r="DL205" s="87">
        <f>EXP(LN('Données projet'!B166)/'Données projet'!A166)</f>
        <v>1.2392705892426346</v>
      </c>
      <c r="EG205" s="87">
        <f>EXP(LN('Données projet'!B192)/'Données projet'!A192)</f>
        <v>1.3822911730149987</v>
      </c>
      <c r="FB205" s="87">
        <f>EXP(LN('Données projet'!B218)/'Données projet'!A218)</f>
        <v>1.3139754596796083</v>
      </c>
      <c r="FW205" s="87">
        <f>EXP(LN('Données projet'!B244)/'Données projet'!A244)</f>
        <v>1.3822911730149987</v>
      </c>
      <c r="GR205" s="87">
        <f>EXP(LN('Données projet'!B270)/'Données projet'!A270)</f>
        <v>1.1842274500390775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C1" sqref="C1:C1048576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25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16" t="s">
        <v>238</v>
      </c>
      <c r="P2" s="129">
        <v>0</v>
      </c>
    </row>
    <row r="3" spans="1:16" ht="15.75" thickBot="1" x14ac:dyDescent="0.3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17"/>
      <c r="P3" s="136">
        <v>0.2</v>
      </c>
    </row>
    <row r="4" spans="1:16" ht="15.75" thickBot="1" x14ac:dyDescent="0.3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25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16" t="s">
        <v>237</v>
      </c>
      <c r="P5" s="129">
        <v>0</v>
      </c>
    </row>
    <row r="6" spans="1:16" x14ac:dyDescent="0.25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18"/>
      <c r="P6" s="137">
        <v>0.05</v>
      </c>
    </row>
    <row r="7" spans="1:16" x14ac:dyDescent="0.25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18"/>
      <c r="P7" s="137">
        <v>0.1</v>
      </c>
    </row>
    <row r="8" spans="1:16" ht="15.75" thickBot="1" x14ac:dyDescent="0.3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17"/>
      <c r="P8" s="136">
        <v>0.15</v>
      </c>
    </row>
    <row r="9" spans="1:16" ht="15.75" thickBot="1" x14ac:dyDescent="0.3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25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16" t="s">
        <v>236</v>
      </c>
      <c r="P10" s="129">
        <v>0</v>
      </c>
    </row>
    <row r="11" spans="1:16" ht="15.75" thickBot="1" x14ac:dyDescent="0.3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17"/>
      <c r="P11" s="136">
        <v>0.1</v>
      </c>
    </row>
    <row r="12" spans="1:16" x14ac:dyDescent="0.25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25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25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25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25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25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25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25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25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25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25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25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25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25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25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25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25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25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25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25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25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25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25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25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25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25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25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25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25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25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25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25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25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25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25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25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25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25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25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25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25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25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25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25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25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25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25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25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25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25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25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25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25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25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25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25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25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25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25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25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25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25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25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25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25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25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25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25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25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25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25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25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25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25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25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99"/>
      <c r="K87" s="99"/>
      <c r="L87" s="99"/>
      <c r="M87" s="99"/>
      <c r="N87" s="99"/>
    </row>
    <row r="88" spans="1:14" x14ac:dyDescent="0.25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5.75" thickBot="1" x14ac:dyDescent="0.3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25">
      <c r="A93" s="130" t="s">
        <v>208</v>
      </c>
    </row>
    <row r="94" spans="1:14" x14ac:dyDescent="0.25">
      <c r="A94" s="130" t="s">
        <v>209</v>
      </c>
    </row>
    <row r="95" spans="1:14" x14ac:dyDescent="0.25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70" zoomScaleNormal="70" workbookViewId="0">
      <selection activeCell="E17" sqref="E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3" t="str">
        <f>IF('Données projet'!$B$9="","",'Données projet'!$B$9)</f>
        <v>Chêne sessile</v>
      </c>
      <c r="B6" s="154">
        <f>'Données projet'!D9</f>
        <v>3.13212</v>
      </c>
      <c r="C6" s="155">
        <f ca="1">IF(OR('Données projet'!B9="",'Données projet'!C9="",'Données projet'!C9=0%),0,Calculateur!S3)</f>
        <v>550.39292625253665</v>
      </c>
      <c r="D6" s="155">
        <f>IF(OR('Données projet'!B9="",'Données projet'!C9="",'Données projet'!C9=0%),0,Calculateur!T3)</f>
        <v>297.32483725004136</v>
      </c>
      <c r="E6" s="155">
        <f ca="1">MIN(C6,D6)</f>
        <v>297.32483725004136</v>
      </c>
      <c r="F6" s="155">
        <f ca="1">E6*B6</f>
        <v>931.25706924759959</v>
      </c>
      <c r="G6" s="155">
        <f ca="1">F6*(100%-'Données projet'!$C$24)*(100%-'Données projet'!$C$25)*(100%-'Données projet'!$C$26)*(100%-'Données projet'!$C$27)</f>
        <v>838.13136232283966</v>
      </c>
      <c r="H6" s="156">
        <f>IF(OR('Données projet'!B9="",'Données projet'!C9="",'Données projet'!C9=0%),0,AVERAGE(Calculateur!$AC$3:$AC$33)*B6)</f>
        <v>0</v>
      </c>
      <c r="I6" s="157">
        <f>H6*(100%-'Données projet'!$C$24)*(100%-'Données projet'!$C$25)*(100%-'Données projet'!$C$26)*(100%-'Données projet'!$C$27)</f>
        <v>0</v>
      </c>
      <c r="J6" s="158">
        <f>IF(OR('Données projet'!B9="",'Données projet'!C9="",'Données projet'!C9=0%),0,SUM(Calculateur!$V$3:$V$33)*VLOOKUP('Données projet'!$B$9,Paramètres!$A$1:$I$89,9,0)*B6)</f>
        <v>26.62302</v>
      </c>
      <c r="K6" s="159">
        <f>J6*(100%-'Données projet'!$C$24)*(100%-'Données projet'!$C$25)*(100%-'Données projet'!$C$26)*(100%-'Données projet'!$C$27)</f>
        <v>23.960718</v>
      </c>
      <c r="L6" s="160">
        <f ca="1">G6+I6+K6</f>
        <v>862.09208032283971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1" t="str">
        <f>IF('Données projet'!$B$10="","",'Données projet'!$B$10)</f>
        <v>Chêne pubescent</v>
      </c>
      <c r="B7" s="162">
        <f>'Données projet'!D10</f>
        <v>3.13212</v>
      </c>
      <c r="C7" s="155">
        <f ca="1">IF(OR('Données projet'!B10="",'Données projet'!C10="",'Données projet'!C10=0%),0,Calculateur!AN3)</f>
        <v>606.55142836375308</v>
      </c>
      <c r="D7" s="155">
        <f>IF(OR('Données projet'!B10="",'Données projet'!C10="",'Données projet'!C10=0%),0,Calculateur!AO3)</f>
        <v>325.72635759450861</v>
      </c>
      <c r="E7" s="155">
        <f t="shared" ref="E7:E15" ca="1" si="0">MIN(C7,D7)</f>
        <v>325.72635759450861</v>
      </c>
      <c r="F7" s="155">
        <f t="shared" ref="F7:F15" ca="1" si="1">E7*B7</f>
        <v>1020.2140391489123</v>
      </c>
      <c r="G7" s="155">
        <f ca="1">F7*(100%-'Données projet'!$C$24)*(100%-'Données projet'!$C$25)*(100%-'Données projet'!$C$26)*(100%-'Données projet'!$C$27)</f>
        <v>918.19263523402105</v>
      </c>
      <c r="H7" s="163">
        <f>IF(OR('Données projet'!B10="",'Données projet'!C10="",'Données projet'!C10=0%),0,AVERAGE(Calculateur!$AX$3:$AX$33)*B7)</f>
        <v>0</v>
      </c>
      <c r="I7" s="157">
        <f>H7*(100%-'Données projet'!$C$24)*(100%-'Données projet'!$C$25)*(100%-'Données projet'!$C$26)*(100%-'Données projet'!$C$27)</f>
        <v>0</v>
      </c>
      <c r="J7" s="158">
        <f>IF(OR('Données projet'!B10="",'Données projet'!C10="",'Données projet'!C10=0%),0,SUM(Calculateur!$AQ$3:$AQ$33)*VLOOKUP('Données projet'!$B$10,Paramètres!$A$1:$I$89,9,0)*B7)</f>
        <v>26.62302</v>
      </c>
      <c r="K7" s="159">
        <f>J7*(100%-'Données projet'!$C$24)*(100%-'Données projet'!$C$25)*(100%-'Données projet'!$C$26)*(100%-'Données projet'!$C$27)</f>
        <v>23.960718</v>
      </c>
      <c r="L7" s="160">
        <f t="shared" ref="L7:L15" ca="1" si="2">G7+I7+K7</f>
        <v>942.1533532340211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1" t="str">
        <f>IF('Données projet'!$B$11="","",'Données projet'!$B$11)</f>
        <v>Chêne chevelu</v>
      </c>
      <c r="B8" s="162">
        <f>'Données projet'!D11</f>
        <v>3.3142200000000002</v>
      </c>
      <c r="C8" s="155">
        <f ca="1">IF(OR('Données projet'!B11="",'Données projet'!C11="",'Données projet'!C11=0%),0,Calculateur!BI3)</f>
        <v>635.13577238794812</v>
      </c>
      <c r="D8" s="155">
        <f>IF(OR('Données projet'!B11="",'Données projet'!C11="",'Données projet'!C11=0%),0,Calculateur!BJ3)</f>
        <v>374.35810525172019</v>
      </c>
      <c r="E8" s="155">
        <f t="shared" ca="1" si="0"/>
        <v>374.35810525172019</v>
      </c>
      <c r="F8" s="155">
        <f t="shared" ca="1" si="1"/>
        <v>1240.7051195873562</v>
      </c>
      <c r="G8" s="155">
        <f ca="1">F8*(100%-'Données projet'!$C$24)*(100%-'Données projet'!$C$25)*(100%-'Données projet'!$C$26)*(100%-'Données projet'!$C$27)</f>
        <v>1116.6346076286206</v>
      </c>
      <c r="H8" s="163">
        <f>IF(OR('Données projet'!B11="",'Données projet'!C11="",'Données projet'!C11=0%),0,AVERAGE(Calculateur!$BS$3:$BS$33)*B8)</f>
        <v>0</v>
      </c>
      <c r="I8" s="157">
        <f>H8*(100%-'Données projet'!$C$24)*(100%-'Données projet'!$C$25)*(100%-'Données projet'!$C$26)*(100%-'Données projet'!$C$27)</f>
        <v>0</v>
      </c>
      <c r="J8" s="158">
        <f>IF(OR('Données projet'!B11="",'Données projet'!C11="",'Données projet'!C11=0%),0,SUM(Calculateur!$BL$3:$BL$33)*VLOOKUP('Données projet'!$B$11,Paramètres!$A$1:$I$89,9,0)*B8)</f>
        <v>19.1205</v>
      </c>
      <c r="K8" s="159">
        <f>J8*(100%-'Données projet'!$C$24)*(100%-'Données projet'!$C$25)*(100%-'Données projet'!$C$26)*(100%-'Données projet'!$C$27)</f>
        <v>17.208449999999999</v>
      </c>
      <c r="L8" s="160">
        <f t="shared" ca="1" si="2"/>
        <v>1133.8430576286207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1" t="str">
        <f>IF('Données projet'!$B$12="","",'Données projet'!$B$12)</f>
        <v>Séquoia toujours vert</v>
      </c>
      <c r="B9" s="162">
        <f>'Données projet'!D12</f>
        <v>2.8953900000000004</v>
      </c>
      <c r="C9" s="155">
        <f ca="1">IF(OR('Données projet'!B12="",'Données projet'!C12="",'Données projet'!C12=0%),0,Calculateur!CD3)</f>
        <v>580.02817743695846</v>
      </c>
      <c r="D9" s="155">
        <f>IF(OR('Données projet'!B12="",'Données projet'!C12="",'Données projet'!C12=0%),0,Calculateur!CE3)</f>
        <v>551.23515633208865</v>
      </c>
      <c r="E9" s="155">
        <f t="shared" ca="1" si="0"/>
        <v>551.23515633208865</v>
      </c>
      <c r="F9" s="155">
        <f t="shared" ca="1" si="1"/>
        <v>1596.0407592923664</v>
      </c>
      <c r="G9" s="155">
        <f ca="1">F9*(100%-'Données projet'!$C$24)*(100%-'Données projet'!$C$25)*(100%-'Données projet'!$C$26)*(100%-'Données projet'!$C$27)</f>
        <v>1436.4366833631298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339.88983210000004</v>
      </c>
      <c r="K9" s="159">
        <f>J9*(100%-'Données projet'!$C$24)*(100%-'Données projet'!$C$25)*(100%-'Données projet'!$C$26)*(100%-'Données projet'!$C$27)</f>
        <v>305.90084889000002</v>
      </c>
      <c r="L9" s="160">
        <f t="shared" ca="1" si="2"/>
        <v>1742.3375322531297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1" t="str">
        <f>IF('Données projet'!$B$13="","",'Données projet'!$B$13)</f>
        <v>Cèdre de l'Atlas</v>
      </c>
      <c r="B10" s="162">
        <f>'Données projet'!D13</f>
        <v>0.94691999999999998</v>
      </c>
      <c r="C10" s="155">
        <f ca="1">IF(OR('Données projet'!B13="",'Données projet'!C13="",'Données projet'!C13=0%),0,Calculateur!CY3)</f>
        <v>321.05795935196863</v>
      </c>
      <c r="D10" s="155">
        <f>IF(OR('Données projet'!B13="",'Données projet'!C13="",'Données projet'!C13=0%),0,Calculateur!CZ3)</f>
        <v>209.59551322748908</v>
      </c>
      <c r="E10" s="155">
        <f t="shared" ca="1" si="0"/>
        <v>209.59551322748908</v>
      </c>
      <c r="F10" s="155">
        <f t="shared" ca="1" si="1"/>
        <v>198.47018338537396</v>
      </c>
      <c r="G10" s="155">
        <f ca="1">F10*(100%-'Données projet'!$C$24)*(100%-'Données projet'!$C$25)*(100%-'Données projet'!$C$26)*(100%-'Données projet'!$C$27)</f>
        <v>178.62316504683656</v>
      </c>
      <c r="H10" s="163">
        <f>IF(OR('Données projet'!B13="",'Données projet'!C13="",'Données projet'!C13=0%),0,AVERAGE(Calculateur!$DI$3:$DI$33)*B10)</f>
        <v>0</v>
      </c>
      <c r="I10" s="157">
        <f>H10*(100%-'Données projet'!$C$24)*(100%-'Données projet'!$C$25)*(100%-'Données projet'!$C$26)*(100%-'Données projet'!$C$27)</f>
        <v>0</v>
      </c>
      <c r="J10" s="158">
        <f>IF(OR('Données projet'!B13="",'Données projet'!C13="",'Données projet'!C13=0%),0,SUM(Calculateur!$DB$3:$DB$33)*VLOOKUP('Données projet'!$B$13,Paramètres!$A$1:$I$89,9,0)*B10)</f>
        <v>0</v>
      </c>
      <c r="K10" s="159">
        <f>J10*(100%-'Données projet'!$C$24)*(100%-'Données projet'!$C$25)*(100%-'Données projet'!$C$26)*(100%-'Données projet'!$C$27)</f>
        <v>0</v>
      </c>
      <c r="L10" s="160">
        <f t="shared" ca="1" si="2"/>
        <v>178.62316504683656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1" t="str">
        <f>IF('Données projet'!$B$14="","",'Données projet'!$B$14)</f>
        <v>Cormier</v>
      </c>
      <c r="B11" s="162">
        <f>'Données projet'!D14</f>
        <v>0.50988</v>
      </c>
      <c r="C11" s="155">
        <f ca="1">IF(OR('Données projet'!B14="",'Données projet'!C14="",'Données projet'!C14=0%),0,Calculateur!DT3)</f>
        <v>638.58602907610805</v>
      </c>
      <c r="D11" s="155">
        <f>IF(OR('Données projet'!B14="",'Données projet'!C14="",'Données projet'!C14=0%),0,Calculateur!DU3)</f>
        <v>341.9250949809848</v>
      </c>
      <c r="E11" s="155">
        <f t="shared" ca="1" si="0"/>
        <v>341.9250949809848</v>
      </c>
      <c r="F11" s="155">
        <f t="shared" ca="1" si="1"/>
        <v>174.34076742890451</v>
      </c>
      <c r="G11" s="155">
        <f ca="1">F11*(100%-'Données projet'!$C$24)*(100%-'Données projet'!$C$25)*(100%-'Données projet'!$C$26)*(100%-'Données projet'!$C$27)</f>
        <v>156.90669068601406</v>
      </c>
      <c r="H11" s="163">
        <f>IF(OR('Données projet'!B14="",'Données projet'!C14="",'Données projet'!C14=0%),0,AVERAGE(Calculateur!$ED$3:$ED$33)*B11)</f>
        <v>0</v>
      </c>
      <c r="I11" s="157">
        <f>H11*(100%-'Données projet'!$C$24)*(100%-'Données projet'!$C$25)*(100%-'Données projet'!$C$26)*(100%-'Données projet'!$C$27)</f>
        <v>0</v>
      </c>
      <c r="J11" s="158">
        <f>IF(OR('Données projet'!B14="",'Données projet'!C14="",'Données projet'!C14=0%),0,SUM(Calculateur!$DW$3:$DW$33)*VLOOKUP('Données projet'!$B$14,Paramètres!$A$1:$I$89,9,0)*B11)</f>
        <v>4.3339800000000004</v>
      </c>
      <c r="K11" s="159">
        <f>J11*(100%-'Données projet'!$C$24)*(100%-'Données projet'!$C$25)*(100%-'Données projet'!$C$26)*(100%-'Données projet'!$C$27)</f>
        <v>3.9005820000000004</v>
      </c>
      <c r="L11" s="160">
        <f t="shared" ca="1" si="2"/>
        <v>160.80727268601407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1" t="str">
        <f>IF('Données projet'!$B$15="","",'Données projet'!$B$15)</f>
        <v>Pin taeda</v>
      </c>
      <c r="B12" s="162">
        <f>'Données projet'!D15</f>
        <v>0.36420000000000002</v>
      </c>
      <c r="C12" s="155">
        <f ca="1">IF(OR('Données projet'!B15="",'Données projet'!C15="",'Données projet'!C15=0%),0,Calculateur!EO3)</f>
        <v>223.57443551076992</v>
      </c>
      <c r="D12" s="155">
        <f>IF(OR('Données projet'!B15="",'Données projet'!C15="",'Données projet'!C15=0%),0,Calculateur!EP3)</f>
        <v>382.12751862619427</v>
      </c>
      <c r="E12" s="155">
        <f t="shared" ca="1" si="0"/>
        <v>223.57443551076992</v>
      </c>
      <c r="F12" s="155">
        <f t="shared" ca="1" si="1"/>
        <v>81.425809413022407</v>
      </c>
      <c r="G12" s="155">
        <f ca="1">F12*(100%-'Données projet'!$C$24)*(100%-'Données projet'!$C$25)*(100%-'Données projet'!$C$26)*(100%-'Données projet'!$C$27)</f>
        <v>73.283228471720165</v>
      </c>
      <c r="H12" s="163">
        <f>IF(OR('Données projet'!B15="",'Données projet'!C15="",'Données projet'!C15=0%),0,AVERAGE(Calculateur!$EY$3:$EY$33)*B12)</f>
        <v>3.8621348572128888</v>
      </c>
      <c r="I12" s="157">
        <f>H12*(100%-'Données projet'!$C$24)*(100%-'Données projet'!$C$25)*(100%-'Données projet'!$C$26)*(100%-'Données projet'!$C$27)</f>
        <v>3.4759213714916002</v>
      </c>
      <c r="J12" s="158">
        <f>IF(OR('Données projet'!B15="",'Données projet'!C15="",'Données projet'!C15=0%),0,SUM(Calculateur!$ER$3:$ER$33)*VLOOKUP('Données projet'!$B$15,Paramètres!$A$1:$I$89,9,0)*B12)</f>
        <v>27.369795711000005</v>
      </c>
      <c r="K12" s="159">
        <f>J12*(100%-'Données projet'!$C$24)*(100%-'Données projet'!$C$25)*(100%-'Données projet'!$C$26)*(100%-'Données projet'!$C$27)</f>
        <v>24.632816139900005</v>
      </c>
      <c r="L12" s="160">
        <f t="shared" ca="1" si="2"/>
        <v>101.39196598311176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1" t="str">
        <f>IF('Données projet'!$B$16="","",'Données projet'!$B$16)</f>
        <v>Pin pignon</v>
      </c>
      <c r="B13" s="162">
        <f>'Données projet'!D16</f>
        <v>0.32778000000000002</v>
      </c>
      <c r="C13" s="155">
        <f ca="1">IF(OR('Données projet'!B16="",'Données projet'!C16="",'Données projet'!C16=0%),0,Calculateur!FJ3)</f>
        <v>283.95543623515323</v>
      </c>
      <c r="D13" s="155">
        <f>IF(OR('Données projet'!B16="",'Données projet'!C16="",'Données projet'!C16=0%),0,Calculateur!FK3)</f>
        <v>196.96883829830929</v>
      </c>
      <c r="E13" s="155">
        <f t="shared" ca="1" si="0"/>
        <v>196.96883829830929</v>
      </c>
      <c r="F13" s="155">
        <f t="shared" ca="1" si="1"/>
        <v>64.562445817419828</v>
      </c>
      <c r="G13" s="155">
        <f ca="1">F13*(100%-'Données projet'!$C$24)*(100%-'Données projet'!$C$25)*(100%-'Données projet'!$C$26)*(100%-'Données projet'!$C$27)</f>
        <v>58.106201235677844</v>
      </c>
      <c r="H13" s="163">
        <f>IF(OR('Données projet'!B16="",'Données projet'!C16="",'Données projet'!C16=0%),0,AVERAGE(Calculateur!$FT$3:$FT$33)*B13)</f>
        <v>0</v>
      </c>
      <c r="I13" s="157">
        <f>H13*(100%-'Données projet'!$C$24)*(100%-'Données projet'!$C$25)*(100%-'Données projet'!$C$26)*(100%-'Données projet'!$C$27)</f>
        <v>0</v>
      </c>
      <c r="J13" s="158">
        <f>IF(OR('Données projet'!C16="",'Données projet'!C16=0%),0,SUM(Calculateur!$FM$3:$FM$33)*VLOOKUP('Données projet'!$B$16,Paramètres!$A$1:$I$89,9,0)*B13)</f>
        <v>1.6032539250000002</v>
      </c>
      <c r="K13" s="159">
        <f>J13*(100%-'Données projet'!$C$24)*(100%-'Données projet'!$C$25)*(100%-'Données projet'!$C$26)*(100%-'Données projet'!$C$27)</f>
        <v>1.4429285325000003</v>
      </c>
      <c r="L13" s="160">
        <f t="shared" ca="1" si="2"/>
        <v>59.549129768177842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1" t="str">
        <f>IF('Données projet'!$B$17="","",'Données projet'!$B$17)</f>
        <v>Pin maritime</v>
      </c>
      <c r="B14" s="162">
        <f>'Données projet'!D17</f>
        <v>0.32778000000000002</v>
      </c>
      <c r="C14" s="155">
        <f ca="1">IF(OR('Données projet'!B17="",'Données projet'!C17="",'Données projet'!C17=0%),0,Calculateur!GE3)</f>
        <v>223.57443551076992</v>
      </c>
      <c r="D14" s="155">
        <f>IF(OR('Données projet'!B17="",'Données projet'!C17="",'Données projet'!C17=0%),0,Calculateur!GF3)</f>
        <v>382.12751862619427</v>
      </c>
      <c r="E14" s="155">
        <f t="shared" ca="1" si="0"/>
        <v>223.57443551076992</v>
      </c>
      <c r="F14" s="155">
        <f t="shared" ca="1" si="1"/>
        <v>73.283228471720165</v>
      </c>
      <c r="G14" s="155">
        <f ca="1">F14*(100%-'Données projet'!$C$24)*(100%-'Données projet'!$C$25)*(100%-'Données projet'!$C$26)*(100%-'Données projet'!$C$27)</f>
        <v>65.954905624548147</v>
      </c>
      <c r="H14" s="163">
        <f>IF(OR('Données projet'!B17="",'Données projet'!C17="",'Données projet'!C17=0%),0,AVERAGE(Calculateur!$GO$3:$GO$33)*B14)</f>
        <v>3.4759213714915997</v>
      </c>
      <c r="I14" s="157">
        <f>H14*(100%-'Données projet'!$C$24)*(100%-'Données projet'!$C$25)*(100%-'Données projet'!$C$26)*(100%-'Données projet'!$C$27)</f>
        <v>3.12832923434244</v>
      </c>
      <c r="J14" s="158">
        <f>IF(OR('Données projet'!B17="",'Données projet'!C17="",'Données projet'!C17=0%),0,SUM(Calculateur!$GH$3:$GH$33)*VLOOKUP('Données projet'!$B$17,Paramètres!$A$1:$I$89,9,0)*B14)</f>
        <v>33.7985151687</v>
      </c>
      <c r="K14" s="159">
        <f>J14*(100%-'Données projet'!$C$24)*(100%-'Données projet'!$C$25)*(100%-'Données projet'!$C$26)*(100%-'Données projet'!$C$27)</f>
        <v>30.418663651830002</v>
      </c>
      <c r="L14" s="160">
        <f t="shared" ca="1" si="2"/>
        <v>99.501898510720594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4" t="str">
        <f>IF('Données projet'!B18="","",'Données projet'!B18)</f>
        <v>Chêne-liège</v>
      </c>
      <c r="B15" s="165">
        <f>'Données projet'!D18</f>
        <v>1.0015500000000002</v>
      </c>
      <c r="C15" s="166">
        <f ca="1">IF(OR('Données projet'!B18="",'Données projet'!C18="",'Données projet'!C18=0%),0,Calculateur!GZ3)</f>
        <v>754.33260592777049</v>
      </c>
      <c r="D15" s="166">
        <f>IF(OR('Données projet'!B18="",'Données projet'!C18="",'Données projet'!C18=0%),0,Calculateur!HA3)</f>
        <v>250.97643915279005</v>
      </c>
      <c r="E15" s="166">
        <f t="shared" ca="1" si="0"/>
        <v>250.97643915279005</v>
      </c>
      <c r="F15" s="167">
        <f t="shared" ca="1" si="1"/>
        <v>251.36545263347691</v>
      </c>
      <c r="G15" s="167">
        <f ca="1">F15*(100%-'Données projet'!$C$24)*(100%-'Données projet'!$C$25)*(100%-'Données projet'!$C$26)*(100%-'Données projet'!$C$27)</f>
        <v>226.22890737012921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1.9065501194293535</v>
      </c>
      <c r="K15" s="171">
        <f>J15*(100%-'Données projet'!$C$24)*(100%-'Données projet'!$C$25)*(100%-'Données projet'!$C$26)*(100%-'Données projet'!$C$27)</f>
        <v>1.7158951074864182</v>
      </c>
      <c r="L15" s="172">
        <f t="shared" ca="1" si="2"/>
        <v>227.94480247761564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5"/>
      <c r="B16" s="232"/>
      <c r="C16" s="233"/>
      <c r="D16" s="25"/>
      <c r="E16" s="25"/>
      <c r="F16" s="173">
        <f t="shared" ref="F16:L16" ca="1" si="3">SUM(F6:F15)</f>
        <v>5631.6648744261529</v>
      </c>
      <c r="G16" s="174">
        <f t="shared" ca="1" si="3"/>
        <v>5068.4983869835369</v>
      </c>
      <c r="H16" s="175">
        <f t="shared" si="3"/>
        <v>7.3380562287044881</v>
      </c>
      <c r="I16" s="175">
        <f t="shared" si="3"/>
        <v>6.6042506058340402</v>
      </c>
      <c r="J16" s="176">
        <f t="shared" si="3"/>
        <v>481.26846702412939</v>
      </c>
      <c r="K16" s="176">
        <f t="shared" si="3"/>
        <v>433.1416203217164</v>
      </c>
      <c r="L16" s="177">
        <f t="shared" ca="1" si="3"/>
        <v>5508.2442579110866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8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8" t="str">
        <f>A7</f>
        <v>Chêne pubescent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8" t="str">
        <f>A8</f>
        <v>Chêne chevelu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8" t="str">
        <f>A9</f>
        <v>Séquoia toujours vert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8" t="str">
        <f>A10</f>
        <v>Cèdre de l'Atlas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8" t="str">
        <f>A11</f>
        <v>Cormier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8" t="str">
        <f>A12</f>
        <v>Pin taeda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8" t="str">
        <f>A13</f>
        <v>Pin pignon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8" t="str">
        <f>A14</f>
        <v>Pin maritime</v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8" t="str">
        <f>A15</f>
        <v>Chêne-liège</v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R7" zoomScale="85" zoomScaleNormal="85" workbookViewId="0">
      <selection activeCell="C304" sqref="C30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25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25">
      <c r="A4" s="98"/>
      <c r="B4" s="98"/>
      <c r="C4" s="98"/>
      <c r="D4" s="98"/>
      <c r="E4" s="98"/>
      <c r="G4" s="179"/>
      <c r="H4" s="339" t="s">
        <v>315</v>
      </c>
      <c r="I4" s="339"/>
      <c r="K4" s="336" t="s">
        <v>253</v>
      </c>
      <c r="L4" s="337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25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5.75" thickBot="1" x14ac:dyDescent="0.3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4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25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Chêne sessile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940.00971763606424</v>
      </c>
      <c r="U10" s="189">
        <f>'Données projet'!D9</f>
        <v>3.13212</v>
      </c>
      <c r="V10" s="188">
        <f>U10*T10</f>
        <v>2944.2232368022696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Chêne pubescent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826.88131476556771</v>
      </c>
      <c r="U11" s="189">
        <f>'Données projet'!D10</f>
        <v>3.13212</v>
      </c>
      <c r="V11" s="188">
        <f t="shared" ref="V11" si="0">U11*T11</f>
        <v>2589.8915036035301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Chêne chevelu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640.04366512465003</v>
      </c>
      <c r="U12" s="189">
        <f>'Données projet'!D11</f>
        <v>3.3142200000000002</v>
      </c>
      <c r="V12" s="188">
        <f t="shared" ref="V12:V19" si="1">U12*T12</f>
        <v>2121.2455158294179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Séquoia toujours vert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4502.3353220314884</v>
      </c>
      <c r="U13" s="189">
        <f>'Données projet'!D12</f>
        <v>2.8953900000000004</v>
      </c>
      <c r="V13" s="188">
        <f t="shared" si="1"/>
        <v>13036.016668056753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5" t="str">
        <f>IF('Données projet'!$B$9="","",'Données projet'!$B$9)</f>
        <v>Chêne sessile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>Cèdre de l'Atlas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766.02003029268963</v>
      </c>
      <c r="U14" s="189">
        <f>'Données projet'!D13</f>
        <v>0.94691999999999998</v>
      </c>
      <c r="V14" s="188">
        <f t="shared" si="1"/>
        <v>725.35968708475366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0"/>
      <c r="G15" s="340" t="s">
        <v>318</v>
      </c>
      <c r="H15" s="202">
        <v>0</v>
      </c>
      <c r="I15" s="203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>Cormier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1060.7967013883531</v>
      </c>
      <c r="U15" s="189">
        <f>'Données projet'!D14</f>
        <v>0.50988</v>
      </c>
      <c r="V15" s="188">
        <f t="shared" si="1"/>
        <v>540.87902210389348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2"/>
      <c r="I16" s="203"/>
      <c r="J16" s="215"/>
      <c r="K16" s="224"/>
      <c r="L16" s="336" t="s">
        <v>254</v>
      </c>
      <c r="M16" s="337"/>
      <c r="N16" s="2"/>
      <c r="O16" s="25"/>
      <c r="P16" s="25"/>
      <c r="Q16" s="264"/>
      <c r="R16" s="25"/>
      <c r="S16" s="184" t="str">
        <f>B200</f>
        <v>Pin taeda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3403.7209714679934</v>
      </c>
      <c r="U16" s="189">
        <f>'Données projet'!D15</f>
        <v>0.36420000000000002</v>
      </c>
      <c r="V16" s="188">
        <f t="shared" si="1"/>
        <v>1239.6351778086432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9">
        <v>0</v>
      </c>
      <c r="B17" s="212" t="s">
        <v>132</v>
      </c>
      <c r="C17" s="211" t="s">
        <v>132</v>
      </c>
      <c r="D17" s="210" t="s">
        <v>132</v>
      </c>
      <c r="E17" s="205"/>
      <c r="F17" s="260"/>
      <c r="G17" s="340"/>
      <c r="J17" s="215"/>
      <c r="K17" s="224"/>
      <c r="L17" s="294" t="s">
        <v>289</v>
      </c>
      <c r="M17" s="296"/>
      <c r="N17" s="186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4" t="str">
        <f>B231</f>
        <v>Pin pignon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85.912421740013656</v>
      </c>
      <c r="U17" s="189">
        <f>'Données projet'!D16</f>
        <v>0.32778000000000002</v>
      </c>
      <c r="V17" s="188">
        <f t="shared" si="1"/>
        <v>28.160373597941678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9">
        <v>1</v>
      </c>
      <c r="B18" s="212" t="s">
        <v>132</v>
      </c>
      <c r="C18" s="211" t="s">
        <v>132</v>
      </c>
      <c r="D18" s="210" t="s">
        <v>132</v>
      </c>
      <c r="E18" s="205"/>
      <c r="F18" s="260"/>
      <c r="G18" s="340"/>
      <c r="J18" s="215"/>
      <c r="K18" s="224"/>
      <c r="L18" s="294" t="s">
        <v>255</v>
      </c>
      <c r="M18" s="296"/>
      <c r="N18" s="204"/>
      <c r="O18" s="25"/>
      <c r="P18" s="25"/>
      <c r="Q18" s="264"/>
      <c r="R18" s="25"/>
      <c r="S18" s="184" t="str">
        <f>B262</f>
        <v>Pin maritime</v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3403.7209714679934</v>
      </c>
      <c r="U18" s="189">
        <f>'Données projet'!D17</f>
        <v>0.32778000000000002</v>
      </c>
      <c r="V18" s="188">
        <f t="shared" si="1"/>
        <v>1115.6716600277789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9">
        <v>2</v>
      </c>
      <c r="B19" s="212" t="s">
        <v>132</v>
      </c>
      <c r="C19" s="211" t="s">
        <v>132</v>
      </c>
      <c r="D19" s="210" t="s">
        <v>132</v>
      </c>
      <c r="E19" s="205"/>
      <c r="F19" s="260"/>
      <c r="G19" s="340"/>
      <c r="H19" s="231" t="s">
        <v>178</v>
      </c>
      <c r="I19" s="231" t="s">
        <v>287</v>
      </c>
      <c r="J19" s="259"/>
      <c r="K19" s="182"/>
      <c r="L19" s="336" t="s">
        <v>288</v>
      </c>
      <c r="M19" s="337"/>
      <c r="N19" s="190">
        <f>N17*N18</f>
        <v>0</v>
      </c>
      <c r="O19" s="25"/>
      <c r="P19" s="5"/>
      <c r="Q19" s="265"/>
      <c r="R19" s="5"/>
      <c r="S19" s="184" t="str">
        <f>B293</f>
        <v>Chêne-liège</v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96.245189946017661</v>
      </c>
      <c r="U19" s="189">
        <f>'Données projet'!D18</f>
        <v>1.0015500000000002</v>
      </c>
      <c r="V19" s="188">
        <f t="shared" si="1"/>
        <v>96.394369990434001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9">
        <v>3</v>
      </c>
      <c r="B20" s="212" t="s">
        <v>132</v>
      </c>
      <c r="C20" s="211" t="s">
        <v>132</v>
      </c>
      <c r="D20" s="210" t="s">
        <v>132</v>
      </c>
      <c r="E20" s="205"/>
      <c r="F20" s="260"/>
      <c r="G20" s="340"/>
      <c r="H20" s="202">
        <v>0</v>
      </c>
      <c r="I20" s="203">
        <v>7000</v>
      </c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9">
        <v>4</v>
      </c>
      <c r="B21" s="212" t="s">
        <v>132</v>
      </c>
      <c r="C21" s="211" t="s">
        <v>132</v>
      </c>
      <c r="D21" s="210" t="s">
        <v>132</v>
      </c>
      <c r="E21" s="205"/>
      <c r="F21" s="260"/>
      <c r="H21" s="202"/>
      <c r="I21" s="203"/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9">
        <v>5</v>
      </c>
      <c r="B22" s="212" t="s">
        <v>132</v>
      </c>
      <c r="C22" s="211" t="s">
        <v>132</v>
      </c>
      <c r="D22" s="210" t="s">
        <v>132</v>
      </c>
      <c r="E22" s="205"/>
      <c r="F22" s="260"/>
      <c r="H22" s="202"/>
      <c r="I22" s="203"/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1">
        <f>'Données projet'!A36</f>
        <v>20</v>
      </c>
      <c r="B23" s="192">
        <f>'Données projet'!D36</f>
        <v>0</v>
      </c>
      <c r="C23" s="205"/>
      <c r="D23" s="193">
        <f>B23*C23</f>
        <v>0</v>
      </c>
      <c r="E23" s="205"/>
      <c r="F23" s="260"/>
      <c r="H23" s="202"/>
      <c r="I23" s="203"/>
      <c r="K23" s="224"/>
      <c r="L23" s="338" t="s">
        <v>260</v>
      </c>
      <c r="M23" s="338"/>
      <c r="N23" s="338"/>
      <c r="O23" s="25"/>
      <c r="P23" s="25"/>
      <c r="Q23" s="264"/>
      <c r="R23" s="25"/>
      <c r="S23" s="184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-103032.52278509458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1">
        <f>'Données projet'!A37</f>
        <v>25</v>
      </c>
      <c r="B24" s="192">
        <f>'Données projet'!D37</f>
        <v>34</v>
      </c>
      <c r="C24" s="205">
        <v>10</v>
      </c>
      <c r="D24" s="193">
        <f t="shared" ref="D24:D42" si="2">B24*C24</f>
        <v>340</v>
      </c>
      <c r="E24" s="205"/>
      <c r="F24" s="263"/>
      <c r="H24" s="202"/>
      <c r="I24" s="203"/>
      <c r="K24" s="224"/>
      <c r="O24" s="25"/>
      <c r="P24" s="25"/>
      <c r="Q24" s="264"/>
      <c r="R24" s="25"/>
      <c r="S24" s="184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97693.108758294387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1">
        <f>'Données projet'!A38</f>
        <v>30</v>
      </c>
      <c r="B25" s="192">
        <f>'Données projet'!D38</f>
        <v>0</v>
      </c>
      <c r="C25" s="205"/>
      <c r="D25" s="193">
        <f t="shared" si="2"/>
        <v>0</v>
      </c>
      <c r="E25" s="205"/>
      <c r="F25" s="263"/>
      <c r="G25" s="1"/>
      <c r="H25" s="202"/>
      <c r="I25" s="203"/>
      <c r="K25" s="224"/>
      <c r="L25" s="270" t="s">
        <v>285</v>
      </c>
      <c r="M25" s="270"/>
      <c r="N25" s="270"/>
      <c r="O25" s="270"/>
      <c r="P25" s="204">
        <v>272</v>
      </c>
      <c r="Q25" s="264"/>
      <c r="R25" s="25"/>
      <c r="S25" s="197" t="s">
        <v>266</v>
      </c>
      <c r="T25" s="335">
        <f ca="1">T23-T24</f>
        <v>-200725.63154338897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1">
        <f>'Données projet'!A39</f>
        <v>35</v>
      </c>
      <c r="B26" s="192">
        <f>'Données projet'!D39</f>
        <v>56</v>
      </c>
      <c r="C26" s="205">
        <v>10</v>
      </c>
      <c r="D26" s="193">
        <f t="shared" si="2"/>
        <v>560</v>
      </c>
      <c r="E26" s="205"/>
      <c r="F26" s="263"/>
      <c r="G26" s="258"/>
      <c r="H26" s="202"/>
      <c r="I26" s="203"/>
      <c r="K26" s="224"/>
      <c r="L26" s="322" t="s">
        <v>258</v>
      </c>
      <c r="M26" s="323"/>
      <c r="N26" s="323"/>
      <c r="O26" s="323"/>
      <c r="P26" s="324"/>
      <c r="Q26" s="264"/>
      <c r="R26" s="25"/>
      <c r="S26" s="197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1">
        <f>'Données projet'!A40</f>
        <v>40</v>
      </c>
      <c r="B27" s="192">
        <f>'Données projet'!D40</f>
        <v>0</v>
      </c>
      <c r="C27" s="205"/>
      <c r="D27" s="193">
        <f t="shared" si="2"/>
        <v>0</v>
      </c>
      <c r="E27" s="205"/>
      <c r="F27" s="263"/>
      <c r="G27" s="258"/>
      <c r="H27" s="202"/>
      <c r="I27" s="203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1">
        <f>'Données projet'!A41</f>
        <v>45</v>
      </c>
      <c r="B28" s="192">
        <f>'Données projet'!D41</f>
        <v>56</v>
      </c>
      <c r="C28" s="205">
        <v>10</v>
      </c>
      <c r="D28" s="193">
        <f t="shared" si="2"/>
        <v>560</v>
      </c>
      <c r="E28" s="205"/>
      <c r="F28" s="263"/>
      <c r="G28" s="221"/>
      <c r="H28" s="202"/>
      <c r="I28" s="203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1">
        <f>'Données projet'!A42</f>
        <v>50</v>
      </c>
      <c r="B29" s="192">
        <f>'Données projet'!D42</f>
        <v>0</v>
      </c>
      <c r="C29" s="205"/>
      <c r="D29" s="193">
        <f t="shared" si="2"/>
        <v>0</v>
      </c>
      <c r="E29" s="205"/>
      <c r="F29" s="263"/>
      <c r="G29" s="217"/>
      <c r="H29" s="202"/>
      <c r="I29" s="203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1">
        <f>'Données projet'!A43</f>
        <v>55</v>
      </c>
      <c r="B30" s="192">
        <f>'Données projet'!D43</f>
        <v>56</v>
      </c>
      <c r="C30" s="205">
        <v>20</v>
      </c>
      <c r="D30" s="193">
        <f t="shared" si="2"/>
        <v>1120</v>
      </c>
      <c r="E30" s="205"/>
      <c r="F30" s="263"/>
      <c r="G30" s="217"/>
      <c r="H30" s="202"/>
      <c r="I30" s="203"/>
      <c r="K30" s="194"/>
      <c r="L30" s="184" t="s">
        <v>259</v>
      </c>
      <c r="M30" s="195">
        <f ca="1">SUM(OFFSET($P$33,0,0,MIN('Données projet'!$E$9:$E$18)+1,1))</f>
        <v>5364.8055331298401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1">
        <f>'Données projet'!A44</f>
        <v>60</v>
      </c>
      <c r="B31" s="192">
        <f>'Données projet'!D44</f>
        <v>0</v>
      </c>
      <c r="C31" s="205"/>
      <c r="D31" s="193">
        <f t="shared" si="2"/>
        <v>0</v>
      </c>
      <c r="E31" s="205"/>
      <c r="F31" s="263"/>
      <c r="G31" s="217"/>
      <c r="H31" s="202"/>
      <c r="I31" s="203"/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1">
        <f>'Données projet'!A45</f>
        <v>65</v>
      </c>
      <c r="B32" s="192">
        <f>'Données projet'!D45</f>
        <v>56</v>
      </c>
      <c r="C32" s="205">
        <v>30</v>
      </c>
      <c r="D32" s="193">
        <f t="shared" si="2"/>
        <v>1680</v>
      </c>
      <c r="E32" s="205"/>
      <c r="F32" s="263"/>
      <c r="G32" s="217"/>
      <c r="H32" s="202"/>
      <c r="I32" s="203"/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1">
        <f>'Données projet'!A46</f>
        <v>70</v>
      </c>
      <c r="B33" s="192">
        <f>'Données projet'!D46</f>
        <v>0</v>
      </c>
      <c r="C33" s="205"/>
      <c r="D33" s="193">
        <f t="shared" si="2"/>
        <v>0</v>
      </c>
      <c r="E33" s="205"/>
      <c r="F33" s="263"/>
      <c r="G33" s="217"/>
      <c r="H33" s="202"/>
      <c r="I33" s="203"/>
      <c r="K33" s="182"/>
      <c r="L33" s="5"/>
      <c r="M33" s="5"/>
      <c r="N33" s="5"/>
      <c r="O33" s="206">
        <v>0</v>
      </c>
      <c r="P33" s="196">
        <f t="shared" ref="P33:P64" si="3">$P$25/(1+$M$4)^O33</f>
        <v>272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1">
        <f>'Données projet'!A47</f>
        <v>75</v>
      </c>
      <c r="B34" s="192">
        <f>'Données projet'!D47</f>
        <v>56</v>
      </c>
      <c r="C34" s="205">
        <v>40</v>
      </c>
      <c r="D34" s="193">
        <f t="shared" si="2"/>
        <v>2240</v>
      </c>
      <c r="E34" s="205"/>
      <c r="F34" s="263"/>
      <c r="G34" s="217"/>
      <c r="H34" s="202"/>
      <c r="I34" s="203"/>
      <c r="K34" s="182"/>
      <c r="L34" s="283"/>
      <c r="M34" s="283"/>
      <c r="N34" s="284"/>
      <c r="O34" s="206">
        <f>IF(O33+1&lt;=MIN('Données projet'!$E$9:$E$18),O33+1,"STOP")</f>
        <v>1</v>
      </c>
      <c r="P34" s="196">
        <f t="shared" si="3"/>
        <v>260.28708133971293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1">
        <f>'Données projet'!A48</f>
        <v>80</v>
      </c>
      <c r="B35" s="192">
        <f>'Données projet'!D48</f>
        <v>0</v>
      </c>
      <c r="C35" s="205"/>
      <c r="D35" s="193">
        <f t="shared" si="2"/>
        <v>0</v>
      </c>
      <c r="E35" s="205"/>
      <c r="F35" s="263"/>
      <c r="G35" s="217"/>
      <c r="H35" s="202"/>
      <c r="I35" s="203"/>
      <c r="K35" s="182"/>
      <c r="L35" s="283"/>
      <c r="M35" s="283"/>
      <c r="N35" s="284"/>
      <c r="O35" s="206">
        <f>IF(O34+1&lt;=MIN('Données projet'!$E$9:$E$18),O34+1,"STOP")</f>
        <v>2</v>
      </c>
      <c r="P35" s="196">
        <f t="shared" si="3"/>
        <v>249.07854673656743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1">
        <f>'Données projet'!A49</f>
        <v>90</v>
      </c>
      <c r="B36" s="192">
        <f>'Données projet'!D49</f>
        <v>56</v>
      </c>
      <c r="C36" s="205">
        <v>70</v>
      </c>
      <c r="D36" s="193">
        <f t="shared" si="2"/>
        <v>3920</v>
      </c>
      <c r="E36" s="205"/>
      <c r="F36" s="263"/>
      <c r="G36" s="217"/>
      <c r="H36" s="202"/>
      <c r="I36" s="203"/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238.35267630293535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1">
        <f>'Données projet'!A50</f>
        <v>100</v>
      </c>
      <c r="B37" s="192">
        <f>'Données projet'!D50</f>
        <v>55</v>
      </c>
      <c r="C37" s="205">
        <v>100</v>
      </c>
      <c r="D37" s="193">
        <f t="shared" si="2"/>
        <v>5500</v>
      </c>
      <c r="E37" s="205"/>
      <c r="F37" s="263"/>
      <c r="G37" s="217"/>
      <c r="H37" s="202"/>
      <c r="I37" s="203"/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228.08868545735444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1">
        <f>'Données projet'!A51</f>
        <v>110</v>
      </c>
      <c r="B38" s="192">
        <f>'Données projet'!D51</f>
        <v>53</v>
      </c>
      <c r="C38" s="205">
        <v>120</v>
      </c>
      <c r="D38" s="193">
        <f t="shared" si="2"/>
        <v>6360</v>
      </c>
      <c r="E38" s="205"/>
      <c r="F38" s="263"/>
      <c r="G38" s="217"/>
      <c r="H38" s="202"/>
      <c r="I38" s="203"/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218.26668464818607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1">
        <f>'Données projet'!A52</f>
        <v>120</v>
      </c>
      <c r="B39" s="192">
        <f>'Données projet'!D52</f>
        <v>47</v>
      </c>
      <c r="C39" s="205">
        <v>120</v>
      </c>
      <c r="D39" s="193">
        <f t="shared" si="2"/>
        <v>5640</v>
      </c>
      <c r="E39" s="205"/>
      <c r="F39" s="263"/>
      <c r="G39" s="217"/>
      <c r="H39" s="202"/>
      <c r="I39" s="203"/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208.86764081166137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1">
        <f>'Données projet'!A53</f>
        <v>130</v>
      </c>
      <c r="B40" s="192">
        <f>'Données projet'!D53</f>
        <v>44</v>
      </c>
      <c r="C40" s="205">
        <v>150</v>
      </c>
      <c r="D40" s="193">
        <f t="shared" si="2"/>
        <v>6600</v>
      </c>
      <c r="E40" s="205"/>
      <c r="F40" s="263"/>
      <c r="G40" s="217"/>
      <c r="H40" s="202"/>
      <c r="I40" s="203"/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199.87334048962808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1">
        <f>'Données projet'!A54</f>
        <v>140</v>
      </c>
      <c r="B41" s="192">
        <f>'Données projet'!D54</f>
        <v>43</v>
      </c>
      <c r="C41" s="205">
        <v>200</v>
      </c>
      <c r="D41" s="193">
        <f t="shared" si="2"/>
        <v>8600</v>
      </c>
      <c r="E41" s="205"/>
      <c r="F41" s="263"/>
      <c r="G41" s="217"/>
      <c r="H41" s="202"/>
      <c r="I41" s="203"/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191.26635453552933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1">
        <f>'Données projet'!A55</f>
        <v>150</v>
      </c>
      <c r="B42" s="192">
        <f>'Données projet'!D55</f>
        <v>335</v>
      </c>
      <c r="C42" s="205">
        <v>200</v>
      </c>
      <c r="D42" s="193">
        <f t="shared" si="2"/>
        <v>67000</v>
      </c>
      <c r="E42" s="205"/>
      <c r="F42" s="263"/>
      <c r="G42" s="217"/>
      <c r="H42" s="202"/>
      <c r="I42" s="203"/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183.03000434021948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8"/>
      <c r="B43" s="198"/>
      <c r="C43" s="198"/>
      <c r="D43" s="255"/>
      <c r="E43" s="255"/>
      <c r="F43" s="268"/>
      <c r="G43" s="217"/>
      <c r="H43" s="202"/>
      <c r="I43" s="203"/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175.14832951217178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0"/>
      <c r="G44" s="217"/>
      <c r="H44" s="202"/>
      <c r="I44" s="203"/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167.60605694944667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5" t="str">
        <f>IF('Données projet'!$B$10="","",'Données projet'!$B$10)</f>
        <v>Chêne pubescent</v>
      </c>
      <c r="C45" s="5"/>
      <c r="D45" s="5"/>
      <c r="E45" s="5"/>
      <c r="F45" s="260"/>
      <c r="G45" s="217"/>
      <c r="H45" s="202"/>
      <c r="I45" s="203"/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160.38857124348968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0"/>
      <c r="G46" s="217"/>
      <c r="H46" s="202"/>
      <c r="I46" s="203"/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153.48188635740638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/>
      <c r="I47" s="203"/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146.87261852383389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9">
        <v>0</v>
      </c>
      <c r="B48" s="212" t="s">
        <v>132</v>
      </c>
      <c r="C48" s="211" t="s">
        <v>132</v>
      </c>
      <c r="D48" s="210" t="s">
        <v>132</v>
      </c>
      <c r="E48" s="205"/>
      <c r="F48" s="261"/>
      <c r="G48" s="217"/>
      <c r="H48" s="202"/>
      <c r="I48" s="203"/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140.54796030988888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25">
      <c r="A49" s="209">
        <v>1</v>
      </c>
      <c r="B49" s="212" t="s">
        <v>132</v>
      </c>
      <c r="C49" s="211" t="s">
        <v>132</v>
      </c>
      <c r="D49" s="210" t="s">
        <v>132</v>
      </c>
      <c r="E49" s="205"/>
      <c r="F49" s="261"/>
      <c r="G49" s="218"/>
      <c r="H49" s="202"/>
      <c r="I49" s="203"/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134.49565579893678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x14ac:dyDescent="0.25">
      <c r="A50" s="209">
        <v>2</v>
      </c>
      <c r="B50" s="212" t="s">
        <v>132</v>
      </c>
      <c r="C50" s="211" t="s">
        <v>132</v>
      </c>
      <c r="D50" s="210" t="s">
        <v>132</v>
      </c>
      <c r="E50" s="205"/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128.70397684108784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9">
        <v>3</v>
      </c>
      <c r="B51" s="212" t="s">
        <v>132</v>
      </c>
      <c r="C51" s="211" t="s">
        <v>132</v>
      </c>
      <c r="D51" s="210" t="s">
        <v>132</v>
      </c>
      <c r="E51" s="205"/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123.16170032639985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9">
        <v>4</v>
      </c>
      <c r="B52" s="212" t="s">
        <v>132</v>
      </c>
      <c r="C52" s="211" t="s">
        <v>132</v>
      </c>
      <c r="D52" s="210" t="s">
        <v>132</v>
      </c>
      <c r="E52" s="205"/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117.85808643674628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9">
        <v>5</v>
      </c>
      <c r="B53" s="212" t="s">
        <v>132</v>
      </c>
      <c r="C53" s="211" t="s">
        <v>132</v>
      </c>
      <c r="D53" s="210" t="s">
        <v>132</v>
      </c>
      <c r="E53" s="205"/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112.78285783420699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1">
        <f>'Données projet'!A62</f>
        <v>20</v>
      </c>
      <c r="B54" s="192">
        <f>'Données projet'!D62</f>
        <v>0</v>
      </c>
      <c r="C54" s="203"/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107.92617974565262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1">
        <f>'Données projet'!A63</f>
        <v>25</v>
      </c>
      <c r="B55" s="192">
        <f>'Données projet'!D63</f>
        <v>34</v>
      </c>
      <c r="C55" s="205">
        <v>10</v>
      </c>
      <c r="D55" s="190">
        <f t="shared" ref="D55:D73" si="4">B55*C55</f>
        <v>340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103.27864090493077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1">
        <f>'Données projet'!A64</f>
        <v>30</v>
      </c>
      <c r="B56" s="192">
        <f>'Données projet'!D64</f>
        <v>0</v>
      </c>
      <c r="C56" s="205"/>
      <c r="D56" s="190">
        <f t="shared" si="4"/>
        <v>0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98.83123531572322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1">
        <f>'Données projet'!A65</f>
        <v>35</v>
      </c>
      <c r="B57" s="192">
        <f>'Données projet'!D65</f>
        <v>56</v>
      </c>
      <c r="C57" s="205">
        <v>10</v>
      </c>
      <c r="D57" s="190">
        <f t="shared" si="4"/>
        <v>560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94.575344799735163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1">
        <f>'Données projet'!A66</f>
        <v>40</v>
      </c>
      <c r="B58" s="192">
        <f>'Données projet'!D66</f>
        <v>0</v>
      </c>
      <c r="C58" s="205"/>
      <c r="D58" s="190">
        <f t="shared" si="4"/>
        <v>0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90.50272229639728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1">
        <f>'Données projet'!A67</f>
        <v>45</v>
      </c>
      <c r="B59" s="192">
        <f>'Données projet'!D67</f>
        <v>56</v>
      </c>
      <c r="C59" s="205">
        <v>10</v>
      </c>
      <c r="D59" s="190">
        <f t="shared" si="4"/>
        <v>560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86.605475881719912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1">
        <f>'Données projet'!A68</f>
        <v>50</v>
      </c>
      <c r="B60" s="192">
        <f>'Données projet'!D68</f>
        <v>0</v>
      </c>
      <c r="C60" s="205"/>
      <c r="D60" s="190">
        <f t="shared" si="4"/>
        <v>0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82.876053475330053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1">
        <f>'Données projet'!A69</f>
        <v>55</v>
      </c>
      <c r="B61" s="192">
        <f>'Données projet'!D69</f>
        <v>56</v>
      </c>
      <c r="C61" s="205">
        <v>20</v>
      </c>
      <c r="D61" s="190">
        <f t="shared" si="4"/>
        <v>1120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79.307228206057488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1">
        <f>'Données projet'!A70</f>
        <v>60</v>
      </c>
      <c r="B62" s="192">
        <f>'Données projet'!D70</f>
        <v>0</v>
      </c>
      <c r="C62" s="205"/>
      <c r="D62" s="190">
        <f t="shared" si="4"/>
        <v>0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75.892084407710513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1">
        <f>'Données projet'!A71</f>
        <v>65</v>
      </c>
      <c r="B63" s="192">
        <f>'Données projet'!D71</f>
        <v>56</v>
      </c>
      <c r="C63" s="205">
        <v>30</v>
      </c>
      <c r="D63" s="190">
        <f t="shared" si="4"/>
        <v>1680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72.624004217904812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1">
        <f>'Données projet'!A72</f>
        <v>70</v>
      </c>
      <c r="B64" s="192">
        <f>'Données projet'!D72</f>
        <v>0</v>
      </c>
      <c r="C64" s="205"/>
      <c r="D64" s="190">
        <f t="shared" si="4"/>
        <v>0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69.496654753975889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1">
        <f>'Données projet'!A73</f>
        <v>75</v>
      </c>
      <c r="B65" s="192">
        <f>'Données projet'!D73</f>
        <v>56</v>
      </c>
      <c r="C65" s="205">
        <v>40</v>
      </c>
      <c r="D65" s="190">
        <f t="shared" si="4"/>
        <v>2240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66.503975841125282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1">
        <f>'Données projet'!A74</f>
        <v>80</v>
      </c>
      <c r="B66" s="192">
        <f>'Données projet'!D74</f>
        <v>0</v>
      </c>
      <c r="C66" s="205"/>
      <c r="D66" s="190">
        <f t="shared" si="4"/>
        <v>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63.640168269019426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1">
        <f>'Données projet'!A75</f>
        <v>90</v>
      </c>
      <c r="B67" s="192">
        <f>'Données projet'!D75</f>
        <v>56</v>
      </c>
      <c r="C67" s="205">
        <v>70</v>
      </c>
      <c r="D67" s="190">
        <f t="shared" si="4"/>
        <v>3920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60.89968255408558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1">
        <f>'Données projet'!A76</f>
        <v>100</v>
      </c>
      <c r="B68" s="192">
        <f>'Données projet'!D76</f>
        <v>55</v>
      </c>
      <c r="C68" s="205">
        <v>100</v>
      </c>
      <c r="D68" s="190">
        <f t="shared" si="4"/>
        <v>5500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58.277208185727829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1">
        <f>'Données projet'!A77</f>
        <v>110</v>
      </c>
      <c r="B69" s="192">
        <f>'Données projet'!D77</f>
        <v>53</v>
      </c>
      <c r="C69" s="205">
        <v>120</v>
      </c>
      <c r="D69" s="190">
        <f t="shared" si="4"/>
        <v>6360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55.767663335624725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1">
        <f>'Données projet'!A78</f>
        <v>120</v>
      </c>
      <c r="B70" s="192">
        <f>'Données projet'!D78</f>
        <v>47</v>
      </c>
      <c r="C70" s="205">
        <v>120</v>
      </c>
      <c r="D70" s="190">
        <f t="shared" si="4"/>
        <v>5640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53.366185010167207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1">
        <f>'Données projet'!A79</f>
        <v>130</v>
      </c>
      <c r="B71" s="192">
        <f>'Données projet'!D79</f>
        <v>44</v>
      </c>
      <c r="C71" s="205">
        <v>150</v>
      </c>
      <c r="D71" s="190">
        <f t="shared" si="4"/>
        <v>6600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51.068119626954271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1">
        <f>'Données projet'!A80</f>
        <v>140</v>
      </c>
      <c r="B72" s="192">
        <f>'Données projet'!D80</f>
        <v>43</v>
      </c>
      <c r="C72" s="205">
        <v>200</v>
      </c>
      <c r="D72" s="190">
        <f t="shared" si="4"/>
        <v>8600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48.869013997085425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1">
        <f>'Données projet'!A81</f>
        <v>150</v>
      </c>
      <c r="B73" s="192">
        <f>'Données projet'!D81</f>
        <v>335</v>
      </c>
      <c r="C73" s="205">
        <v>200</v>
      </c>
      <c r="D73" s="190">
        <f t="shared" si="4"/>
        <v>67000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46.764606695775541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44.7508198045699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42.823751009157803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5" t="str">
        <f>IF('Données projet'!B11="","",'Données projet'!B11)</f>
        <v>Chêne chevelu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 t="str">
        <f>IF(O75+1&lt;=MIN('Données projet'!$E$9:$E$18),O75+1,"STOP")</f>
        <v>STOP</v>
      </c>
      <c r="P76" s="196" t="e">
        <f t="shared" si="5"/>
        <v>#VALUE!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 t="e">
        <f>IF(O76+1&lt;=MIN('Données projet'!$E$9:$E$18),O76+1,"STOP")</f>
        <v>#VALUE!</v>
      </c>
      <c r="P77" s="196" t="e">
        <f t="shared" si="5"/>
        <v>#VALUE!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 t="e">
        <f>IF(O77+1&lt;=MIN('Données projet'!$E$9:$E$18),O77+1,"STOP")</f>
        <v>#VALUE!</v>
      </c>
      <c r="P78" s="196" t="e">
        <f t="shared" si="5"/>
        <v>#VALUE!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9">
        <v>0</v>
      </c>
      <c r="B79" s="212" t="s">
        <v>132</v>
      </c>
      <c r="C79" s="211" t="s">
        <v>132</v>
      </c>
      <c r="D79" s="210" t="s">
        <v>132</v>
      </c>
      <c r="E79" s="205"/>
      <c r="F79" s="261"/>
      <c r="G79" s="222"/>
      <c r="H79" s="202"/>
      <c r="I79" s="203"/>
      <c r="J79" s="5"/>
      <c r="K79" s="182"/>
      <c r="L79" s="5"/>
      <c r="M79" s="5"/>
      <c r="N79" s="5"/>
      <c r="O79" s="206" t="e">
        <f>IF(O78+1&lt;=MIN('Données projet'!$E$9:$E$18),O78+1,"STOP")</f>
        <v>#VALUE!</v>
      </c>
      <c r="P79" s="196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9">
        <v>1</v>
      </c>
      <c r="B80" s="212" t="s">
        <v>132</v>
      </c>
      <c r="C80" s="211" t="s">
        <v>132</v>
      </c>
      <c r="D80" s="210" t="s">
        <v>132</v>
      </c>
      <c r="E80" s="205"/>
      <c r="F80" s="261"/>
      <c r="G80" s="220"/>
      <c r="H80" s="202"/>
      <c r="I80" s="203"/>
      <c r="J80" s="5"/>
      <c r="K80" s="182"/>
      <c r="L80" s="5"/>
      <c r="M80" s="5"/>
      <c r="N80" s="5"/>
      <c r="O80" s="206" t="e">
        <f>IF(O79+1&lt;=MIN('Données projet'!$E$9:$E$18),O79+1,"STOP")</f>
        <v>#VALUE!</v>
      </c>
      <c r="P80" s="196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9">
        <v>2</v>
      </c>
      <c r="B81" s="212" t="s">
        <v>132</v>
      </c>
      <c r="C81" s="211" t="s">
        <v>132</v>
      </c>
      <c r="D81" s="210" t="s">
        <v>132</v>
      </c>
      <c r="E81" s="205"/>
      <c r="F81" s="261"/>
      <c r="G81" s="220"/>
      <c r="H81" s="202"/>
      <c r="I81" s="203"/>
      <c r="J81" s="5"/>
      <c r="K81" s="182"/>
      <c r="L81" s="5"/>
      <c r="M81" s="5"/>
      <c r="N81" s="5"/>
      <c r="O81" s="206" t="e">
        <f>IF(O80+1&lt;=MIN('Données projet'!$E$9:$E$18),O80+1,"STOP")</f>
        <v>#VALUE!</v>
      </c>
      <c r="P81" s="196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9">
        <v>3</v>
      </c>
      <c r="B82" s="212" t="s">
        <v>132</v>
      </c>
      <c r="C82" s="211" t="s">
        <v>132</v>
      </c>
      <c r="D82" s="210" t="s">
        <v>132</v>
      </c>
      <c r="E82" s="205"/>
      <c r="F82" s="261"/>
      <c r="G82" s="220"/>
      <c r="H82" s="202"/>
      <c r="I82" s="203"/>
      <c r="J82" s="5"/>
      <c r="K82" s="182"/>
      <c r="L82" s="5"/>
      <c r="M82" s="5"/>
      <c r="N82" s="5"/>
      <c r="O82" s="206" t="e">
        <f>IF(O81+1&lt;=MIN('Données projet'!$E$9:$E$18),O81+1,"STOP")</f>
        <v>#VALUE!</v>
      </c>
      <c r="P82" s="196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9">
        <v>4</v>
      </c>
      <c r="B83" s="212" t="s">
        <v>132</v>
      </c>
      <c r="C83" s="211" t="s">
        <v>132</v>
      </c>
      <c r="D83" s="210" t="s">
        <v>132</v>
      </c>
      <c r="E83" s="205"/>
      <c r="F83" s="261"/>
      <c r="G83" s="220"/>
      <c r="H83" s="202"/>
      <c r="I83" s="203"/>
      <c r="J83" s="5"/>
      <c r="K83" s="182"/>
      <c r="L83" s="5"/>
      <c r="M83" s="5"/>
      <c r="N83" s="5"/>
      <c r="O83" s="206" t="e">
        <f>IF(O82+1&lt;=MIN('Données projet'!$E$9:$E$18),O82+1,"STOP")</f>
        <v>#VALUE!</v>
      </c>
      <c r="P83" s="196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9">
        <v>5</v>
      </c>
      <c r="B84" s="212" t="s">
        <v>132</v>
      </c>
      <c r="C84" s="211" t="s">
        <v>132</v>
      </c>
      <c r="D84" s="210" t="s">
        <v>132</v>
      </c>
      <c r="E84" s="205"/>
      <c r="F84" s="261"/>
      <c r="G84" s="221"/>
      <c r="H84" s="202"/>
      <c r="I84" s="203"/>
      <c r="J84" s="5"/>
      <c r="K84" s="182"/>
      <c r="L84" s="5"/>
      <c r="M84" s="5"/>
      <c r="N84" s="5"/>
      <c r="O84" s="206" t="e">
        <f>IF(O83+1&lt;=MIN('Données projet'!$E$9:$E$18),O83+1,"STOP")</f>
        <v>#VALUE!</v>
      </c>
      <c r="P84" s="196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1">
        <f>'Données projet'!A88</f>
        <v>15</v>
      </c>
      <c r="B85" s="192">
        <f>'Données projet'!D88</f>
        <v>0</v>
      </c>
      <c r="C85" s="203"/>
      <c r="D85" s="190">
        <f>B85*C85</f>
        <v>0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 t="e">
        <f>IF(O84+1&lt;=MIN('Données projet'!$E$9:$E$18),O84+1,"STOP")</f>
        <v>#VALUE!</v>
      </c>
      <c r="P85" s="196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1">
        <f>'Données projet'!A89</f>
        <v>20</v>
      </c>
      <c r="B86" s="192">
        <f>'Données projet'!D89</f>
        <v>0</v>
      </c>
      <c r="C86" s="203"/>
      <c r="D86" s="190">
        <f t="shared" ref="D86:D104" si="6">B86*C86</f>
        <v>0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 t="e">
        <f>IF(O85+1&lt;=MIN('Données projet'!$E$9:$E$18),O85+1,"STOP")</f>
        <v>#VALUE!</v>
      </c>
      <c r="P86" s="196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1">
        <f>'Données projet'!A90</f>
        <v>25</v>
      </c>
      <c r="B87" s="192">
        <f>'Données projet'!D90</f>
        <v>23.076923076923077</v>
      </c>
      <c r="C87" s="203">
        <v>10</v>
      </c>
      <c r="D87" s="190">
        <f t="shared" si="6"/>
        <v>230.76923076923077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 t="e">
        <f>IF(O86+1&lt;=MIN('Données projet'!$E$9:$E$18),O86+1,"STOP")</f>
        <v>#VALUE!</v>
      </c>
      <c r="P87" s="196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1">
        <f>'Données projet'!A91</f>
        <v>30</v>
      </c>
      <c r="B88" s="192">
        <f>'Données projet'!D91</f>
        <v>0</v>
      </c>
      <c r="C88" s="203"/>
      <c r="D88" s="190">
        <f t="shared" si="6"/>
        <v>0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 t="e">
        <f>IF(O87+1&lt;=MIN('Données projet'!$E$9:$E$18),O87+1,"STOP")</f>
        <v>#VALUE!</v>
      </c>
      <c r="P88" s="196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1">
        <f>'Données projet'!A92</f>
        <v>35</v>
      </c>
      <c r="B89" s="192">
        <f>'Données projet'!D92</f>
        <v>25.641025641025639</v>
      </c>
      <c r="C89" s="203">
        <v>10</v>
      </c>
      <c r="D89" s="190">
        <f t="shared" si="6"/>
        <v>256.41025641025641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 t="e">
        <f>IF(O88+1&lt;=MIN('Données projet'!$E$9:$E$18),O88+1,"STOP")</f>
        <v>#VALUE!</v>
      </c>
      <c r="P89" s="196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1">
        <f>'Données projet'!A93</f>
        <v>40</v>
      </c>
      <c r="B90" s="192">
        <f>'Données projet'!D93</f>
        <v>0</v>
      </c>
      <c r="C90" s="203"/>
      <c r="D90" s="190">
        <f t="shared" si="6"/>
        <v>0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 t="e">
        <f>IF(O89+1&lt;=MIN('Données projet'!$E$9:$E$18),O89+1,"STOP")</f>
        <v>#VALUE!</v>
      </c>
      <c r="P90" s="196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1">
        <f>'Données projet'!A94</f>
        <v>45</v>
      </c>
      <c r="B91" s="192">
        <f>'Données projet'!D94</f>
        <v>28.846153846153847</v>
      </c>
      <c r="C91" s="203">
        <v>20</v>
      </c>
      <c r="D91" s="190">
        <f t="shared" si="6"/>
        <v>576.92307692307691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 t="e">
        <f>IF(O90+1&lt;=MIN('Données projet'!$E$9:$E$18),O90+1,"STOP")</f>
        <v>#VALUE!</v>
      </c>
      <c r="P91" s="196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1">
        <f>'Données projet'!A95</f>
        <v>50</v>
      </c>
      <c r="B92" s="192">
        <f>'Données projet'!D95</f>
        <v>0</v>
      </c>
      <c r="C92" s="203"/>
      <c r="D92" s="190">
        <f t="shared" si="6"/>
        <v>0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 t="e">
        <f>IF(O91+1&lt;=MIN('Données projet'!$E$9:$E$18),O91+1,"STOP")</f>
        <v>#VALUE!</v>
      </c>
      <c r="P92" s="196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1">
        <f>'Données projet'!A96</f>
        <v>55</v>
      </c>
      <c r="B93" s="192">
        <f>'Données projet'!D96</f>
        <v>28.846153846153847</v>
      </c>
      <c r="C93" s="203">
        <v>20</v>
      </c>
      <c r="D93" s="190">
        <f t="shared" si="6"/>
        <v>576.92307692307691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 t="e">
        <f>IF(O92+1&lt;=MIN('Données projet'!$E$9:$E$18),O92+1,"STOP")</f>
        <v>#VALUE!</v>
      </c>
      <c r="P93" s="196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1">
        <f>'Données projet'!A97</f>
        <v>60</v>
      </c>
      <c r="B94" s="192">
        <f>'Données projet'!D97</f>
        <v>0</v>
      </c>
      <c r="C94" s="203"/>
      <c r="D94" s="190">
        <f t="shared" si="6"/>
        <v>0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 t="e">
        <f>IF(O93+1&lt;=MIN('Données projet'!$E$9:$E$18),O93+1,"STOP")</f>
        <v>#VALUE!</v>
      </c>
      <c r="P94" s="196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1">
        <f>'Données projet'!A98</f>
        <v>65</v>
      </c>
      <c r="B95" s="192">
        <f>'Données projet'!D98</f>
        <v>29.487179487179485</v>
      </c>
      <c r="C95" s="203">
        <v>30</v>
      </c>
      <c r="D95" s="190">
        <f t="shared" si="6"/>
        <v>884.61538461538453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 t="e">
        <f>IF(O94+1&lt;=MIN('Données projet'!$E$9:$E$18),O94+1,"STOP")</f>
        <v>#VALUE!</v>
      </c>
      <c r="P95" s="196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1">
        <f>'Données projet'!A99</f>
        <v>70</v>
      </c>
      <c r="B96" s="192">
        <f>'Données projet'!D99</f>
        <v>0</v>
      </c>
      <c r="C96" s="203"/>
      <c r="D96" s="190">
        <f t="shared" si="6"/>
        <v>0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 t="e">
        <f>IF(O95+1&lt;=MIN('Données projet'!$E$9:$E$18),O95+1,"STOP")</f>
        <v>#VALUE!</v>
      </c>
      <c r="P96" s="196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1">
        <f>'Données projet'!A100</f>
        <v>75</v>
      </c>
      <c r="B97" s="192">
        <f>'Données projet'!D100</f>
        <v>28.205128205128204</v>
      </c>
      <c r="C97" s="203">
        <v>30</v>
      </c>
      <c r="D97" s="190">
        <f t="shared" si="6"/>
        <v>846.15384615384619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 t="e">
        <f>IF(O96+1&lt;=MIN('Données projet'!$E$9:$E$18),O96+1,"STOP")</f>
        <v>#VALUE!</v>
      </c>
      <c r="P97" s="196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1">
        <f>'Données projet'!A101</f>
        <v>80</v>
      </c>
      <c r="B98" s="192">
        <f>'Données projet'!D101</f>
        <v>0</v>
      </c>
      <c r="C98" s="203"/>
      <c r="D98" s="190">
        <f t="shared" si="6"/>
        <v>0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 t="e">
        <f>IF(O97+1&lt;=MIN('Données projet'!$E$9:$E$18),O97+1,"STOP")</f>
        <v>#VALUE!</v>
      </c>
      <c r="P98" s="196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1">
        <f>'Données projet'!A102</f>
        <v>85</v>
      </c>
      <c r="B99" s="192">
        <f>'Données projet'!D102</f>
        <v>26.923076923076923</v>
      </c>
      <c r="C99" s="203">
        <v>50</v>
      </c>
      <c r="D99" s="190">
        <f t="shared" si="6"/>
        <v>1346.1538461538462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 t="e">
        <f>IF(O98+1&lt;=MIN('Données projet'!$E$9:$E$18),O98+1,"STOP")</f>
        <v>#VALUE!</v>
      </c>
      <c r="P99" s="196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1">
        <f>'Données projet'!A103</f>
        <v>90</v>
      </c>
      <c r="B100" s="192">
        <f>'Données projet'!D103</f>
        <v>0</v>
      </c>
      <c r="C100" s="203"/>
      <c r="D100" s="190">
        <f t="shared" si="6"/>
        <v>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 t="e">
        <f>IF(O99+1&lt;=MIN('Données projet'!$E$9:$E$18),O99+1,"STOP")</f>
        <v>#VALUE!</v>
      </c>
      <c r="P100" s="196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1">
        <f>'Données projet'!A104</f>
        <v>100</v>
      </c>
      <c r="B101" s="192">
        <f>'Données projet'!D104</f>
        <v>37.179487179487175</v>
      </c>
      <c r="C101" s="203">
        <v>70</v>
      </c>
      <c r="D101" s="190">
        <f t="shared" si="6"/>
        <v>2602.5641025641021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 t="e">
        <f>IF(O100+1&lt;=MIN('Données projet'!$E$9:$E$18),O100+1,"STOP")</f>
        <v>#VALUE!</v>
      </c>
      <c r="P101" s="196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1">
        <f>'Données projet'!A105</f>
        <v>110</v>
      </c>
      <c r="B102" s="192">
        <f>'Données projet'!D105</f>
        <v>23.076923076923077</v>
      </c>
      <c r="C102" s="203">
        <v>100</v>
      </c>
      <c r="D102" s="190">
        <f t="shared" si="6"/>
        <v>2307.6923076923076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 t="e">
        <f>IF(O101+1&lt;=MIN('Données projet'!$E$9:$E$18),O101+1,"STOP")</f>
        <v>#VALUE!</v>
      </c>
      <c r="P102" s="196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1">
        <f>'Données projet'!A106</f>
        <v>120</v>
      </c>
      <c r="B103" s="192">
        <f>'Données projet'!D106</f>
        <v>21.153846153846153</v>
      </c>
      <c r="C103" s="203">
        <v>120</v>
      </c>
      <c r="D103" s="190">
        <f t="shared" si="6"/>
        <v>2538.4615384615386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e">
        <f>IF(O102+1&lt;=MIN('Données projet'!$E$9:$E$18),O102+1,"STOP")</f>
        <v>#VALUE!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1">
        <f>'Données projet'!A107</f>
        <v>130</v>
      </c>
      <c r="B104" s="192">
        <f>'Données projet'!D107</f>
        <v>408.97435897435895</v>
      </c>
      <c r="C104" s="203">
        <v>150</v>
      </c>
      <c r="D104" s="190">
        <f t="shared" si="6"/>
        <v>61346.153846153844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5" t="str">
        <f>IF('Données projet'!B12="","",'Données projet'!B12)</f>
        <v>Séquoia toujours vert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9">
        <v>0</v>
      </c>
      <c r="B110" s="212" t="s">
        <v>132</v>
      </c>
      <c r="C110" s="211" t="s">
        <v>132</v>
      </c>
      <c r="D110" s="210" t="s">
        <v>132</v>
      </c>
      <c r="E110" s="205"/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9">
        <v>1</v>
      </c>
      <c r="B111" s="212" t="s">
        <v>132</v>
      </c>
      <c r="C111" s="211" t="s">
        <v>132</v>
      </c>
      <c r="D111" s="210" t="s">
        <v>132</v>
      </c>
      <c r="E111" s="205"/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9">
        <v>2</v>
      </c>
      <c r="B112" s="212" t="s">
        <v>132</v>
      </c>
      <c r="C112" s="211" t="s">
        <v>132</v>
      </c>
      <c r="D112" s="210" t="s">
        <v>132</v>
      </c>
      <c r="E112" s="205"/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9">
        <v>3</v>
      </c>
      <c r="B113" s="212" t="s">
        <v>132</v>
      </c>
      <c r="C113" s="211" t="s">
        <v>132</v>
      </c>
      <c r="D113" s="210" t="s">
        <v>132</v>
      </c>
      <c r="E113" s="205"/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9">
        <v>4</v>
      </c>
      <c r="B114" s="212" t="s">
        <v>132</v>
      </c>
      <c r="C114" s="211" t="s">
        <v>132</v>
      </c>
      <c r="D114" s="210" t="s">
        <v>132</v>
      </c>
      <c r="E114" s="205"/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9">
        <v>5</v>
      </c>
      <c r="B115" s="212" t="s">
        <v>132</v>
      </c>
      <c r="C115" s="211" t="s">
        <v>132</v>
      </c>
      <c r="D115" s="210" t="s">
        <v>132</v>
      </c>
      <c r="E115" s="205"/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1">
        <f>'Données projet'!A114</f>
        <v>15</v>
      </c>
      <c r="B116" s="192">
        <f>'Données projet'!D114</f>
        <v>0</v>
      </c>
      <c r="C116" s="203"/>
      <c r="D116" s="190">
        <f>B116*C116</f>
        <v>0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1">
        <f>'Données projet'!A115</f>
        <v>20</v>
      </c>
      <c r="B117" s="192">
        <f>'Données projet'!D115</f>
        <v>91</v>
      </c>
      <c r="C117" s="203">
        <v>10</v>
      </c>
      <c r="D117" s="190">
        <f t="shared" ref="D117:D135" si="8">B117*C117</f>
        <v>910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1">
        <f>'Données projet'!A116</f>
        <v>25</v>
      </c>
      <c r="B118" s="192">
        <f>'Données projet'!D116</f>
        <v>0</v>
      </c>
      <c r="C118" s="203"/>
      <c r="D118" s="190">
        <f t="shared" si="8"/>
        <v>0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1">
        <f>'Données projet'!A117</f>
        <v>30</v>
      </c>
      <c r="B119" s="192">
        <f>'Données projet'!D117</f>
        <v>182</v>
      </c>
      <c r="C119" s="203">
        <v>15</v>
      </c>
      <c r="D119" s="190">
        <f t="shared" si="8"/>
        <v>2730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1">
        <f>'Données projet'!A118</f>
        <v>35</v>
      </c>
      <c r="B120" s="192">
        <f>'Données projet'!D118</f>
        <v>0</v>
      </c>
      <c r="C120" s="203"/>
      <c r="D120" s="190">
        <f t="shared" si="8"/>
        <v>0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1">
        <f>'Données projet'!A119</f>
        <v>40</v>
      </c>
      <c r="B121" s="192">
        <f>'Données projet'!D119</f>
        <v>182</v>
      </c>
      <c r="C121" s="203">
        <v>20</v>
      </c>
      <c r="D121" s="190">
        <f t="shared" si="8"/>
        <v>3640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1">
        <f>'Données projet'!A120</f>
        <v>45</v>
      </c>
      <c r="B122" s="192">
        <f>'Données projet'!D120</f>
        <v>0</v>
      </c>
      <c r="C122" s="203"/>
      <c r="D122" s="190">
        <f t="shared" si="8"/>
        <v>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1">
        <f>'Données projet'!A121</f>
        <v>50</v>
      </c>
      <c r="B123" s="192">
        <f>'Données projet'!D121</f>
        <v>137</v>
      </c>
      <c r="C123" s="203">
        <v>30</v>
      </c>
      <c r="D123" s="190">
        <f t="shared" si="8"/>
        <v>4110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1">
        <f>'Données projet'!A122</f>
        <v>55</v>
      </c>
      <c r="B124" s="192">
        <f>'Données projet'!D122</f>
        <v>0</v>
      </c>
      <c r="C124" s="203"/>
      <c r="D124" s="190">
        <f t="shared" si="8"/>
        <v>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1">
        <f>'Données projet'!A123</f>
        <v>60</v>
      </c>
      <c r="B125" s="192">
        <f>'Données projet'!D123</f>
        <v>103</v>
      </c>
      <c r="C125" s="203">
        <v>35</v>
      </c>
      <c r="D125" s="190">
        <f t="shared" si="8"/>
        <v>3605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1">
        <f>'Données projet'!A124</f>
        <v>65</v>
      </c>
      <c r="B126" s="192">
        <f>'Données projet'!D124</f>
        <v>0</v>
      </c>
      <c r="C126" s="203"/>
      <c r="D126" s="190">
        <f t="shared" si="8"/>
        <v>0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1">
        <f>'Données projet'!A125</f>
        <v>70</v>
      </c>
      <c r="B127" s="192">
        <f>'Données projet'!D125</f>
        <v>81</v>
      </c>
      <c r="C127" s="203">
        <v>50</v>
      </c>
      <c r="D127" s="190">
        <f t="shared" si="8"/>
        <v>4050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1">
        <f>'Données projet'!A126</f>
        <v>75</v>
      </c>
      <c r="B128" s="192">
        <f>'Données projet'!D126</f>
        <v>33</v>
      </c>
      <c r="C128" s="203">
        <v>55</v>
      </c>
      <c r="D128" s="190">
        <f t="shared" si="8"/>
        <v>1815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1">
        <f>'Données projet'!A127</f>
        <v>80</v>
      </c>
      <c r="B129" s="192">
        <f>'Données projet'!D127</f>
        <v>1018</v>
      </c>
      <c r="C129" s="203">
        <v>60</v>
      </c>
      <c r="D129" s="190">
        <f t="shared" si="8"/>
        <v>61080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1">
        <f>'Données projet'!A128</f>
        <v>0</v>
      </c>
      <c r="B130" s="192">
        <f>'Données projet'!D128</f>
        <v>0</v>
      </c>
      <c r="C130" s="203"/>
      <c r="D130" s="190">
        <f t="shared" si="8"/>
        <v>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1">
        <f>'Données projet'!A129</f>
        <v>0</v>
      </c>
      <c r="B131" s="192">
        <f>'Données projet'!D129</f>
        <v>0</v>
      </c>
      <c r="C131" s="203"/>
      <c r="D131" s="190">
        <f t="shared" si="8"/>
        <v>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1">
        <f>'Données projet'!A130</f>
        <v>0</v>
      </c>
      <c r="B132" s="192">
        <f>'Données projet'!D130</f>
        <v>0</v>
      </c>
      <c r="C132" s="203"/>
      <c r="D132" s="190">
        <f t="shared" si="8"/>
        <v>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1">
        <f>'Données projet'!A131</f>
        <v>0</v>
      </c>
      <c r="B133" s="192">
        <f>'Données projet'!D131</f>
        <v>0</v>
      </c>
      <c r="C133" s="203"/>
      <c r="D133" s="190">
        <f t="shared" si="8"/>
        <v>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1">
        <f>'Données projet'!A132</f>
        <v>0</v>
      </c>
      <c r="B134" s="192">
        <f>'Données projet'!D132</f>
        <v>0</v>
      </c>
      <c r="C134" s="203"/>
      <c r="D134" s="190">
        <f t="shared" si="8"/>
        <v>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1">
        <f>'Données projet'!A133</f>
        <v>0</v>
      </c>
      <c r="B135" s="192">
        <f>'Données projet'!D133</f>
        <v>0</v>
      </c>
      <c r="C135" s="203"/>
      <c r="D135" s="190">
        <f t="shared" si="8"/>
        <v>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5" t="str">
        <f>IF('Données projet'!B13="","",'Données projet'!B13)</f>
        <v>Cèdre de l'Atlas</v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9">
        <v>0</v>
      </c>
      <c r="B141" s="212" t="s">
        <v>132</v>
      </c>
      <c r="C141" s="211" t="s">
        <v>132</v>
      </c>
      <c r="D141" s="210" t="s">
        <v>132</v>
      </c>
      <c r="E141" s="205"/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9">
        <v>1</v>
      </c>
      <c r="B142" s="212" t="s">
        <v>132</v>
      </c>
      <c r="C142" s="211" t="s">
        <v>132</v>
      </c>
      <c r="D142" s="210" t="s">
        <v>132</v>
      </c>
      <c r="E142" s="205"/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9">
        <v>2</v>
      </c>
      <c r="B143" s="212" t="s">
        <v>132</v>
      </c>
      <c r="C143" s="211" t="s">
        <v>132</v>
      </c>
      <c r="D143" s="210" t="s">
        <v>132</v>
      </c>
      <c r="E143" s="205"/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9">
        <v>3</v>
      </c>
      <c r="B144" s="212" t="s">
        <v>132</v>
      </c>
      <c r="C144" s="211" t="s">
        <v>132</v>
      </c>
      <c r="D144" s="210" t="s">
        <v>132</v>
      </c>
      <c r="E144" s="205"/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9">
        <v>4</v>
      </c>
      <c r="B145" s="212" t="s">
        <v>132</v>
      </c>
      <c r="C145" s="211" t="s">
        <v>132</v>
      </c>
      <c r="D145" s="210" t="s">
        <v>132</v>
      </c>
      <c r="E145" s="205"/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9">
        <v>5</v>
      </c>
      <c r="B146" s="212" t="s">
        <v>132</v>
      </c>
      <c r="C146" s="211" t="s">
        <v>132</v>
      </c>
      <c r="D146" s="210" t="s">
        <v>132</v>
      </c>
      <c r="E146" s="205"/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30</v>
      </c>
      <c r="B147" s="186">
        <f>'Données projet'!D140</f>
        <v>0</v>
      </c>
      <c r="C147" s="203"/>
      <c r="D147" s="193">
        <f>B147*C147</f>
        <v>0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51</v>
      </c>
      <c r="B148" s="186">
        <f>'Données projet'!D141</f>
        <v>170.16153846153844</v>
      </c>
      <c r="C148" s="203">
        <v>15</v>
      </c>
      <c r="D148" s="193">
        <f t="shared" ref="D148:D166" si="10">B148*C148</f>
        <v>2552.4230769230767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61</v>
      </c>
      <c r="B149" s="186">
        <f>'Données projet'!D142</f>
        <v>94.76153846153845</v>
      </c>
      <c r="C149" s="203">
        <v>20</v>
      </c>
      <c r="D149" s="193">
        <f t="shared" si="10"/>
        <v>1895.2307692307691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73</v>
      </c>
      <c r="B150" s="186">
        <f>'Données projet'!D143</f>
        <v>93.584615384615361</v>
      </c>
      <c r="C150" s="203">
        <v>20</v>
      </c>
      <c r="D150" s="193">
        <f t="shared" si="10"/>
        <v>1871.6923076923072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85</v>
      </c>
      <c r="B151" s="186">
        <f>'Données projet'!D144</f>
        <v>85.207692307692341</v>
      </c>
      <c r="C151" s="203">
        <v>30</v>
      </c>
      <c r="D151" s="193">
        <f t="shared" si="10"/>
        <v>2556.2307692307704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97</v>
      </c>
      <c r="B152" s="186">
        <f>'Données projet'!D145</f>
        <v>79.669230769230765</v>
      </c>
      <c r="C152" s="203">
        <v>50</v>
      </c>
      <c r="D152" s="193">
        <f t="shared" si="10"/>
        <v>3983.4615384615381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109</v>
      </c>
      <c r="B153" s="186">
        <f>'Données projet'!D146</f>
        <v>80.653846153846118</v>
      </c>
      <c r="C153" s="203">
        <v>60</v>
      </c>
      <c r="D153" s="193">
        <f t="shared" si="10"/>
        <v>4839.2307692307668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121</v>
      </c>
      <c r="B154" s="186">
        <f>'Données projet'!D147</f>
        <v>207.07692307692307</v>
      </c>
      <c r="C154" s="203">
        <v>80</v>
      </c>
      <c r="D154" s="193">
        <f t="shared" si="10"/>
        <v>16566.153846153844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131</v>
      </c>
      <c r="B155" s="186">
        <f>'Données projet'!D148</f>
        <v>216.34615384615384</v>
      </c>
      <c r="C155" s="203">
        <v>80</v>
      </c>
      <c r="D155" s="193">
        <f t="shared" si="10"/>
        <v>17307.692307692309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6">
        <f>'Données projet'!D149</f>
        <v>0</v>
      </c>
      <c r="C156" s="203"/>
      <c r="D156" s="193">
        <f t="shared" si="10"/>
        <v>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6">
        <f>'Données projet'!D150</f>
        <v>0</v>
      </c>
      <c r="C157" s="203"/>
      <c r="D157" s="193">
        <f t="shared" si="10"/>
        <v>0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6">
        <f>'Données projet'!D151</f>
        <v>0</v>
      </c>
      <c r="C158" s="203"/>
      <c r="D158" s="193">
        <f t="shared" si="10"/>
        <v>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6">
        <f>'Données projet'!D152</f>
        <v>0</v>
      </c>
      <c r="C159" s="203"/>
      <c r="D159" s="193">
        <f t="shared" si="10"/>
        <v>0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6">
        <f>'Données projet'!D153</f>
        <v>0</v>
      </c>
      <c r="C160" s="203"/>
      <c r="D160" s="193">
        <f t="shared" si="10"/>
        <v>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6">
        <f>'Données projet'!D154</f>
        <v>0</v>
      </c>
      <c r="C161" s="203"/>
      <c r="D161" s="193">
        <f t="shared" si="10"/>
        <v>0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6">
        <f>'Données projet'!D155</f>
        <v>0</v>
      </c>
      <c r="C162" s="203"/>
      <c r="D162" s="193">
        <f t="shared" si="10"/>
        <v>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6">
        <f>'Données projet'!D156</f>
        <v>0</v>
      </c>
      <c r="C163" s="203"/>
      <c r="D163" s="193">
        <f t="shared" si="10"/>
        <v>0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6">
        <f>'Données projet'!D157</f>
        <v>0</v>
      </c>
      <c r="C164" s="203"/>
      <c r="D164" s="193">
        <f t="shared" si="10"/>
        <v>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6">
        <f>'Données projet'!D158</f>
        <v>0</v>
      </c>
      <c r="C165" s="203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6">
        <f>'Données projet'!D159</f>
        <v>0</v>
      </c>
      <c r="C166" s="203"/>
      <c r="D166" s="193">
        <f t="shared" si="10"/>
        <v>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5" t="str">
        <f>IF('Données projet'!B14="","",'Données projet'!B14)</f>
        <v>Cormier</v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9">
        <v>0</v>
      </c>
      <c r="B172" s="212" t="s">
        <v>132</v>
      </c>
      <c r="C172" s="211" t="s">
        <v>132</v>
      </c>
      <c r="D172" s="210" t="s">
        <v>132</v>
      </c>
      <c r="E172" s="205"/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9">
        <v>1</v>
      </c>
      <c r="B173" s="212" t="s">
        <v>132</v>
      </c>
      <c r="C173" s="211" t="s">
        <v>132</v>
      </c>
      <c r="D173" s="210" t="s">
        <v>132</v>
      </c>
      <c r="E173" s="205"/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9">
        <v>2</v>
      </c>
      <c r="B174" s="212" t="s">
        <v>132</v>
      </c>
      <c r="C174" s="211" t="s">
        <v>132</v>
      </c>
      <c r="D174" s="210" t="s">
        <v>132</v>
      </c>
      <c r="E174" s="205"/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9">
        <v>3</v>
      </c>
      <c r="B175" s="212" t="s">
        <v>132</v>
      </c>
      <c r="C175" s="211" t="s">
        <v>132</v>
      </c>
      <c r="D175" s="210" t="s">
        <v>132</v>
      </c>
      <c r="E175" s="205"/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9">
        <v>4</v>
      </c>
      <c r="B176" s="212" t="s">
        <v>132</v>
      </c>
      <c r="C176" s="211" t="s">
        <v>132</v>
      </c>
      <c r="D176" s="210" t="s">
        <v>132</v>
      </c>
      <c r="E176" s="205"/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9">
        <v>5</v>
      </c>
      <c r="B177" s="212" t="s">
        <v>132</v>
      </c>
      <c r="C177" s="211" t="s">
        <v>132</v>
      </c>
      <c r="D177" s="210" t="s">
        <v>132</v>
      </c>
      <c r="E177" s="205"/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1">
        <f>'Données projet'!A166</f>
        <v>20</v>
      </c>
      <c r="B178" s="192">
        <f>'Données projet'!D166</f>
        <v>0</v>
      </c>
      <c r="C178" s="205"/>
      <c r="D178" s="190">
        <f>B178*C178</f>
        <v>0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1">
        <f>'Données projet'!A167</f>
        <v>25</v>
      </c>
      <c r="B179" s="192">
        <f>'Données projet'!D167</f>
        <v>34</v>
      </c>
      <c r="C179" s="203">
        <v>10</v>
      </c>
      <c r="D179" s="190">
        <f t="shared" ref="D179:D197" si="11">B179*C179</f>
        <v>340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1">
        <f>'Données projet'!A168</f>
        <v>30</v>
      </c>
      <c r="B180" s="192">
        <f>'Données projet'!D168</f>
        <v>0</v>
      </c>
      <c r="C180" s="203"/>
      <c r="D180" s="190">
        <f t="shared" si="11"/>
        <v>0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1">
        <f>'Données projet'!A169</f>
        <v>35</v>
      </c>
      <c r="B181" s="192">
        <f>'Données projet'!D169</f>
        <v>56</v>
      </c>
      <c r="C181" s="203">
        <v>10</v>
      </c>
      <c r="D181" s="190">
        <f t="shared" si="11"/>
        <v>560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1">
        <f>'Données projet'!A170</f>
        <v>40</v>
      </c>
      <c r="B182" s="192">
        <f>'Données projet'!D170</f>
        <v>0</v>
      </c>
      <c r="C182" s="203"/>
      <c r="D182" s="190">
        <f t="shared" si="11"/>
        <v>0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1">
        <f>'Données projet'!A171</f>
        <v>45</v>
      </c>
      <c r="B183" s="192">
        <f>'Données projet'!D171</f>
        <v>56</v>
      </c>
      <c r="C183" s="203">
        <v>15</v>
      </c>
      <c r="D183" s="190">
        <f t="shared" si="11"/>
        <v>840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1">
        <f>'Données projet'!A172</f>
        <v>50</v>
      </c>
      <c r="B184" s="192">
        <f>'Données projet'!D172</f>
        <v>0</v>
      </c>
      <c r="C184" s="203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1">
        <f>'Données projet'!A173</f>
        <v>55</v>
      </c>
      <c r="B185" s="192">
        <f>'Données projet'!D173</f>
        <v>56</v>
      </c>
      <c r="C185" s="203">
        <v>20</v>
      </c>
      <c r="D185" s="190">
        <f t="shared" si="11"/>
        <v>1120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1">
        <f>'Données projet'!A174</f>
        <v>60</v>
      </c>
      <c r="B186" s="192">
        <f>'Données projet'!D174</f>
        <v>0</v>
      </c>
      <c r="C186" s="203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1">
        <f>'Données projet'!A175</f>
        <v>65</v>
      </c>
      <c r="B187" s="192">
        <f>'Données projet'!D175</f>
        <v>56</v>
      </c>
      <c r="C187" s="203">
        <v>40</v>
      </c>
      <c r="D187" s="190">
        <f t="shared" si="11"/>
        <v>2240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1">
        <f>'Données projet'!A176</f>
        <v>70</v>
      </c>
      <c r="B188" s="192">
        <f>'Données projet'!D176</f>
        <v>0</v>
      </c>
      <c r="C188" s="203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1">
        <f>'Données projet'!A177</f>
        <v>75</v>
      </c>
      <c r="B189" s="192">
        <f>'Données projet'!D177</f>
        <v>56</v>
      </c>
      <c r="C189" s="203">
        <v>60</v>
      </c>
      <c r="D189" s="190">
        <f t="shared" si="11"/>
        <v>3360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1">
        <f>'Données projet'!A178</f>
        <v>80</v>
      </c>
      <c r="B190" s="192">
        <f>'Données projet'!D178</f>
        <v>0</v>
      </c>
      <c r="C190" s="203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1">
        <f>'Données projet'!A179</f>
        <v>90</v>
      </c>
      <c r="B191" s="192">
        <f>'Données projet'!D179</f>
        <v>56</v>
      </c>
      <c r="C191" s="203">
        <v>80</v>
      </c>
      <c r="D191" s="190">
        <f t="shared" si="11"/>
        <v>4480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1">
        <f>'Données projet'!A180</f>
        <v>100</v>
      </c>
      <c r="B192" s="192">
        <f>'Données projet'!D180</f>
        <v>55</v>
      </c>
      <c r="C192" s="203">
        <v>100</v>
      </c>
      <c r="D192" s="190">
        <f t="shared" si="11"/>
        <v>5500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1">
        <f>'Données projet'!A181</f>
        <v>110</v>
      </c>
      <c r="B193" s="192">
        <f>'Données projet'!D181</f>
        <v>53</v>
      </c>
      <c r="C193" s="203">
        <v>110</v>
      </c>
      <c r="D193" s="190">
        <f t="shared" si="11"/>
        <v>5830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1">
        <f>'Données projet'!A182</f>
        <v>120</v>
      </c>
      <c r="B194" s="192">
        <f>'Données projet'!D182</f>
        <v>47</v>
      </c>
      <c r="C194" s="203">
        <v>130</v>
      </c>
      <c r="D194" s="190">
        <f t="shared" si="11"/>
        <v>6110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1">
        <f>'Données projet'!A183</f>
        <v>130</v>
      </c>
      <c r="B195" s="192">
        <f>'Données projet'!D183</f>
        <v>44</v>
      </c>
      <c r="C195" s="203">
        <v>150</v>
      </c>
      <c r="D195" s="190">
        <f t="shared" si="11"/>
        <v>6600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1">
        <f>'Données projet'!A184</f>
        <v>140</v>
      </c>
      <c r="B196" s="192">
        <f>'Données projet'!D184</f>
        <v>43</v>
      </c>
      <c r="C196" s="203">
        <v>200</v>
      </c>
      <c r="D196" s="190">
        <f t="shared" si="11"/>
        <v>8600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1">
        <f>'Données projet'!A185</f>
        <v>150</v>
      </c>
      <c r="B197" s="192">
        <f>'Données projet'!D185</f>
        <v>335</v>
      </c>
      <c r="C197" s="205">
        <v>200</v>
      </c>
      <c r="D197" s="190">
        <f t="shared" si="11"/>
        <v>67000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5" t="str">
        <f>IF('Données projet'!$B$15="","",'Données projet'!$B$15)</f>
        <v>Pin taeda</v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9">
        <v>0</v>
      </c>
      <c r="B203" s="212" t="s">
        <v>132</v>
      </c>
      <c r="C203" s="211" t="s">
        <v>132</v>
      </c>
      <c r="D203" s="210" t="s">
        <v>132</v>
      </c>
      <c r="E203" s="205"/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9">
        <v>1</v>
      </c>
      <c r="B204" s="212" t="s">
        <v>132</v>
      </c>
      <c r="C204" s="211" t="s">
        <v>132</v>
      </c>
      <c r="D204" s="210" t="s">
        <v>132</v>
      </c>
      <c r="E204" s="205"/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9">
        <v>2</v>
      </c>
      <c r="B205" s="212" t="s">
        <v>132</v>
      </c>
      <c r="C205" s="211" t="s">
        <v>132</v>
      </c>
      <c r="D205" s="210" t="s">
        <v>132</v>
      </c>
      <c r="E205" s="205"/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9">
        <v>3</v>
      </c>
      <c r="B206" s="212" t="s">
        <v>132</v>
      </c>
      <c r="C206" s="211" t="s">
        <v>132</v>
      </c>
      <c r="D206" s="210" t="s">
        <v>132</v>
      </c>
      <c r="E206" s="205"/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9">
        <v>4</v>
      </c>
      <c r="B207" s="212" t="s">
        <v>132</v>
      </c>
      <c r="C207" s="211" t="s">
        <v>132</v>
      </c>
      <c r="D207" s="210" t="s">
        <v>132</v>
      </c>
      <c r="E207" s="205"/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9">
        <v>5</v>
      </c>
      <c r="B208" s="212" t="s">
        <v>132</v>
      </c>
      <c r="C208" s="211" t="s">
        <v>132</v>
      </c>
      <c r="D208" s="210" t="s">
        <v>132</v>
      </c>
      <c r="E208" s="205"/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1">
        <f>'Données projet'!A192</f>
        <v>12</v>
      </c>
      <c r="B209" s="192">
        <f>'Données projet'!D192</f>
        <v>0</v>
      </c>
      <c r="C209" s="205"/>
      <c r="D209" s="190">
        <f>B209*C209</f>
        <v>0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1">
        <f>'Données projet'!A193</f>
        <v>13</v>
      </c>
      <c r="B210" s="192">
        <f>'Données projet'!D193</f>
        <v>0</v>
      </c>
      <c r="C210" s="205"/>
      <c r="D210" s="190">
        <f t="shared" ref="D210:D228" si="12">B210*C210</f>
        <v>0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1">
        <f>'Données projet'!A194</f>
        <v>14</v>
      </c>
      <c r="B211" s="192">
        <f>'Données projet'!D194</f>
        <v>22.227499999999999</v>
      </c>
      <c r="C211" s="205">
        <v>10</v>
      </c>
      <c r="D211" s="190">
        <f t="shared" si="12"/>
        <v>222.27499999999998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1">
        <f>'Données projet'!A195</f>
        <v>15</v>
      </c>
      <c r="B212" s="192">
        <f>'Données projet'!D195</f>
        <v>0</v>
      </c>
      <c r="C212" s="205"/>
      <c r="D212" s="190">
        <f t="shared" si="12"/>
        <v>0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1">
        <f>'Données projet'!A196</f>
        <v>16</v>
      </c>
      <c r="B213" s="192">
        <f>'Données projet'!D196</f>
        <v>0</v>
      </c>
      <c r="C213" s="205"/>
      <c r="D213" s="190">
        <f t="shared" si="12"/>
        <v>0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1">
        <f>'Données projet'!A197</f>
        <v>17</v>
      </c>
      <c r="B214" s="192">
        <f>'Données projet'!D197</f>
        <v>0</v>
      </c>
      <c r="C214" s="205"/>
      <c r="D214" s="190">
        <f t="shared" si="12"/>
        <v>0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1">
        <f>'Données projet'!A198</f>
        <v>18</v>
      </c>
      <c r="B215" s="192">
        <f>'Données projet'!D198</f>
        <v>0</v>
      </c>
      <c r="C215" s="205"/>
      <c r="D215" s="190">
        <f t="shared" si="12"/>
        <v>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1">
        <f>'Données projet'!A199</f>
        <v>19</v>
      </c>
      <c r="B216" s="192">
        <f>'Données projet'!D199</f>
        <v>34.884</v>
      </c>
      <c r="C216" s="205">
        <v>15</v>
      </c>
      <c r="D216" s="190">
        <f t="shared" si="12"/>
        <v>523.26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1">
        <f>'Données projet'!A200</f>
        <v>20</v>
      </c>
      <c r="B217" s="192">
        <f>'Données projet'!D200</f>
        <v>0</v>
      </c>
      <c r="C217" s="205"/>
      <c r="D217" s="190">
        <f t="shared" si="12"/>
        <v>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1">
        <f>'Données projet'!A201</f>
        <v>21</v>
      </c>
      <c r="B218" s="192">
        <f>'Données projet'!D201</f>
        <v>0</v>
      </c>
      <c r="C218" s="205"/>
      <c r="D218" s="190">
        <f t="shared" si="12"/>
        <v>0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1">
        <f>'Données projet'!A202</f>
        <v>22</v>
      </c>
      <c r="B219" s="192">
        <f>'Données projet'!D202</f>
        <v>0</v>
      </c>
      <c r="C219" s="205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1">
        <f>'Données projet'!A203</f>
        <v>23</v>
      </c>
      <c r="B220" s="192">
        <f>'Données projet'!D203</f>
        <v>0</v>
      </c>
      <c r="C220" s="205"/>
      <c r="D220" s="190">
        <f t="shared" si="12"/>
        <v>0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1">
        <f>'Données projet'!A204</f>
        <v>24</v>
      </c>
      <c r="B221" s="192">
        <f>'Données projet'!D204</f>
        <v>0</v>
      </c>
      <c r="C221" s="205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1">
        <f>'Données projet'!A205</f>
        <v>25</v>
      </c>
      <c r="B222" s="192">
        <f>'Données projet'!D205</f>
        <v>54.026000000000003</v>
      </c>
      <c r="C222" s="205">
        <v>20</v>
      </c>
      <c r="D222" s="190">
        <f t="shared" si="12"/>
        <v>1080.52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1">
        <f>'Données projet'!A206</f>
        <v>27</v>
      </c>
      <c r="B223" s="192">
        <f>'Données projet'!D206</f>
        <v>0</v>
      </c>
      <c r="C223" s="205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1">
        <f>'Données projet'!A207</f>
        <v>30</v>
      </c>
      <c r="B224" s="192">
        <f>'Données projet'!D207</f>
        <v>63.631</v>
      </c>
      <c r="C224" s="205">
        <v>25</v>
      </c>
      <c r="D224" s="190">
        <f t="shared" si="12"/>
        <v>1590.7750000000001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1">
        <f>'Données projet'!A208</f>
        <v>32</v>
      </c>
      <c r="B225" s="192">
        <f>'Données projet'!D208</f>
        <v>0</v>
      </c>
      <c r="C225" s="205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1">
        <f>'Données projet'!A209</f>
        <v>34</v>
      </c>
      <c r="B226" s="192">
        <f>'Données projet'!D209</f>
        <v>0</v>
      </c>
      <c r="C226" s="205"/>
      <c r="D226" s="190">
        <f t="shared" si="12"/>
        <v>0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1">
        <f>'Données projet'!A210</f>
        <v>38</v>
      </c>
      <c r="B227" s="192">
        <f>'Données projet'!D210</f>
        <v>0</v>
      </c>
      <c r="C227" s="205"/>
      <c r="D227" s="190">
        <f t="shared" si="12"/>
        <v>0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1">
        <f>'Données projet'!A211</f>
        <v>42</v>
      </c>
      <c r="B228" s="192">
        <f>'Données projet'!D211</f>
        <v>360.8845</v>
      </c>
      <c r="C228" s="205">
        <v>40</v>
      </c>
      <c r="D228" s="190">
        <f t="shared" si="12"/>
        <v>14435.380000000001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5" t="str">
        <f>IF('Données projet'!$B$16="","",'Données projet'!$B$16)</f>
        <v>Pin pignon</v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9">
        <v>0</v>
      </c>
      <c r="B234" s="212" t="s">
        <v>132</v>
      </c>
      <c r="C234" s="211" t="s">
        <v>132</v>
      </c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9">
        <v>1</v>
      </c>
      <c r="B235" s="212" t="s">
        <v>132</v>
      </c>
      <c r="C235" s="211" t="s">
        <v>132</v>
      </c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9">
        <v>2</v>
      </c>
      <c r="B236" s="212" t="s">
        <v>132</v>
      </c>
      <c r="C236" s="211" t="s">
        <v>132</v>
      </c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9">
        <v>3</v>
      </c>
      <c r="B237" s="212" t="s">
        <v>132</v>
      </c>
      <c r="C237" s="211" t="s">
        <v>132</v>
      </c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9">
        <v>4</v>
      </c>
      <c r="B238" s="212" t="s">
        <v>132</v>
      </c>
      <c r="C238" s="211" t="s">
        <v>132</v>
      </c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9">
        <v>5</v>
      </c>
      <c r="B239" s="212" t="s">
        <v>132</v>
      </c>
      <c r="C239" s="211" t="s">
        <v>132</v>
      </c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1">
        <f>'Données projet'!A218</f>
        <v>10</v>
      </c>
      <c r="B240" s="192">
        <f>'Données projet'!D218</f>
        <v>0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1">
        <f>'Données projet'!A219</f>
        <v>20</v>
      </c>
      <c r="B241" s="192">
        <f>'Données projet'!D219</f>
        <v>0</v>
      </c>
      <c r="C241" s="205"/>
      <c r="D241" s="190">
        <f t="shared" ref="D241:D259" si="13">B241*C241</f>
        <v>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1">
        <f>'Données projet'!A220</f>
        <v>30</v>
      </c>
      <c r="B242" s="192">
        <f>'Données projet'!D220</f>
        <v>11.375</v>
      </c>
      <c r="C242" s="203">
        <v>10</v>
      </c>
      <c r="D242" s="190">
        <f t="shared" si="13"/>
        <v>113.75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1">
        <f>'Données projet'!A221</f>
        <v>40</v>
      </c>
      <c r="B243" s="192">
        <f>'Données projet'!D221</f>
        <v>7.0000000000000009</v>
      </c>
      <c r="C243" s="203">
        <v>10</v>
      </c>
      <c r="D243" s="190">
        <f t="shared" si="13"/>
        <v>70.000000000000014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1">
        <f>'Données projet'!A222</f>
        <v>50</v>
      </c>
      <c r="B244" s="192">
        <f>'Données projet'!D222</f>
        <v>7.7500000000000009</v>
      </c>
      <c r="C244" s="203">
        <v>10</v>
      </c>
      <c r="D244" s="190">
        <f t="shared" si="13"/>
        <v>77.500000000000014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1">
        <f>'Données projet'!A223</f>
        <v>60</v>
      </c>
      <c r="B245" s="192">
        <f>'Données projet'!D223</f>
        <v>8.25</v>
      </c>
      <c r="C245" s="203">
        <v>15</v>
      </c>
      <c r="D245" s="190">
        <f t="shared" si="13"/>
        <v>123.75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1">
        <f>'Données projet'!A224</f>
        <v>70</v>
      </c>
      <c r="B246" s="192">
        <f>'Données projet'!D224</f>
        <v>8.5</v>
      </c>
      <c r="C246" s="203">
        <v>15</v>
      </c>
      <c r="D246" s="190">
        <f t="shared" si="13"/>
        <v>127.5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1">
        <f>'Données projet'!A225</f>
        <v>80</v>
      </c>
      <c r="B247" s="192">
        <f>'Données projet'!D225</f>
        <v>9.1666666666666679</v>
      </c>
      <c r="C247" s="203">
        <v>15</v>
      </c>
      <c r="D247" s="190">
        <f t="shared" si="13"/>
        <v>137.50000000000003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1">
        <f>'Données projet'!A226</f>
        <v>90</v>
      </c>
      <c r="B248" s="192">
        <f>'Données projet'!D226</f>
        <v>9.1666666666666679</v>
      </c>
      <c r="C248" s="203">
        <v>15</v>
      </c>
      <c r="D248" s="190">
        <f t="shared" si="13"/>
        <v>137.50000000000003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1">
        <f>'Données projet'!A227</f>
        <v>100</v>
      </c>
      <c r="B249" s="192">
        <f>'Données projet'!D227</f>
        <v>9.125</v>
      </c>
      <c r="C249" s="203">
        <v>20</v>
      </c>
      <c r="D249" s="190">
        <f t="shared" si="13"/>
        <v>182.5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1">
        <f>'Données projet'!A228</f>
        <v>110</v>
      </c>
      <c r="B250" s="192">
        <f>'Données projet'!D228</f>
        <v>9.0416666666666661</v>
      </c>
      <c r="C250" s="203">
        <v>20</v>
      </c>
      <c r="D250" s="190">
        <f t="shared" si="13"/>
        <v>180.83333333333331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1">
        <f>'Données projet'!A229</f>
        <v>120</v>
      </c>
      <c r="B251" s="192">
        <f>'Données projet'!D229</f>
        <v>8.875</v>
      </c>
      <c r="C251" s="203">
        <v>30</v>
      </c>
      <c r="D251" s="190">
        <f t="shared" si="13"/>
        <v>266.25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1">
        <f>'Données projet'!A230</f>
        <v>130</v>
      </c>
      <c r="B252" s="192">
        <f>'Données projet'!D230</f>
        <v>8.7083333333333339</v>
      </c>
      <c r="C252" s="203">
        <v>30</v>
      </c>
      <c r="D252" s="190">
        <f t="shared" si="13"/>
        <v>261.25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1">
        <f>'Données projet'!A231</f>
        <v>140</v>
      </c>
      <c r="B253" s="192">
        <f>'Données projet'!D231</f>
        <v>8.5416666666666679</v>
      </c>
      <c r="C253" s="203">
        <v>35</v>
      </c>
      <c r="D253" s="190">
        <f t="shared" si="13"/>
        <v>298.95833333333337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1">
        <f>'Données projet'!A232</f>
        <v>150</v>
      </c>
      <c r="B254" s="192">
        <f>'Données projet'!D232</f>
        <v>130.21250000000001</v>
      </c>
      <c r="C254" s="203">
        <v>40</v>
      </c>
      <c r="D254" s="190">
        <f t="shared" si="13"/>
        <v>5208.5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1">
        <f>'Données projet'!A233</f>
        <v>0</v>
      </c>
      <c r="B255" s="192">
        <f>'Données projet'!D233</f>
        <v>0</v>
      </c>
      <c r="C255" s="205"/>
      <c r="D255" s="190">
        <f t="shared" si="13"/>
        <v>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1">
        <f>'Données projet'!A234</f>
        <v>0</v>
      </c>
      <c r="B256" s="192">
        <f>'Données projet'!D234</f>
        <v>0</v>
      </c>
      <c r="C256" s="205"/>
      <c r="D256" s="190">
        <f t="shared" si="13"/>
        <v>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1">
        <f>'Données projet'!A235</f>
        <v>0</v>
      </c>
      <c r="B257" s="192">
        <f>'Données projet'!D235</f>
        <v>0</v>
      </c>
      <c r="C257" s="205"/>
      <c r="D257" s="190">
        <f t="shared" si="13"/>
        <v>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1">
        <f>'Données projet'!A236</f>
        <v>0</v>
      </c>
      <c r="B258" s="192">
        <f>'Données projet'!D236</f>
        <v>0</v>
      </c>
      <c r="C258" s="205"/>
      <c r="D258" s="190">
        <f t="shared" si="13"/>
        <v>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1">
        <f>'Données projet'!A237</f>
        <v>0</v>
      </c>
      <c r="B259" s="192">
        <f>'Données projet'!D237</f>
        <v>0</v>
      </c>
      <c r="C259" s="205"/>
      <c r="D259" s="190">
        <f t="shared" si="13"/>
        <v>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5" t="str">
        <f>IF('Données projet'!$B$17="","",'Données projet'!$B$17)</f>
        <v>Pin maritime</v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9">
        <v>0</v>
      </c>
      <c r="B265" s="212" t="s">
        <v>132</v>
      </c>
      <c r="C265" s="211" t="s">
        <v>132</v>
      </c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9">
        <v>1</v>
      </c>
      <c r="B266" s="212" t="s">
        <v>132</v>
      </c>
      <c r="C266" s="211" t="s">
        <v>132</v>
      </c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9">
        <v>2</v>
      </c>
      <c r="B267" s="212" t="s">
        <v>132</v>
      </c>
      <c r="C267" s="211" t="s">
        <v>132</v>
      </c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9">
        <v>3</v>
      </c>
      <c r="B268" s="212" t="s">
        <v>132</v>
      </c>
      <c r="C268" s="211" t="s">
        <v>132</v>
      </c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9">
        <v>4</v>
      </c>
      <c r="B269" s="212" t="s">
        <v>132</v>
      </c>
      <c r="C269" s="211" t="s">
        <v>132</v>
      </c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9">
        <v>5</v>
      </c>
      <c r="B270" s="212" t="s">
        <v>132</v>
      </c>
      <c r="C270" s="211" t="s">
        <v>132</v>
      </c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1">
        <f>'Données projet'!A244</f>
        <v>12</v>
      </c>
      <c r="B271" s="192">
        <f>'Données projet'!D244</f>
        <v>0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1">
        <f>'Données projet'!A245</f>
        <v>13</v>
      </c>
      <c r="B272" s="192">
        <f>'Données projet'!D245</f>
        <v>0</v>
      </c>
      <c r="C272" s="205"/>
      <c r="D272" s="190">
        <f t="shared" ref="D272:D290" si="14">B272*C272</f>
        <v>0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1">
        <f>'Données projet'!A246</f>
        <v>14</v>
      </c>
      <c r="B273" s="192">
        <f>'Données projet'!D246</f>
        <v>22.227499999999999</v>
      </c>
      <c r="C273" s="205">
        <v>10</v>
      </c>
      <c r="D273" s="190">
        <f t="shared" si="14"/>
        <v>222.27499999999998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1">
        <f>'Données projet'!A247</f>
        <v>15</v>
      </c>
      <c r="B274" s="192">
        <f>'Données projet'!D247</f>
        <v>0</v>
      </c>
      <c r="C274" s="205"/>
      <c r="D274" s="190">
        <f t="shared" si="14"/>
        <v>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1">
        <f>'Données projet'!A248</f>
        <v>16</v>
      </c>
      <c r="B275" s="192">
        <f>'Données projet'!D248</f>
        <v>0</v>
      </c>
      <c r="C275" s="205"/>
      <c r="D275" s="190">
        <f t="shared" si="14"/>
        <v>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1">
        <f>'Données projet'!A249</f>
        <v>17</v>
      </c>
      <c r="B276" s="192">
        <f>'Données projet'!D249</f>
        <v>0</v>
      </c>
      <c r="C276" s="205"/>
      <c r="D276" s="190">
        <f t="shared" si="14"/>
        <v>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1">
        <f>'Données projet'!A250</f>
        <v>18</v>
      </c>
      <c r="B277" s="192">
        <f>'Données projet'!D250</f>
        <v>0</v>
      </c>
      <c r="C277" s="205"/>
      <c r="D277" s="190">
        <f t="shared" si="14"/>
        <v>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1">
        <f>'Données projet'!A251</f>
        <v>19</v>
      </c>
      <c r="B278" s="192">
        <f>'Données projet'!D251</f>
        <v>34.884</v>
      </c>
      <c r="C278" s="205">
        <v>15</v>
      </c>
      <c r="D278" s="190">
        <f t="shared" si="14"/>
        <v>523.26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1">
        <f>'Données projet'!A252</f>
        <v>20</v>
      </c>
      <c r="B279" s="192">
        <f>'Données projet'!D252</f>
        <v>0</v>
      </c>
      <c r="C279" s="205"/>
      <c r="D279" s="190">
        <f t="shared" si="14"/>
        <v>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1">
        <f>'Données projet'!A253</f>
        <v>21</v>
      </c>
      <c r="B280" s="192">
        <f>'Données projet'!D253</f>
        <v>0</v>
      </c>
      <c r="C280" s="205"/>
      <c r="D280" s="190">
        <f t="shared" si="14"/>
        <v>0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1">
        <f>'Données projet'!A254</f>
        <v>22</v>
      </c>
      <c r="B281" s="192">
        <f>'Données projet'!D254</f>
        <v>0</v>
      </c>
      <c r="C281" s="205"/>
      <c r="D281" s="190">
        <f t="shared" si="14"/>
        <v>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1">
        <f>'Données projet'!A255</f>
        <v>23</v>
      </c>
      <c r="B282" s="192">
        <f>'Données projet'!D255</f>
        <v>0</v>
      </c>
      <c r="C282" s="205"/>
      <c r="D282" s="190">
        <f t="shared" si="14"/>
        <v>0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1">
        <f>'Données projet'!A256</f>
        <v>24</v>
      </c>
      <c r="B283" s="192">
        <f>'Données projet'!D256</f>
        <v>0</v>
      </c>
      <c r="C283" s="205"/>
      <c r="D283" s="190">
        <f t="shared" si="14"/>
        <v>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1">
        <f>'Données projet'!A257</f>
        <v>25</v>
      </c>
      <c r="B284" s="192">
        <f>'Données projet'!D257</f>
        <v>54.026000000000003</v>
      </c>
      <c r="C284" s="205">
        <v>20</v>
      </c>
      <c r="D284" s="190">
        <f t="shared" si="14"/>
        <v>1080.52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1">
        <f>'Données projet'!A258</f>
        <v>27</v>
      </c>
      <c r="B285" s="192">
        <f>'Données projet'!D258</f>
        <v>0</v>
      </c>
      <c r="C285" s="205"/>
      <c r="D285" s="190">
        <f t="shared" si="14"/>
        <v>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1">
        <f>'Données projet'!A259</f>
        <v>30</v>
      </c>
      <c r="B286" s="192">
        <f>'Données projet'!D259</f>
        <v>63.631</v>
      </c>
      <c r="C286" s="205">
        <v>25</v>
      </c>
      <c r="D286" s="190">
        <f t="shared" si="14"/>
        <v>1590.7750000000001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1">
        <f>'Données projet'!A260</f>
        <v>32</v>
      </c>
      <c r="B287" s="192">
        <f>'Données projet'!D260</f>
        <v>0</v>
      </c>
      <c r="C287" s="205"/>
      <c r="D287" s="190">
        <f t="shared" si="14"/>
        <v>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1">
        <f>'Données projet'!A261</f>
        <v>34</v>
      </c>
      <c r="B288" s="192">
        <f>'Données projet'!D261</f>
        <v>0</v>
      </c>
      <c r="C288" s="205"/>
      <c r="D288" s="190">
        <f t="shared" si="14"/>
        <v>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1">
        <f>'Données projet'!A262</f>
        <v>38</v>
      </c>
      <c r="B289" s="192">
        <f>'Données projet'!D262</f>
        <v>0</v>
      </c>
      <c r="C289" s="205"/>
      <c r="D289" s="190">
        <f t="shared" si="14"/>
        <v>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1">
        <f>'Données projet'!A263</f>
        <v>42</v>
      </c>
      <c r="B290" s="192">
        <f>'Données projet'!D263</f>
        <v>360.8845</v>
      </c>
      <c r="C290" s="205">
        <v>40</v>
      </c>
      <c r="D290" s="190">
        <f t="shared" si="14"/>
        <v>14435.380000000001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5" t="str">
        <f>IF('Données projet'!$B$18="","",'Données projet'!$B$18)</f>
        <v>Chêne-liège</v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9">
        <v>0</v>
      </c>
      <c r="B296" s="212" t="s">
        <v>132</v>
      </c>
      <c r="C296" s="211" t="s">
        <v>132</v>
      </c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9">
        <v>1</v>
      </c>
      <c r="B297" s="212" t="s">
        <v>132</v>
      </c>
      <c r="C297" s="211" t="s">
        <v>132</v>
      </c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9">
        <v>2</v>
      </c>
      <c r="B298" s="212" t="s">
        <v>132</v>
      </c>
      <c r="C298" s="211" t="s">
        <v>132</v>
      </c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9">
        <v>3</v>
      </c>
      <c r="B299" s="212" t="s">
        <v>132</v>
      </c>
      <c r="C299" s="211" t="s">
        <v>132</v>
      </c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9">
        <v>4</v>
      </c>
      <c r="B300" s="212" t="s">
        <v>132</v>
      </c>
      <c r="C300" s="211" t="s">
        <v>132</v>
      </c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9">
        <v>5</v>
      </c>
      <c r="B301" s="212" t="s">
        <v>132</v>
      </c>
      <c r="C301" s="211" t="s">
        <v>132</v>
      </c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1">
        <f>'Données projet'!A270</f>
        <v>25</v>
      </c>
      <c r="B302" s="192">
        <f>'Données projet'!D270</f>
        <v>7.6143981605685314</v>
      </c>
      <c r="C302" s="203">
        <v>10</v>
      </c>
      <c r="D302" s="193">
        <f>B302*C302</f>
        <v>76.143981605685312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1">
        <f>'Données projet'!A271</f>
        <v>40</v>
      </c>
      <c r="B303" s="192">
        <f>'Données projet'!D271</f>
        <v>13.324251907996121</v>
      </c>
      <c r="C303" s="203">
        <v>10</v>
      </c>
      <c r="D303" s="193">
        <f>B303*C303</f>
        <v>133.2425190799612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1">
        <f>'Données projet'!A272</f>
        <v>55</v>
      </c>
      <c r="B304" s="192">
        <f>'Données projet'!D272</f>
        <v>17.942154451284448</v>
      </c>
      <c r="C304" s="203">
        <v>15</v>
      </c>
      <c r="D304" s="193">
        <f>B304*C304</f>
        <v>269.13231676926671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1">
        <f>'Données projet'!A273</f>
        <v>70</v>
      </c>
      <c r="B305" s="192">
        <f>'Données projet'!D273</f>
        <v>25.791558833247816</v>
      </c>
      <c r="C305" s="203">
        <v>15</v>
      </c>
      <c r="D305" s="193">
        <f t="shared" ref="D305:D321" si="15">B305*C305</f>
        <v>386.87338249871726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1">
        <f>'Données projet'!A274</f>
        <v>100</v>
      </c>
      <c r="B306" s="192">
        <f>'Données projet'!D274</f>
        <v>44.245148302732318</v>
      </c>
      <c r="C306" s="203">
        <v>20</v>
      </c>
      <c r="D306" s="193">
        <f t="shared" si="15"/>
        <v>884.90296605464641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1">
        <f>'Données projet'!A275</f>
        <v>130</v>
      </c>
      <c r="B307" s="192">
        <f>'Données projet'!D275</f>
        <v>60.75356308765312</v>
      </c>
      <c r="C307" s="203">
        <v>20</v>
      </c>
      <c r="D307" s="193">
        <f t="shared" si="15"/>
        <v>1215.0712617530623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1">
        <f>'Données projet'!A276</f>
        <v>160</v>
      </c>
      <c r="B308" s="192">
        <f>'Données projet'!D276</f>
        <v>660.06990893327361</v>
      </c>
      <c r="C308" s="203">
        <v>25</v>
      </c>
      <c r="D308" s="193">
        <f t="shared" si="15"/>
        <v>16501.747723331839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1">
        <f>'Données projet'!A277</f>
        <v>0</v>
      </c>
      <c r="B309" s="192">
        <f>'Données projet'!D277</f>
        <v>0</v>
      </c>
      <c r="C309" s="203"/>
      <c r="D309" s="193">
        <f t="shared" si="15"/>
        <v>0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1">
        <f>'Données projet'!A278</f>
        <v>0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1">
        <f>'Données projet'!A279</f>
        <v>0</v>
      </c>
      <c r="B311" s="192">
        <f>'Données projet'!D279</f>
        <v>0</v>
      </c>
      <c r="C311" s="203"/>
      <c r="D311" s="193">
        <f t="shared" si="15"/>
        <v>0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1">
        <f>'Données projet'!A280</f>
        <v>0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1">
        <f>'Données projet'!A281</f>
        <v>0</v>
      </c>
      <c r="B313" s="192">
        <f>'Données projet'!D281</f>
        <v>0</v>
      </c>
      <c r="C313" s="203"/>
      <c r="D313" s="193">
        <f t="shared" si="15"/>
        <v>0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1">
        <f>'Données projet'!A282</f>
        <v>0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1">
        <f>'Données projet'!A283</f>
        <v>0</v>
      </c>
      <c r="B315" s="192">
        <f>'Données projet'!D283</f>
        <v>0</v>
      </c>
      <c r="C315" s="203"/>
      <c r="D315" s="193">
        <f t="shared" si="15"/>
        <v>0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1">
        <f>'Données projet'!A284</f>
        <v>0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1">
        <f>'Données projet'!A285</f>
        <v>0</v>
      </c>
      <c r="B317" s="192">
        <f>'Données projet'!D285</f>
        <v>0</v>
      </c>
      <c r="C317" s="203"/>
      <c r="D317" s="193">
        <f t="shared" si="15"/>
        <v>0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1">
        <f>'Données projet'!A286</f>
        <v>0</v>
      </c>
      <c r="B318" s="192">
        <f>'Données projet'!D286</f>
        <v>0</v>
      </c>
      <c r="C318" s="203"/>
      <c r="D318" s="193">
        <f t="shared" si="15"/>
        <v>0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1">
        <f>'Données projet'!A287</f>
        <v>0</v>
      </c>
      <c r="B319" s="192">
        <f>'Données projet'!D287</f>
        <v>0</v>
      </c>
      <c r="C319" s="203"/>
      <c r="D319" s="193">
        <f t="shared" si="15"/>
        <v>0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1">
        <f>'Données projet'!A288</f>
        <v>0</v>
      </c>
      <c r="B320" s="192">
        <f>'Données projet'!D288</f>
        <v>0</v>
      </c>
      <c r="C320" s="203"/>
      <c r="D320" s="193">
        <f t="shared" si="15"/>
        <v>0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1">
        <f>'Données projet'!A289</f>
        <v>0</v>
      </c>
      <c r="B321" s="192">
        <f>'Données projet'!D289</f>
        <v>0</v>
      </c>
      <c r="C321" s="208"/>
      <c r="D321" s="193">
        <f t="shared" si="15"/>
        <v>0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0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0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0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0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0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0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0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0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0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0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0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0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0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0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0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0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0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0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0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0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0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0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0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0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0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0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Rombaut- CNPF - C+FOR</cp:lastModifiedBy>
  <dcterms:created xsi:type="dcterms:W3CDTF">2021-02-01T08:22:39Z</dcterms:created>
  <dcterms:modified xsi:type="dcterms:W3CDTF">2023-08-21T10:26:40Z</dcterms:modified>
</cp:coreProperties>
</file>