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Chloé\CNPF C+for n° 135 Bressuire (Chloé n° 1)\5 - Montage technique et administratif du dossier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  <c r="B107" i="1"/>
  <c r="D106" i="1"/>
  <c r="B106" i="1"/>
  <c r="D105" i="1"/>
  <c r="B105" i="1"/>
  <c r="D104" i="1"/>
  <c r="B104" i="1"/>
  <c r="B103" i="1"/>
  <c r="D102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 l="1"/>
  <c r="B89" i="1"/>
  <c r="B88" i="1"/>
  <c r="B133" i="1"/>
  <c r="D132" i="1"/>
  <c r="B132" i="1"/>
  <c r="D131" i="1"/>
  <c r="B131" i="1"/>
  <c r="D130" i="1"/>
  <c r="B130" i="1"/>
  <c r="D129" i="1"/>
  <c r="B129" i="1"/>
  <c r="D128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B115" i="1"/>
  <c r="B114" i="1"/>
  <c r="B146" i="1"/>
  <c r="D146" i="1" s="1"/>
  <c r="B145" i="1"/>
  <c r="D145" i="1" s="1"/>
  <c r="B144" i="1"/>
  <c r="D144" i="1" s="1"/>
  <c r="B143" i="1"/>
  <c r="D143" i="1" s="1"/>
  <c r="D142" i="1"/>
  <c r="B142" i="1"/>
  <c r="D141" i="1"/>
  <c r="B141" i="1"/>
  <c r="B140" i="1"/>
  <c r="D70" i="1" l="1"/>
  <c r="D63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DH156" i="2" l="1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B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43" i="2" a="1"/>
  <c r="BC143" i="2" s="1"/>
  <c r="BC7" i="2" a="1"/>
  <c r="BC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51" i="2" l="1" a="1"/>
  <c r="BC151" i="2" s="1"/>
  <c r="BC181" i="2" a="1"/>
  <c r="BC181" i="2" s="1"/>
  <c r="BC126" i="2" a="1"/>
  <c r="BC126" i="2" s="1"/>
  <c r="BC65" i="2" a="1"/>
  <c r="BC65" i="2" s="1"/>
  <c r="BC185" i="2" a="1"/>
  <c r="BC185" i="2" s="1"/>
  <c r="BC130" i="2" a="1"/>
  <c r="BC130" i="2" s="1"/>
  <c r="BC114" i="2" a="1"/>
  <c r="BC114" i="2" s="1"/>
  <c r="BC31" i="2" a="1"/>
  <c r="BC31" i="2" s="1"/>
  <c r="BC82" i="2" a="1"/>
  <c r="BC82" i="2" s="1"/>
  <c r="BC18" i="2" a="1"/>
  <c r="BC18" i="2" s="1"/>
  <c r="BC84" i="2" a="1"/>
  <c r="BC84" i="2" s="1"/>
  <c r="BC47" i="2" a="1"/>
  <c r="BC47" i="2" s="1"/>
  <c r="BC38" i="2" a="1"/>
  <c r="BC38" i="2" s="1"/>
  <c r="BC32" i="2" a="1"/>
  <c r="BC32" i="2" s="1"/>
  <c r="BC68" i="2" a="1"/>
  <c r="BC68" i="2" s="1"/>
  <c r="BC83" i="2" a="1"/>
  <c r="BC83" i="2" s="1"/>
  <c r="BC164" i="2" a="1"/>
  <c r="BC164" i="2" s="1"/>
  <c r="BC117" i="2" a="1"/>
  <c r="BC117" i="2" s="1"/>
  <c r="BC58" i="2" a="1"/>
  <c r="BC58" i="2" s="1"/>
  <c r="BX107" i="2" a="1"/>
  <c r="BX107" i="2" s="1"/>
  <c r="CS38" i="2" a="1"/>
  <c r="CS38" i="2" s="1"/>
  <c r="CS66" i="2" a="1"/>
  <c r="CS66" i="2" s="1"/>
  <c r="CS161" i="2" a="1"/>
  <c r="CS161" i="2" s="1"/>
  <c r="CS77" i="2" a="1"/>
  <c r="CS7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Y24" i="2" l="1"/>
  <c r="CY20" i="2"/>
  <c r="CY134" i="2"/>
  <c r="CY64" i="2"/>
  <c r="CY69" i="2"/>
  <c r="CY141" i="2"/>
  <c r="CY135" i="2"/>
  <c r="CY16" i="2"/>
  <c r="CY12" i="2"/>
  <c r="CY149" i="2"/>
  <c r="CY187" i="2"/>
  <c r="CY105" i="2"/>
  <c r="CY182" i="2"/>
  <c r="CY148" i="2"/>
  <c r="CY137" i="2"/>
  <c r="CY178" i="2"/>
  <c r="CY65" i="2"/>
  <c r="CY83" i="2"/>
  <c r="CY102" i="2"/>
  <c r="CY76" i="2"/>
  <c r="CY197" i="2"/>
  <c r="CY42" i="2"/>
  <c r="CY59" i="2"/>
  <c r="CY150" i="2"/>
  <c r="CY77" i="2"/>
  <c r="CY79" i="2"/>
  <c r="CY73" i="2"/>
  <c r="CY151" i="2"/>
  <c r="CY21" i="2"/>
  <c r="CY15" i="2"/>
  <c r="CY126" i="2"/>
  <c r="CY48" i="2"/>
  <c r="CY10" i="2"/>
  <c r="CY172" i="2"/>
  <c r="CY71" i="2"/>
  <c r="CY195" i="2"/>
  <c r="CY86" i="2"/>
  <c r="CY45" i="2"/>
  <c r="CY47" i="2"/>
  <c r="CY82" i="2"/>
  <c r="CY3" i="2"/>
  <c r="C10" i="4" s="1"/>
  <c r="E10" i="4" s="1"/>
  <c r="F10" i="4" s="1"/>
  <c r="G10" i="4" s="1"/>
  <c r="L10" i="4" s="1"/>
  <c r="CY84" i="2"/>
  <c r="CY108" i="2"/>
  <c r="CY160" i="2"/>
  <c r="CY101" i="2"/>
  <c r="CY5" i="2"/>
  <c r="CY175" i="2"/>
  <c r="CY93" i="2"/>
  <c r="CY184" i="2"/>
  <c r="CY51" i="2"/>
  <c r="CY129" i="2"/>
  <c r="CY146" i="2"/>
  <c r="CY123" i="2"/>
  <c r="CY75" i="2"/>
  <c r="CY35" i="2"/>
  <c r="CY170" i="2"/>
  <c r="CY22" i="2"/>
  <c r="CY194" i="2"/>
  <c r="CY142" i="2"/>
  <c r="CY39" i="2"/>
  <c r="CY9" i="2"/>
  <c r="CY117" i="2"/>
  <c r="CY121" i="2"/>
  <c r="CY128" i="2"/>
  <c r="CY147" i="2"/>
  <c r="CY155" i="2"/>
  <c r="CY29" i="2"/>
  <c r="CY46" i="2"/>
  <c r="CY78" i="2"/>
  <c r="CY199" i="2"/>
  <c r="CY52" i="2"/>
  <c r="CY156" i="2"/>
  <c r="CY58" i="2"/>
  <c r="CY112" i="2"/>
  <c r="CY201" i="2"/>
  <c r="CY166" i="2"/>
  <c r="CY167" i="2"/>
  <c r="CY159" i="2"/>
  <c r="CY94" i="2"/>
  <c r="CY113" i="2"/>
  <c r="CY49" i="2"/>
  <c r="CY33" i="2"/>
  <c r="CY131" i="2"/>
  <c r="CY11" i="2"/>
  <c r="CY23" i="2"/>
  <c r="CY110" i="2"/>
  <c r="CY192" i="2"/>
  <c r="CY38" i="2"/>
  <c r="CY17" i="2"/>
  <c r="CY111" i="2"/>
  <c r="CY63" i="2"/>
  <c r="CY161" i="2"/>
  <c r="CY88" i="2"/>
  <c r="CY68" i="2"/>
  <c r="CY158" i="2"/>
  <c r="CY136" i="2"/>
  <c r="CY61" i="2"/>
  <c r="CY13" i="2"/>
  <c r="CY133" i="2"/>
  <c r="CY18" i="2"/>
  <c r="CY122" i="2"/>
  <c r="CY190" i="2"/>
  <c r="CY181" i="2"/>
  <c r="CY165" i="2"/>
  <c r="CY154" i="2"/>
  <c r="CY119" i="2"/>
  <c r="CY81" i="2"/>
  <c r="CY140" i="2"/>
  <c r="CY55" i="2"/>
  <c r="CY153" i="2"/>
  <c r="CY163" i="2"/>
  <c r="CY85" i="2"/>
  <c r="CY7" i="2"/>
  <c r="CY162" i="2"/>
  <c r="CY193" i="2"/>
  <c r="CY185" i="2"/>
  <c r="CY8" i="2"/>
  <c r="CY174" i="2"/>
  <c r="CY31" i="2"/>
  <c r="CY100" i="2"/>
  <c r="CY198" i="2"/>
  <c r="CY116" i="2"/>
  <c r="CY189" i="2"/>
  <c r="CY62" i="2"/>
  <c r="CY115" i="2"/>
  <c r="CY171" i="2"/>
  <c r="CY138" i="2"/>
  <c r="CY180" i="2"/>
  <c r="CY152" i="2"/>
  <c r="CY179" i="2"/>
  <c r="CY157" i="2"/>
  <c r="CY80" i="2"/>
  <c r="CY97" i="2"/>
  <c r="CY56" i="2"/>
  <c r="CY191" i="2"/>
  <c r="CY173" i="2"/>
  <c r="CY57" i="2"/>
  <c r="CY188" i="2"/>
  <c r="CY196" i="2"/>
  <c r="CY25" i="2"/>
  <c r="CY34" i="2"/>
  <c r="CY70" i="2"/>
  <c r="CY107" i="2"/>
  <c r="CY145" i="2"/>
  <c r="CY103" i="2"/>
  <c r="CY183" i="2"/>
  <c r="CY127" i="2"/>
  <c r="CY44" i="2"/>
  <c r="CY92" i="2"/>
  <c r="CY130" i="2"/>
  <c r="CY90" i="2"/>
  <c r="CY143" i="2"/>
  <c r="CY41" i="2"/>
  <c r="CY202" i="2"/>
  <c r="CY95" i="2"/>
  <c r="CY74" i="2"/>
  <c r="CY139" i="2"/>
  <c r="CY186" i="2"/>
  <c r="CY120" i="2"/>
  <c r="CY98" i="2"/>
  <c r="CY177" i="2"/>
  <c r="CY72" i="2"/>
  <c r="CY19" i="2"/>
  <c r="CY203" i="2"/>
  <c r="CY200" i="2"/>
  <c r="CY4" i="2"/>
  <c r="CY176" i="2"/>
  <c r="CY60" i="2"/>
  <c r="CY32" i="2"/>
  <c r="CY67" i="2"/>
  <c r="CY168" i="2"/>
  <c r="CY109" i="2"/>
  <c r="CY96" i="2"/>
  <c r="CY89" i="2"/>
  <c r="CY91" i="2"/>
  <c r="CY104" i="2"/>
  <c r="CY26" i="2"/>
  <c r="CY36" i="2"/>
  <c r="CY125" i="2"/>
  <c r="CY164" i="2"/>
  <c r="CY50" i="2"/>
  <c r="CY37" i="2"/>
  <c r="CY87" i="2"/>
  <c r="CY14" i="2"/>
  <c r="CY169" i="2"/>
  <c r="CY27" i="2"/>
  <c r="CY106" i="2"/>
  <c r="CY144" i="2"/>
  <c r="CY99" i="2"/>
  <c r="CY132" i="2"/>
  <c r="CY28" i="2"/>
  <c r="CY54" i="2"/>
  <c r="CY43" i="2"/>
  <c r="CY124" i="2"/>
  <c r="CY66" i="2"/>
  <c r="CY114" i="2"/>
  <c r="CY30" i="2"/>
  <c r="CY6" i="2"/>
  <c r="CY118" i="2"/>
  <c r="CY53" i="2"/>
  <c r="CY40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81" i="2" l="1"/>
  <c r="CD158" i="2"/>
  <c r="CD60" i="2"/>
  <c r="CD99" i="2"/>
  <c r="CD107" i="2"/>
  <c r="CD22" i="2"/>
  <c r="CD34" i="2"/>
  <c r="CD3" i="2"/>
  <c r="C9" i="4" s="1"/>
  <c r="E9" i="4" s="1"/>
  <c r="F9" i="4" s="1"/>
  <c r="G9" i="4" s="1"/>
  <c r="L9" i="4" s="1"/>
  <c r="CD183" i="2"/>
  <c r="CD122" i="2"/>
  <c r="CD176" i="2"/>
  <c r="CD128" i="2"/>
  <c r="CD68" i="2"/>
  <c r="CD146" i="2"/>
  <c r="CD87" i="2"/>
  <c r="CD49" i="2"/>
  <c r="CD194" i="2"/>
  <c r="CD43" i="2"/>
  <c r="CD93" i="2"/>
  <c r="CD130" i="2"/>
  <c r="CD116" i="2"/>
  <c r="CD141" i="2"/>
  <c r="CD53" i="2"/>
  <c r="CD77" i="2"/>
  <c r="CD67" i="2"/>
  <c r="CD109" i="2"/>
  <c r="CD83" i="2"/>
  <c r="CD30" i="2"/>
  <c r="CD36" i="2"/>
  <c r="CD62" i="2"/>
  <c r="CD21" i="2"/>
  <c r="CD72" i="2"/>
  <c r="CD180" i="2"/>
  <c r="CD63" i="2"/>
  <c r="CD166" i="2"/>
  <c r="CD91" i="2"/>
  <c r="CD202" i="2"/>
  <c r="CD169" i="2"/>
  <c r="CD51" i="2"/>
  <c r="CD75" i="2"/>
  <c r="CD108" i="2"/>
  <c r="CD178" i="2"/>
  <c r="CD97" i="2"/>
  <c r="CD27" i="2"/>
  <c r="CD31" i="2"/>
  <c r="CD80" i="2"/>
  <c r="CD45" i="2"/>
  <c r="CD17" i="2"/>
  <c r="CD129" i="2"/>
  <c r="CD148" i="2"/>
  <c r="CD168" i="2"/>
  <c r="CD18" i="2"/>
  <c r="CD134" i="2"/>
  <c r="CD103" i="2"/>
  <c r="CD172" i="2"/>
  <c r="CD189" i="2"/>
  <c r="CD106" i="2"/>
  <c r="CD35" i="2"/>
  <c r="CD113" i="2"/>
  <c r="CD125" i="2"/>
  <c r="CD140" i="2"/>
  <c r="CD139" i="2"/>
  <c r="CD23" i="2"/>
  <c r="CD198" i="2"/>
  <c r="CD59" i="2"/>
  <c r="CD144" i="2"/>
  <c r="CD179" i="2"/>
  <c r="CD5" i="2"/>
  <c r="CD159" i="2"/>
  <c r="CD142" i="2"/>
  <c r="CD191" i="2"/>
  <c r="CD47" i="2"/>
  <c r="CD96" i="2"/>
  <c r="CD188" i="2"/>
  <c r="CD150" i="2"/>
  <c r="CD41" i="2"/>
  <c r="CD136" i="2"/>
  <c r="CD161" i="2"/>
  <c r="CD82" i="2"/>
  <c r="CD8" i="2"/>
  <c r="CD132" i="2"/>
  <c r="CD131" i="2"/>
  <c r="CD114" i="2"/>
  <c r="CD57" i="2"/>
  <c r="CD170" i="2"/>
  <c r="CD203" i="2"/>
  <c r="CD55" i="2"/>
  <c r="CD120" i="2"/>
  <c r="CD16" i="2"/>
  <c r="CD126" i="2"/>
  <c r="CD76" i="2"/>
  <c r="CD117" i="2"/>
  <c r="CD200" i="2"/>
  <c r="CD175" i="2"/>
  <c r="CD119" i="2"/>
  <c r="CD195" i="2"/>
  <c r="CD193" i="2"/>
  <c r="CD184" i="2"/>
  <c r="CD156" i="2"/>
  <c r="CD171" i="2"/>
  <c r="CD160" i="2"/>
  <c r="CD28" i="2"/>
  <c r="CD133" i="2"/>
  <c r="CD196" i="2"/>
  <c r="CD185" i="2"/>
  <c r="CD42" i="2"/>
  <c r="CD100" i="2"/>
  <c r="CD86" i="2"/>
  <c r="CD13" i="2"/>
  <c r="CD19" i="2"/>
  <c r="CD123" i="2"/>
  <c r="CD147" i="2"/>
  <c r="CD11" i="2"/>
  <c r="CD37" i="2"/>
  <c r="CD39" i="2"/>
  <c r="CD69" i="2"/>
  <c r="CD25" i="2"/>
  <c r="CD154" i="2"/>
  <c r="CD38" i="2"/>
  <c r="CD121" i="2"/>
  <c r="CD26" i="2"/>
  <c r="CD54" i="2"/>
  <c r="CD95" i="2"/>
  <c r="CD186" i="2"/>
  <c r="CD112" i="2"/>
  <c r="CD187" i="2"/>
  <c r="CD162" i="2"/>
  <c r="CD151" i="2"/>
  <c r="CD20" i="2"/>
  <c r="CD104" i="2"/>
  <c r="CD155" i="2"/>
  <c r="CD165" i="2"/>
  <c r="CD6" i="2"/>
  <c r="CD52" i="2"/>
  <c r="CD94" i="2"/>
  <c r="CD163" i="2"/>
  <c r="CD85" i="2"/>
  <c r="CD79" i="2"/>
  <c r="CD181" i="2"/>
  <c r="CD92" i="2"/>
  <c r="CD58" i="2"/>
  <c r="CD70" i="2"/>
  <c r="CD88" i="2"/>
  <c r="CD84" i="2"/>
  <c r="CD33" i="2"/>
  <c r="CD201" i="2"/>
  <c r="CD153" i="2"/>
  <c r="CD124" i="2"/>
  <c r="CD98" i="2"/>
  <c r="CD9" i="2"/>
  <c r="CD145" i="2"/>
  <c r="CD118" i="2"/>
  <c r="CD4" i="2"/>
  <c r="CD7" i="2"/>
  <c r="CD48" i="2"/>
  <c r="CD74" i="2"/>
  <c r="CD115" i="2"/>
  <c r="CD137" i="2"/>
  <c r="CD135" i="2"/>
  <c r="CD15" i="2"/>
  <c r="CD143" i="2"/>
  <c r="CD56" i="2"/>
  <c r="CD14" i="2"/>
  <c r="CD110" i="2"/>
  <c r="CD152" i="2"/>
  <c r="CD149" i="2"/>
  <c r="CD182" i="2"/>
  <c r="CD105" i="2"/>
  <c r="CD12" i="2"/>
  <c r="CD44" i="2"/>
  <c r="CD101" i="2"/>
  <c r="CD64" i="2"/>
  <c r="CD32" i="2"/>
  <c r="CD24" i="2"/>
  <c r="CD127" i="2"/>
  <c r="CD89" i="2"/>
  <c r="CD192" i="2"/>
  <c r="CD174" i="2"/>
  <c r="CD111" i="2"/>
  <c r="CD190" i="2"/>
  <c r="CD46" i="2"/>
  <c r="CD71" i="2"/>
  <c r="CD199" i="2"/>
  <c r="CD66" i="2"/>
  <c r="CD138" i="2"/>
  <c r="CD29" i="2"/>
  <c r="CD50" i="2"/>
  <c r="CD10" i="2"/>
  <c r="CD78" i="2"/>
  <c r="CD177" i="2"/>
  <c r="CD173" i="2"/>
  <c r="CD157" i="2"/>
  <c r="CD90" i="2"/>
  <c r="CD40" i="2"/>
  <c r="CD73" i="2"/>
  <c r="CD167" i="2"/>
  <c r="CD65" i="2"/>
  <c r="CD197" i="2"/>
  <c r="CD164" i="2"/>
  <c r="CD61" i="2"/>
  <c r="CD1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47" i="2" l="1"/>
  <c r="BI161" i="2"/>
  <c r="BI93" i="2"/>
  <c r="BI61" i="2"/>
  <c r="BI106" i="2"/>
  <c r="BI17" i="2"/>
  <c r="BI149" i="2"/>
  <c r="BI112" i="2"/>
  <c r="BI75" i="2"/>
  <c r="BI195" i="2"/>
  <c r="BI101" i="2"/>
  <c r="BI164" i="2"/>
  <c r="BI8" i="2"/>
  <c r="BI71" i="2"/>
  <c r="BI39" i="2"/>
  <c r="BI84" i="2"/>
  <c r="BI127" i="2"/>
  <c r="BI186" i="2"/>
  <c r="BI177" i="2"/>
  <c r="BI24" i="2"/>
  <c r="BI50" i="2"/>
  <c r="BI23" i="2"/>
  <c r="BI26" i="2"/>
  <c r="BI77" i="2"/>
  <c r="BI25" i="2"/>
  <c r="BI168" i="2"/>
  <c r="BI48" i="2"/>
  <c r="BI99" i="2"/>
  <c r="BI141" i="2"/>
  <c r="BI58" i="2"/>
  <c r="BI182" i="2"/>
  <c r="BI136" i="2"/>
  <c r="BI79" i="2"/>
  <c r="BI196" i="2"/>
  <c r="BI32" i="2"/>
  <c r="BI53" i="2"/>
  <c r="BI42" i="2"/>
  <c r="BI13" i="2"/>
  <c r="BI7" i="2"/>
  <c r="BI51" i="2"/>
  <c r="BI156" i="2"/>
  <c r="BI203" i="2"/>
  <c r="BI192" i="2"/>
  <c r="BI60" i="2"/>
  <c r="BI111" i="2"/>
  <c r="BI78" i="2"/>
  <c r="BI155" i="2"/>
  <c r="BI113" i="2"/>
  <c r="BI125" i="2"/>
  <c r="BI120" i="2"/>
  <c r="BI95" i="2"/>
  <c r="BI158" i="2"/>
  <c r="BI175" i="2"/>
  <c r="BI108" i="2"/>
  <c r="BI121" i="2"/>
  <c r="BI110" i="2"/>
  <c r="BI74" i="2"/>
  <c r="BI173" i="2"/>
  <c r="BI19" i="2"/>
  <c r="BI35" i="2"/>
  <c r="BI138" i="2"/>
  <c r="BI109" i="2"/>
  <c r="BI181" i="2"/>
  <c r="BI172" i="2"/>
  <c r="BI146" i="2"/>
  <c r="BI118" i="2"/>
  <c r="BI137" i="2"/>
  <c r="BI124" i="2"/>
  <c r="BI140" i="2"/>
  <c r="BI88" i="2"/>
  <c r="BI49" i="2"/>
  <c r="BI200" i="2"/>
  <c r="BI190" i="2"/>
  <c r="BI20" i="2"/>
  <c r="BI144" i="2"/>
  <c r="BI191" i="2"/>
  <c r="BI38" i="2"/>
  <c r="BI57" i="2"/>
  <c r="BI115" i="2"/>
  <c r="BI169" i="2"/>
  <c r="BI44" i="2"/>
  <c r="BI46" i="2"/>
  <c r="BI59" i="2"/>
  <c r="BI54" i="2"/>
  <c r="BI28" i="2"/>
  <c r="BI157" i="2"/>
  <c r="BI184" i="2"/>
  <c r="BI159" i="2"/>
  <c r="BI148" i="2"/>
  <c r="BI202" i="2"/>
  <c r="BI69" i="2"/>
  <c r="BI100" i="2"/>
  <c r="BI154" i="2"/>
  <c r="BI87" i="2"/>
  <c r="BI18" i="2"/>
  <c r="BI33" i="2"/>
  <c r="BI27" i="2"/>
  <c r="BI129" i="2"/>
  <c r="BI67" i="2"/>
  <c r="BI89" i="2"/>
  <c r="BI81" i="2"/>
  <c r="BI10" i="2"/>
  <c r="BI189" i="2"/>
  <c r="BI96" i="2"/>
  <c r="BI131" i="2"/>
  <c r="BI185" i="2"/>
  <c r="BI56" i="2"/>
  <c r="BI116" i="2"/>
  <c r="BI70" i="2"/>
  <c r="BI103" i="2"/>
  <c r="BI34" i="2"/>
  <c r="BI123" i="2"/>
  <c r="BI176" i="2"/>
  <c r="BI107" i="2"/>
  <c r="BI31" i="2"/>
  <c r="BI183" i="2"/>
  <c r="BI94" i="2"/>
  <c r="BI15" i="2"/>
  <c r="BI98" i="2"/>
  <c r="BI170" i="2"/>
  <c r="BI130" i="2"/>
  <c r="BI162" i="2"/>
  <c r="BI165" i="2"/>
  <c r="BI14" i="2"/>
  <c r="BI198" i="2"/>
  <c r="BI36" i="2"/>
  <c r="BI128" i="2"/>
  <c r="BI68" i="2"/>
  <c r="BI41" i="2"/>
  <c r="BI188" i="2"/>
  <c r="BI117" i="2"/>
  <c r="BI104" i="2"/>
  <c r="BI145" i="2"/>
  <c r="BI133" i="2"/>
  <c r="BI83" i="2"/>
  <c r="BI90" i="2"/>
  <c r="BI43" i="2"/>
  <c r="BI92" i="2"/>
  <c r="BI166" i="2"/>
  <c r="BI180" i="2"/>
  <c r="BI114" i="2"/>
  <c r="BI64" i="2"/>
  <c r="BI63" i="2"/>
  <c r="BI197" i="2"/>
  <c r="BI187" i="2"/>
  <c r="BI86" i="2"/>
  <c r="BI179" i="2"/>
  <c r="BI139" i="2"/>
  <c r="BI72" i="2"/>
  <c r="BI171" i="2"/>
  <c r="BI193" i="2"/>
  <c r="BI199" i="2"/>
  <c r="BI80" i="2"/>
  <c r="BI152" i="2"/>
  <c r="BI85" i="2"/>
  <c r="BI102" i="2"/>
  <c r="BI132" i="2"/>
  <c r="BI3" i="2"/>
  <c r="C8" i="4" s="1"/>
  <c r="E8" i="4" s="1"/>
  <c r="F8" i="4" s="1"/>
  <c r="G8" i="4" s="1"/>
  <c r="L8" i="4" s="1"/>
  <c r="BI45" i="2"/>
  <c r="BI6" i="2"/>
  <c r="BI126" i="2"/>
  <c r="BI178" i="2"/>
  <c r="BI194" i="2"/>
  <c r="BI163" i="2"/>
  <c r="BI97" i="2"/>
  <c r="BI122" i="2"/>
  <c r="BI52" i="2"/>
  <c r="BI142" i="2"/>
  <c r="BI5" i="2"/>
  <c r="BI201" i="2"/>
  <c r="BI30" i="2"/>
  <c r="BI62" i="2"/>
  <c r="BI174" i="2"/>
  <c r="BI55" i="2"/>
  <c r="BI167" i="2"/>
  <c r="BI66" i="2"/>
  <c r="BI22" i="2"/>
  <c r="BI9" i="2"/>
  <c r="BI82" i="2"/>
  <c r="BI40" i="2"/>
  <c r="BI76" i="2"/>
  <c r="BI151" i="2"/>
  <c r="BI150" i="2"/>
  <c r="BI134" i="2"/>
  <c r="BI12" i="2"/>
  <c r="BI153" i="2"/>
  <c r="BI65" i="2"/>
  <c r="BI29" i="2"/>
  <c r="BI73" i="2"/>
  <c r="BI16" i="2"/>
  <c r="BI105" i="2"/>
  <c r="BI135" i="2"/>
  <c r="BI91" i="2"/>
  <c r="BI143" i="2"/>
  <c r="BI11" i="2"/>
  <c r="BI21" i="2"/>
  <c r="BI4" i="2"/>
  <c r="BI147" i="2"/>
  <c r="BI160" i="2"/>
  <c r="BI119" i="2"/>
  <c r="BI37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<sst xmlns="http://schemas.openxmlformats.org/spreadsheetml/2006/main" count="1174" uniqueCount="324">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</sst>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148.07114991460617</c:v>
                </c:pt>
                <c:pt idx="22">
                  <c:v>168.92923244181199</c:v>
                </c:pt>
                <c:pt idx="23">
                  <c:v>190.77159636850772</c:v>
                </c:pt>
                <c:pt idx="24">
                  <c:v>213.97096754156919</c:v>
                </c:pt>
                <c:pt idx="25">
                  <c:v>237.91131665522707</c:v>
                </c:pt>
                <c:pt idx="26">
                  <c:v>262.4191790375051</c:v>
                </c:pt>
                <c:pt idx="27">
                  <c:v>286.87538518437105</c:v>
                </c:pt>
                <c:pt idx="28">
                  <c:v>237.05767815907811</c:v>
                </c:pt>
                <c:pt idx="29">
                  <c:v>257.30780573118091</c:v>
                </c:pt>
                <c:pt idx="30">
                  <c:v>277.52190192244632</c:v>
                </c:pt>
                <c:pt idx="31">
                  <c:v>298.22015123846171</c:v>
                </c:pt>
                <c:pt idx="32">
                  <c:v>318.8863942330795</c:v>
                </c:pt>
                <c:pt idx="33">
                  <c:v>255.0484613536668</c:v>
                </c:pt>
                <c:pt idx="34">
                  <c:v>271.66857581099384</c:v>
                </c:pt>
                <c:pt idx="35">
                  <c:v>288.26582722652319</c:v>
                </c:pt>
                <c:pt idx="36">
                  <c:v>304.84171714529225</c:v>
                </c:pt>
                <c:pt idx="37">
                  <c:v>321.3975704655806</c:v>
                </c:pt>
                <c:pt idx="38">
                  <c:v>338.26681317270908</c:v>
                </c:pt>
                <c:pt idx="39">
                  <c:v>355.11754651191865</c:v>
                </c:pt>
                <c:pt idx="40">
                  <c:v>371.95077218720718</c:v>
                </c:pt>
                <c:pt idx="41">
                  <c:v>388.76739385150091</c:v>
                </c:pt>
                <c:pt idx="42">
                  <c:v>405.56823061861064</c:v>
                </c:pt>
                <c:pt idx="43">
                  <c:v>422.39941053572528</c:v>
                </c:pt>
                <c:pt idx="44">
                  <c:v>439.21615689856299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46656"/>
        <c:axId val="1533645024"/>
      </c:scatterChart>
      <c:valAx>
        <c:axId val="1533646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5024"/>
        <c:crosses val="autoZero"/>
        <c:crossBetween val="midCat"/>
      </c:valAx>
      <c:valAx>
        <c:axId val="153364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8244368"/>
        <c:axId val="1558244912"/>
      </c:scatterChart>
      <c:valAx>
        <c:axId val="155824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8244912"/>
        <c:crosses val="autoZero"/>
        <c:crossBetween val="midCat"/>
      </c:valAx>
      <c:valAx>
        <c:axId val="155824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824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62.916606491893987</c:v>
                </c:pt>
                <c:pt idx="7">
                  <c:v>79.76504064831029</c:v>
                </c:pt>
                <c:pt idx="8">
                  <c:v>96.522861130686337</c:v>
                </c:pt>
                <c:pt idx="9">
                  <c:v>113.20809736584094</c:v>
                </c:pt>
                <c:pt idx="10">
                  <c:v>129.83298609190555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47200"/>
        <c:axId val="1533648288"/>
      </c:scatterChart>
      <c:valAx>
        <c:axId val="153364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8288"/>
        <c:crosses val="autoZero"/>
        <c:crossBetween val="midCat"/>
      </c:valAx>
      <c:valAx>
        <c:axId val="153364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3.1576414327245192</c:v>
                </c:pt>
                <c:pt idx="2">
                  <c:v>3.7557997112480344</c:v>
                </c:pt>
                <c:pt idx="3">
                  <c:v>4.4676839367713423</c:v>
                </c:pt>
                <c:pt idx="4">
                  <c:v>5.3149909897624239</c:v>
                </c:pt>
                <c:pt idx="5">
                  <c:v>6.3235704417866758</c:v>
                </c:pt>
                <c:pt idx="6">
                  <c:v>7.5242217332785373</c:v>
                </c:pt>
                <c:pt idx="7">
                  <c:v>8.9536448034116152</c:v>
                </c:pt>
                <c:pt idx="8">
                  <c:v>10.655573785131358</c:v>
                </c:pt>
                <c:pt idx="9">
                  <c:v>12.682129106252026</c:v>
                </c:pt>
                <c:pt idx="10">
                  <c:v>15.095430175562756</c:v>
                </c:pt>
                <c:pt idx="11">
                  <c:v>17.969518996727786</c:v>
                </c:pt>
                <c:pt idx="12">
                  <c:v>21.3926547999347</c:v>
                </c:pt>
                <c:pt idx="13">
                  <c:v>25.470051419378432</c:v>
                </c:pt>
                <c:pt idx="14">
                  <c:v>30.327143041278173</c:v>
                </c:pt>
                <c:pt idx="15">
                  <c:v>36.113480541259463</c:v>
                </c:pt>
                <c:pt idx="16">
                  <c:v>43.007380446132458</c:v>
                </c:pt>
                <c:pt idx="17">
                  <c:v>51.221472220053933</c:v>
                </c:pt>
                <c:pt idx="18">
                  <c:v>61.009317837551897</c:v>
                </c:pt>
                <c:pt idx="19">
                  <c:v>72.673311360581707</c:v>
                </c:pt>
                <c:pt idx="20">
                  <c:v>86.574106552703938</c:v>
                </c:pt>
                <c:pt idx="21">
                  <c:v>97.493815618109565</c:v>
                </c:pt>
                <c:pt idx="22">
                  <c:v>108.3831016347627</c:v>
                </c:pt>
                <c:pt idx="23">
                  <c:v>119.24545723284972</c:v>
                </c:pt>
                <c:pt idx="24">
                  <c:v>130.08368486026362</c:v>
                </c:pt>
                <c:pt idx="25">
                  <c:v>140.90008067289321</c:v>
                </c:pt>
                <c:pt idx="26">
                  <c:v>152.27961748590789</c:v>
                </c:pt>
                <c:pt idx="27">
                  <c:v>163.63891068437815</c:v>
                </c:pt>
                <c:pt idx="28">
                  <c:v>174.97956482246332</c:v>
                </c:pt>
                <c:pt idx="29">
                  <c:v>186.30295918108774</c:v>
                </c:pt>
                <c:pt idx="30">
                  <c:v>197.61029146872451</c:v>
                </c:pt>
                <c:pt idx="31">
                  <c:v>170.03840132928266</c:v>
                </c:pt>
                <c:pt idx="32">
                  <c:v>181.65947157363232</c:v>
                </c:pt>
                <c:pt idx="33">
                  <c:v>193.26314853519432</c:v>
                </c:pt>
                <c:pt idx="34">
                  <c:v>204.85062444029083</c:v>
                </c:pt>
                <c:pt idx="35">
                  <c:v>216.42294547804465</c:v>
                </c:pt>
                <c:pt idx="36">
                  <c:v>227.98103671144975</c:v>
                </c:pt>
                <c:pt idx="37">
                  <c:v>239.52572166460229</c:v>
                </c:pt>
                <c:pt idx="38">
                  <c:v>251.05773793098513</c:v>
                </c:pt>
                <c:pt idx="39">
                  <c:v>262.57774976053264</c:v>
                </c:pt>
                <c:pt idx="40">
                  <c:v>274.08635831991677</c:v>
                </c:pt>
                <c:pt idx="41">
                  <c:v>246.15813481665387</c:v>
                </c:pt>
                <c:pt idx="42">
                  <c:v>257.10720147413707</c:v>
                </c:pt>
                <c:pt idx="43">
                  <c:v>268.04572597702139</c:v>
                </c:pt>
                <c:pt idx="44">
                  <c:v>278.97419942628261</c:v>
                </c:pt>
                <c:pt idx="45">
                  <c:v>289.89307127956818</c:v>
                </c:pt>
                <c:pt idx="46">
                  <c:v>300.2287833043473</c:v>
                </c:pt>
                <c:pt idx="47">
                  <c:v>310.55657267660109</c:v>
                </c:pt>
                <c:pt idx="48">
                  <c:v>320.8767401618216</c:v>
                </c:pt>
                <c:pt idx="49">
                  <c:v>331.18956558849356</c:v>
                </c:pt>
                <c:pt idx="50">
                  <c:v>341.49530992621681</c:v>
                </c:pt>
                <c:pt idx="51">
                  <c:v>309.98300923549442</c:v>
                </c:pt>
                <c:pt idx="52">
                  <c:v>320.01701036010542</c:v>
                </c:pt>
                <c:pt idx="53">
                  <c:v>330.04405039974381</c:v>
                </c:pt>
                <c:pt idx="54">
                  <c:v>340.06437077167715</c:v>
                </c:pt>
                <c:pt idx="55">
                  <c:v>350.07819749697484</c:v>
                </c:pt>
                <c:pt idx="56">
                  <c:v>359.51404857063443</c:v>
                </c:pt>
                <c:pt idx="57">
                  <c:v>368.94448282706475</c:v>
                </c:pt>
                <c:pt idx="58">
                  <c:v>378.369658318966</c:v>
                </c:pt>
                <c:pt idx="59">
                  <c:v>387.7897245783056</c:v>
                </c:pt>
                <c:pt idx="60">
                  <c:v>397.20482327598666</c:v>
                </c:pt>
                <c:pt idx="61">
                  <c:v>363.22970579716235</c:v>
                </c:pt>
                <c:pt idx="62">
                  <c:v>372.08678474521804</c:v>
                </c:pt>
                <c:pt idx="63">
                  <c:v>380.93926790124192</c:v>
                </c:pt>
                <c:pt idx="64">
                  <c:v>389.78727718640067</c:v>
                </c:pt>
                <c:pt idx="65">
                  <c:v>398.63092853204972</c:v>
                </c:pt>
                <c:pt idx="66">
                  <c:v>407.18525545541297</c:v>
                </c:pt>
                <c:pt idx="67">
                  <c:v>415.73569984708359</c:v>
                </c:pt>
                <c:pt idx="68">
                  <c:v>424.28235286069776</c:v>
                </c:pt>
                <c:pt idx="69">
                  <c:v>432.82530167613362</c:v>
                </c:pt>
                <c:pt idx="70">
                  <c:v>441.36462974946488</c:v>
                </c:pt>
                <c:pt idx="71">
                  <c:v>407.75540484100753</c:v>
                </c:pt>
                <c:pt idx="72">
                  <c:v>415.45074661205581</c:v>
                </c:pt>
                <c:pt idx="73">
                  <c:v>423.14301500980469</c:v>
                </c:pt>
                <c:pt idx="74">
                  <c:v>430.83227381826168</c:v>
                </c:pt>
                <c:pt idx="75">
                  <c:v>438.51858435761028</c:v>
                </c:pt>
                <c:pt idx="76">
                  <c:v>445.91748531819809</c:v>
                </c:pt>
                <c:pt idx="77">
                  <c:v>453.31375782316337</c:v>
                </c:pt>
                <c:pt idx="78">
                  <c:v>460.70745083052981</c:v>
                </c:pt>
                <c:pt idx="79">
                  <c:v>468.09861159789665</c:v>
                </c:pt>
                <c:pt idx="80">
                  <c:v>475.48728576800335</c:v>
                </c:pt>
                <c:pt idx="81">
                  <c:v>442.78750474214127</c:v>
                </c:pt>
                <c:pt idx="82">
                  <c:v>449.90041704255503</c:v>
                </c:pt>
                <c:pt idx="83">
                  <c:v>457.01092377162405</c:v>
                </c:pt>
                <c:pt idx="84">
                  <c:v>464.11906765738928</c:v>
                </c:pt>
                <c:pt idx="85">
                  <c:v>471.22489001161802</c:v>
                </c:pt>
                <c:pt idx="86">
                  <c:v>477.76023057775632</c:v>
                </c:pt>
                <c:pt idx="87">
                  <c:v>484.2936701958518</c:v>
                </c:pt>
                <c:pt idx="88">
                  <c:v>490.82523814258121</c:v>
                </c:pt>
                <c:pt idx="89">
                  <c:v>497.35496285145433</c:v>
                </c:pt>
                <c:pt idx="90">
                  <c:v>503.8828719480918</c:v>
                </c:pt>
                <c:pt idx="91">
                  <c:v>473.49826942091528</c:v>
                </c:pt>
                <c:pt idx="92">
                  <c:v>480.0329454129382</c:v>
                </c:pt>
                <c:pt idx="93">
                  <c:v>486.56573073803094</c:v>
                </c:pt>
                <c:pt idx="94">
                  <c:v>493.09665437546772</c:v>
                </c:pt>
                <c:pt idx="95">
                  <c:v>499.62574447385276</c:v>
                </c:pt>
                <c:pt idx="96">
                  <c:v>505.58550950328885</c:v>
                </c:pt>
                <c:pt idx="97">
                  <c:v>511.5437890798608</c:v>
                </c:pt>
                <c:pt idx="98">
                  <c:v>517.50060295559058</c:v>
                </c:pt>
                <c:pt idx="99">
                  <c:v>523.45597039044981</c:v>
                </c:pt>
                <c:pt idx="100">
                  <c:v>529.40991017019951</c:v>
                </c:pt>
                <c:pt idx="101">
                  <c:v>499.48382703591938</c:v>
                </c:pt>
                <c:pt idx="102">
                  <c:v>505.01797714775029</c:v>
                </c:pt>
                <c:pt idx="103">
                  <c:v>510.55084479578409</c:v>
                </c:pt>
                <c:pt idx="104">
                  <c:v>516.08244584702072</c:v>
                </c:pt>
                <c:pt idx="105">
                  <c:v>521.61279580037842</c:v>
                </c:pt>
                <c:pt idx="106">
                  <c:v>527.14190979913087</c:v>
                </c:pt>
                <c:pt idx="107">
                  <c:v>532.66980264279539</c:v>
                </c:pt>
                <c:pt idx="108">
                  <c:v>538.19648879850183</c:v>
                </c:pt>
                <c:pt idx="109">
                  <c:v>543.72198241186959</c:v>
                </c:pt>
                <c:pt idx="110">
                  <c:v>549.24629731741936</c:v>
                </c:pt>
                <c:pt idx="111">
                  <c:v>523.17241398507394</c:v>
                </c:pt>
                <c:pt idx="112">
                  <c:v>528.27593561273909</c:v>
                </c:pt>
                <c:pt idx="113">
                  <c:v>533.37841928442674</c:v>
                </c:pt>
                <c:pt idx="114">
                  <c:v>538.47987633603952</c:v>
                </c:pt>
                <c:pt idx="115">
                  <c:v>543.58031787105062</c:v>
                </c:pt>
                <c:pt idx="116">
                  <c:v>548.67975476745539</c:v>
                </c:pt>
                <c:pt idx="117">
                  <c:v>553.77819768444863</c:v>
                </c:pt>
                <c:pt idx="118">
                  <c:v>558.87565706884516</c:v>
                </c:pt>
                <c:pt idx="119">
                  <c:v>563.97214316125098</c:v>
                </c:pt>
                <c:pt idx="120">
                  <c:v>569.06766600200399</c:v>
                </c:pt>
                <c:pt idx="121">
                  <c:v>543.86364617774927</c:v>
                </c:pt>
                <c:pt idx="122">
                  <c:v>548.39647889170249</c:v>
                </c:pt>
                <c:pt idx="123">
                  <c:v>552.92852577870167</c:v>
                </c:pt>
                <c:pt idx="124">
                  <c:v>557.45979419212006</c:v>
                </c:pt>
                <c:pt idx="125">
                  <c:v>561.99029135597073</c:v>
                </c:pt>
                <c:pt idx="126">
                  <c:v>566.52002436822829</c:v>
                </c:pt>
                <c:pt idx="127">
                  <c:v>571.04900020404136</c:v>
                </c:pt>
                <c:pt idx="128">
                  <c:v>575.57722571883676</c:v>
                </c:pt>
                <c:pt idx="129">
                  <c:v>580.10470765132095</c:v>
                </c:pt>
                <c:pt idx="130">
                  <c:v>584.63145262638284</c:v>
                </c:pt>
                <c:pt idx="131">
                  <c:v>3.2541982832721012E-12</c:v>
                </c:pt>
                <c:pt idx="132">
                  <c:v>3.2541982832721012E-12</c:v>
                </c:pt>
                <c:pt idx="133">
                  <c:v>3.2541982832721012E-12</c:v>
                </c:pt>
                <c:pt idx="134">
                  <c:v>3.2541982832721012E-12</c:v>
                </c:pt>
                <c:pt idx="135">
                  <c:v>3.2541982832721012E-12</c:v>
                </c:pt>
                <c:pt idx="136">
                  <c:v>3.2541982832721012E-12</c:v>
                </c:pt>
                <c:pt idx="137">
                  <c:v>3.2541982832721012E-12</c:v>
                </c:pt>
                <c:pt idx="138">
                  <c:v>3.2541982832721012E-12</c:v>
                </c:pt>
                <c:pt idx="139">
                  <c:v>3.2541982832721012E-12</c:v>
                </c:pt>
                <c:pt idx="140">
                  <c:v>3.2541982832721012E-12</c:v>
                </c:pt>
                <c:pt idx="141">
                  <c:v>3.2541982832721012E-12</c:v>
                </c:pt>
                <c:pt idx="142">
                  <c:v>3.2541982832721012E-12</c:v>
                </c:pt>
                <c:pt idx="143">
                  <c:v>3.2541982832721012E-12</c:v>
                </c:pt>
                <c:pt idx="144">
                  <c:v>3.2541982832721012E-12</c:v>
                </c:pt>
                <c:pt idx="145">
                  <c:v>3.2541982832721012E-12</c:v>
                </c:pt>
                <c:pt idx="146">
                  <c:v>3.2541982832721012E-12</c:v>
                </c:pt>
                <c:pt idx="147">
                  <c:v>3.2541982832721012E-12</c:v>
                </c:pt>
                <c:pt idx="148">
                  <c:v>3.2541982832721012E-12</c:v>
                </c:pt>
                <c:pt idx="149">
                  <c:v>3.2541982832721012E-12</c:v>
                </c:pt>
                <c:pt idx="150">
                  <c:v>3.2541982832721012E-12</c:v>
                </c:pt>
                <c:pt idx="151">
                  <c:v>3.2541982832721012E-12</c:v>
                </c:pt>
                <c:pt idx="152">
                  <c:v>3.2541982832721012E-12</c:v>
                </c:pt>
                <c:pt idx="153">
                  <c:v>3.2541982832721012E-12</c:v>
                </c:pt>
                <c:pt idx="154">
                  <c:v>3.2541982832721012E-12</c:v>
                </c:pt>
                <c:pt idx="155">
                  <c:v>3.2541982832721012E-12</c:v>
                </c:pt>
                <c:pt idx="156">
                  <c:v>3.2541982832721012E-12</c:v>
                </c:pt>
                <c:pt idx="157">
                  <c:v>3.2541982832721012E-12</c:v>
                </c:pt>
                <c:pt idx="158">
                  <c:v>3.2541982832721012E-12</c:v>
                </c:pt>
                <c:pt idx="159">
                  <c:v>3.2541982832721012E-12</c:v>
                </c:pt>
                <c:pt idx="160">
                  <c:v>3.2541982832721012E-12</c:v>
                </c:pt>
                <c:pt idx="161">
                  <c:v>3.2541982832721012E-12</c:v>
                </c:pt>
                <c:pt idx="162">
                  <c:v>3.2541982832721012E-12</c:v>
                </c:pt>
                <c:pt idx="163">
                  <c:v>3.2541982832721012E-12</c:v>
                </c:pt>
                <c:pt idx="164">
                  <c:v>3.2541982832721012E-12</c:v>
                </c:pt>
                <c:pt idx="165">
                  <c:v>3.2541982832721012E-12</c:v>
                </c:pt>
                <c:pt idx="166">
                  <c:v>3.2541982832721012E-12</c:v>
                </c:pt>
                <c:pt idx="167">
                  <c:v>3.2541982832721012E-12</c:v>
                </c:pt>
                <c:pt idx="168">
                  <c:v>3.2541982832721012E-12</c:v>
                </c:pt>
                <c:pt idx="169">
                  <c:v>3.2541982832721012E-12</c:v>
                </c:pt>
                <c:pt idx="170">
                  <c:v>3.2541982832721012E-12</c:v>
                </c:pt>
                <c:pt idx="171">
                  <c:v>3.2541982832721012E-12</c:v>
                </c:pt>
                <c:pt idx="172">
                  <c:v>3.2541982832721012E-12</c:v>
                </c:pt>
                <c:pt idx="173">
                  <c:v>3.2541982832721012E-12</c:v>
                </c:pt>
                <c:pt idx="174">
                  <c:v>3.2541982832721012E-12</c:v>
                </c:pt>
                <c:pt idx="175">
                  <c:v>3.2541982832721012E-12</c:v>
                </c:pt>
                <c:pt idx="176">
                  <c:v>3.2541982832721012E-12</c:v>
                </c:pt>
                <c:pt idx="177">
                  <c:v>3.2541982832721012E-12</c:v>
                </c:pt>
                <c:pt idx="178">
                  <c:v>3.2541982832721012E-12</c:v>
                </c:pt>
                <c:pt idx="179">
                  <c:v>3.2541982832721012E-12</c:v>
                </c:pt>
                <c:pt idx="180">
                  <c:v>3.2541982832721012E-12</c:v>
                </c:pt>
                <c:pt idx="181">
                  <c:v>3.2541982832721012E-12</c:v>
                </c:pt>
                <c:pt idx="182">
                  <c:v>3.2541982832721012E-12</c:v>
                </c:pt>
                <c:pt idx="183">
                  <c:v>3.2541982832721012E-12</c:v>
                </c:pt>
                <c:pt idx="184">
                  <c:v>3.2541982832721012E-12</c:v>
                </c:pt>
                <c:pt idx="185">
                  <c:v>3.2541982832721012E-12</c:v>
                </c:pt>
                <c:pt idx="186">
                  <c:v>3.2541982832721012E-12</c:v>
                </c:pt>
                <c:pt idx="187">
                  <c:v>3.2541982832721012E-12</c:v>
                </c:pt>
                <c:pt idx="188">
                  <c:v>3.2541982832721012E-12</c:v>
                </c:pt>
                <c:pt idx="189">
                  <c:v>3.2541982832721012E-12</c:v>
                </c:pt>
                <c:pt idx="190">
                  <c:v>3.2541982832721012E-12</c:v>
                </c:pt>
                <c:pt idx="191">
                  <c:v>3.2541982832721012E-12</c:v>
                </c:pt>
                <c:pt idx="192">
                  <c:v>3.2541982832721012E-12</c:v>
                </c:pt>
                <c:pt idx="193">
                  <c:v>3.2541982832721012E-12</c:v>
                </c:pt>
                <c:pt idx="194">
                  <c:v>3.2541982832721012E-12</c:v>
                </c:pt>
                <c:pt idx="195">
                  <c:v>3.2541982832721012E-12</c:v>
                </c:pt>
                <c:pt idx="196">
                  <c:v>3.2541982832721012E-12</c:v>
                </c:pt>
                <c:pt idx="197">
                  <c:v>3.2541982832721012E-12</c:v>
                </c:pt>
                <c:pt idx="198">
                  <c:v>3.2541982832721012E-12</c:v>
                </c:pt>
                <c:pt idx="199">
                  <c:v>3.2541982832721012E-12</c:v>
                </c:pt>
                <c:pt idx="200">
                  <c:v>3.2541982832721012E-12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45568"/>
        <c:axId val="1533648832"/>
      </c:scatterChart>
      <c:valAx>
        <c:axId val="1533645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8832"/>
        <c:crosses val="autoZero"/>
        <c:crossBetween val="midCat"/>
      </c:valAx>
      <c:valAx>
        <c:axId val="15336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5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189.97771085187989</c:v>
                </c:pt>
                <c:pt idx="37">
                  <c:v>201.81949606540391</c:v>
                </c:pt>
                <c:pt idx="38">
                  <c:v>213.64519260214215</c:v>
                </c:pt>
                <c:pt idx="39">
                  <c:v>225.45581704538486</c:v>
                </c:pt>
                <c:pt idx="40">
                  <c:v>237.25227067842596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251.65208042823193</c:v>
                </c:pt>
                <c:pt idx="47">
                  <c:v>263.85541384215662</c:v>
                </c:pt>
                <c:pt idx="48">
                  <c:v>276.046019292822</c:v>
                </c:pt>
                <c:pt idx="49">
                  <c:v>288.22453829402542</c:v>
                </c:pt>
                <c:pt idx="50">
                  <c:v>300.39155369431415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312.11363615554922</c:v>
                </c:pt>
                <c:pt idx="57">
                  <c:v>323.82595401882173</c:v>
                </c:pt>
                <c:pt idx="58">
                  <c:v>335.52891035063595</c:v>
                </c:pt>
                <c:pt idx="59">
                  <c:v>347.22287779494928</c:v>
                </c:pt>
                <c:pt idx="60">
                  <c:v>358.90820183854038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367.55861487745</c:v>
                </c:pt>
                <c:pt idx="67">
                  <c:v>378.36539662842574</c:v>
                </c:pt>
                <c:pt idx="68">
                  <c:v>389.16546165993606</c:v>
                </c:pt>
                <c:pt idx="69">
                  <c:v>399.95902270499568</c:v>
                </c:pt>
                <c:pt idx="70">
                  <c:v>410.74628007457642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414.19690225230164</c:v>
                </c:pt>
                <c:pt idx="77">
                  <c:v>424.11400709030039</c:v>
                </c:pt>
                <c:pt idx="78">
                  <c:v>434.02612258593177</c:v>
                </c:pt>
                <c:pt idx="79">
                  <c:v>443.93337878164886</c:v>
                </c:pt>
                <c:pt idx="80">
                  <c:v>453.83589944051101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449.96155636424373</c:v>
                </c:pt>
                <c:pt idx="87">
                  <c:v>459.00059163685847</c:v>
                </c:pt>
                <c:pt idx="88">
                  <c:v>468.03582696861082</c:v>
                </c:pt>
                <c:pt idx="89">
                  <c:v>477.06734608166909</c:v>
                </c:pt>
                <c:pt idx="90">
                  <c:v>486.09522926878566</c:v>
                </c:pt>
                <c:pt idx="91">
                  <c:v>433.8106939439046</c:v>
                </c:pt>
                <c:pt idx="92">
                  <c:v>441.78003444822099</c:v>
                </c:pt>
                <c:pt idx="93">
                  <c:v>449.74629421345043</c:v>
                </c:pt>
                <c:pt idx="94">
                  <c:v>457.70953553030614</c:v>
                </c:pt>
                <c:pt idx="95">
                  <c:v>465.669818344215</c:v>
                </c:pt>
                <c:pt idx="96">
                  <c:v>473.62720038307458</c:v>
                </c:pt>
                <c:pt idx="97">
                  <c:v>481.58173727597529</c:v>
                </c:pt>
                <c:pt idx="98">
                  <c:v>489.53348266366942</c:v>
                </c:pt>
                <c:pt idx="99">
                  <c:v>497.48248830148572</c:v>
                </c:pt>
                <c:pt idx="100">
                  <c:v>505.42880415532295</c:v>
                </c:pt>
                <c:pt idx="101">
                  <c:v>451.8988167077282</c:v>
                </c:pt>
                <c:pt idx="102">
                  <c:v>458.57024822962609</c:v>
                </c:pt>
                <c:pt idx="103">
                  <c:v>465.23960745740493</c:v>
                </c:pt>
                <c:pt idx="104">
                  <c:v>471.90692830623578</c:v>
                </c:pt>
                <c:pt idx="105">
                  <c:v>478.57224365421933</c:v>
                </c:pt>
                <c:pt idx="106">
                  <c:v>485.23558538841718</c:v>
                </c:pt>
                <c:pt idx="107">
                  <c:v>491.89698444822369</c:v>
                </c:pt>
                <c:pt idx="108">
                  <c:v>498.55647086626499</c:v>
                </c:pt>
                <c:pt idx="109">
                  <c:v>505.21407380699685</c:v>
                </c:pt>
                <c:pt idx="110">
                  <c:v>511.86982160316421</c:v>
                </c:pt>
                <c:pt idx="111">
                  <c:v>460.07641248028773</c:v>
                </c:pt>
                <c:pt idx="112">
                  <c:v>466.3151187864234</c:v>
                </c:pt>
                <c:pt idx="113">
                  <c:v>472.55204595626032</c:v>
                </c:pt>
                <c:pt idx="114">
                  <c:v>478.78722079877406</c:v>
                </c:pt>
                <c:pt idx="115">
                  <c:v>485.0206693672929</c:v>
                </c:pt>
                <c:pt idx="116">
                  <c:v>491.25241699045108</c:v>
                </c:pt>
                <c:pt idx="117">
                  <c:v>497.48248830148555</c:v>
                </c:pt>
                <c:pt idx="118">
                  <c:v>503.7109072659905</c:v>
                </c:pt>
                <c:pt idx="119">
                  <c:v>509.93769720822661</c:v>
                </c:pt>
                <c:pt idx="120">
                  <c:v>516.16288083607731</c:v>
                </c:pt>
                <c:pt idx="121">
                  <c:v>466.96040018981876</c:v>
                </c:pt>
                <c:pt idx="122">
                  <c:v>471.47683944067586</c:v>
                </c:pt>
                <c:pt idx="123">
                  <c:v>475.9923574343527</c:v>
                </c:pt>
                <c:pt idx="124">
                  <c:v>480.5069641508781</c:v>
                </c:pt>
                <c:pt idx="125">
                  <c:v>485.0206693672929</c:v>
                </c:pt>
                <c:pt idx="126">
                  <c:v>489.5334826636693</c:v>
                </c:pt>
                <c:pt idx="127">
                  <c:v>494.04541342890025</c:v>
                </c:pt>
                <c:pt idx="128">
                  <c:v>498.55647086626499</c:v>
                </c:pt>
                <c:pt idx="129">
                  <c:v>503.06666399878145</c:v>
                </c:pt>
                <c:pt idx="130">
                  <c:v>507.57600167435902</c:v>
                </c:pt>
                <c:pt idx="131">
                  <c:v>466.10002075593138</c:v>
                </c:pt>
                <c:pt idx="132">
                  <c:v>469.75640033198715</c:v>
                </c:pt>
                <c:pt idx="133">
                  <c:v>473.41217365831903</c:v>
                </c:pt>
                <c:pt idx="134">
                  <c:v>477.06734608166857</c:v>
                </c:pt>
                <c:pt idx="135">
                  <c:v>480.72192286008431</c:v>
                </c:pt>
                <c:pt idx="136">
                  <c:v>484.37590916507088</c:v>
                </c:pt>
                <c:pt idx="137">
                  <c:v>488.0293100836704</c:v>
                </c:pt>
                <c:pt idx="138">
                  <c:v>491.68213062047795</c:v>
                </c:pt>
                <c:pt idx="139">
                  <c:v>495.33437569959489</c:v>
                </c:pt>
                <c:pt idx="140">
                  <c:v>498.98605016652033</c:v>
                </c:pt>
                <c:pt idx="141">
                  <c:v>465.45471396075578</c:v>
                </c:pt>
                <c:pt idx="142">
                  <c:v>468.46598292660536</c:v>
                </c:pt>
                <c:pt idx="143">
                  <c:v>471.47683944067563</c:v>
                </c:pt>
                <c:pt idx="144">
                  <c:v>474.48728651141528</c:v>
                </c:pt>
                <c:pt idx="145">
                  <c:v>477.49732710594316</c:v>
                </c:pt>
                <c:pt idx="146">
                  <c:v>480.50696415087805</c:v>
                </c:pt>
                <c:pt idx="147">
                  <c:v>483.51620053314923</c:v>
                </c:pt>
                <c:pt idx="148">
                  <c:v>486.52503910078298</c:v>
                </c:pt>
                <c:pt idx="149">
                  <c:v>489.53348266366919</c:v>
                </c:pt>
                <c:pt idx="150">
                  <c:v>492.54153399430942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43392"/>
        <c:axId val="1533641760"/>
      </c:scatterChart>
      <c:valAx>
        <c:axId val="153364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1760"/>
        <c:crosses val="autoZero"/>
        <c:crossBetween val="midCat"/>
      </c:valAx>
      <c:valAx>
        <c:axId val="153364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37408"/>
        <c:axId val="1533650464"/>
      </c:scatterChart>
      <c:valAx>
        <c:axId val="1533637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50464"/>
        <c:crosses val="autoZero"/>
        <c:crossBetween val="midCat"/>
      </c:valAx>
      <c:valAx>
        <c:axId val="153365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3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51008"/>
        <c:axId val="1533651552"/>
      </c:scatterChart>
      <c:valAx>
        <c:axId val="1533651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51552"/>
        <c:crosses val="autoZero"/>
        <c:crossBetween val="midCat"/>
      </c:valAx>
      <c:valAx>
        <c:axId val="15336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5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40128"/>
        <c:axId val="1533642304"/>
      </c:scatterChart>
      <c:valAx>
        <c:axId val="1533640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2304"/>
        <c:crosses val="autoZero"/>
        <c:crossBetween val="midCat"/>
      </c:valAx>
      <c:valAx>
        <c:axId val="153364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52096"/>
        <c:axId val="1533644480"/>
      </c:scatterChart>
      <c:valAx>
        <c:axId val="1533652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4480"/>
        <c:crosses val="autoZero"/>
        <c:crossBetween val="midCat"/>
      </c:valAx>
      <c:valAx>
        <c:axId val="15336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52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637952"/>
        <c:axId val="1533646112"/>
      </c:scatterChart>
      <c:valAx>
        <c:axId val="1533637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46112"/>
        <c:crosses val="autoZero"/>
        <c:crossBetween val="midCat"/>
      </c:valAx>
      <c:valAx>
        <c:axId val="15336461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3637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C52" sqref="C5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Normal="100" workbookViewId="0">
      <selection activeCell="D29" sqref="D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5.6779999999999999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0.497</v>
      </c>
      <c r="D9" s="36">
        <f t="shared" ref="D9:D18" si="0">C9*$C$5</f>
        <v>2.8219659999999998</v>
      </c>
      <c r="E9" s="37">
        <v>44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0.17799999999999999</v>
      </c>
      <c r="D10" s="36">
        <f t="shared" si="0"/>
        <v>1.0106839999999999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9.5000000000000001E-2</v>
      </c>
      <c r="D11" s="36">
        <f t="shared" si="0"/>
        <v>0.53940999999999995</v>
      </c>
      <c r="E11" s="37">
        <v>130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9.5000000000000001E-2</v>
      </c>
      <c r="D12" s="36">
        <f t="shared" si="0"/>
        <v>0.53940999999999995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3.5999999999999997E-2</v>
      </c>
      <c r="D13" s="36">
        <f t="shared" si="0"/>
        <v>0.20440799999999998</v>
      </c>
      <c r="E13" s="37">
        <v>109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0.90100000000000002</v>
      </c>
      <c r="D19" s="41">
        <f>SUM(D9:D18)</f>
        <v>5.1158779999999995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38.8705</v>
      </c>
      <c r="C36" s="63"/>
      <c r="D36" s="63"/>
      <c r="E36" s="54"/>
      <c r="F36" s="54"/>
      <c r="G36" s="54"/>
      <c r="H36" s="54"/>
      <c r="I36" s="52">
        <f>IFERROR(B36/A36,"")</f>
        <v>3.2392083333333335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13</v>
      </c>
      <c r="B37" s="63">
        <v>53.7455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14.875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14</v>
      </c>
      <c r="B38" s="63">
        <v>70.405500000000004</v>
      </c>
      <c r="C38" s="63"/>
      <c r="D38" s="63"/>
      <c r="E38" s="54"/>
      <c r="F38" s="54"/>
      <c r="G38" s="54"/>
      <c r="H38" s="54"/>
      <c r="I38" s="56">
        <f t="shared" si="1"/>
        <v>16.660000000000004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15</v>
      </c>
      <c r="B39" s="63">
        <v>88.859000000000009</v>
      </c>
      <c r="C39" s="63">
        <v>1</v>
      </c>
      <c r="D39" s="63">
        <v>23.3155</v>
      </c>
      <c r="E39" s="54"/>
      <c r="F39" s="54">
        <v>0.5</v>
      </c>
      <c r="G39" s="54">
        <v>0.5</v>
      </c>
      <c r="H39" s="54"/>
      <c r="I39" s="52">
        <f t="shared" si="1"/>
        <v>18.453500000000005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16</v>
      </c>
      <c r="B40" s="63">
        <v>78.208500000000001</v>
      </c>
      <c r="C40" s="63"/>
      <c r="D40" s="63"/>
      <c r="E40" s="54"/>
      <c r="F40" s="54"/>
      <c r="G40" s="54"/>
      <c r="H40" s="54"/>
      <c r="I40" s="52">
        <f t="shared" si="1"/>
        <v>12.664999999999992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17</v>
      </c>
      <c r="B41" s="63">
        <v>88.340500000000006</v>
      </c>
      <c r="C41" s="63"/>
      <c r="D41" s="63"/>
      <c r="E41" s="54"/>
      <c r="F41" s="54"/>
      <c r="G41" s="54"/>
      <c r="H41" s="54"/>
      <c r="I41" s="56">
        <f t="shared" si="1"/>
        <v>10.132000000000005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18</v>
      </c>
      <c r="B42" s="63">
        <v>100.55499999999999</v>
      </c>
      <c r="C42" s="63"/>
      <c r="D42" s="63"/>
      <c r="E42" s="54"/>
      <c r="F42" s="54"/>
      <c r="G42" s="54"/>
      <c r="H42" s="54"/>
      <c r="I42" s="56">
        <f t="shared" si="1"/>
        <v>12.214499999999987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19</v>
      </c>
      <c r="B43" s="63">
        <v>113.679</v>
      </c>
      <c r="C43" s="63"/>
      <c r="D43" s="63"/>
      <c r="E43" s="54"/>
      <c r="F43" s="54"/>
      <c r="G43" s="54"/>
      <c r="H43" s="54"/>
      <c r="I43" s="52">
        <f t="shared" si="1"/>
        <v>13.124000000000009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20</v>
      </c>
      <c r="B44" s="63">
        <v>130.203</v>
      </c>
      <c r="C44" s="63">
        <v>2</v>
      </c>
      <c r="D44" s="63">
        <v>34.110500000000002</v>
      </c>
      <c r="E44" s="54">
        <v>0.25</v>
      </c>
      <c r="F44" s="54">
        <v>0.375</v>
      </c>
      <c r="G44" s="54">
        <v>0.375</v>
      </c>
      <c r="H44" s="54"/>
      <c r="I44" s="52">
        <f t="shared" si="1"/>
        <v>16.524000000000001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21</v>
      </c>
      <c r="B45" s="63">
        <v>110.82299999999999</v>
      </c>
      <c r="C45" s="63"/>
      <c r="D45" s="63"/>
      <c r="E45" s="54"/>
      <c r="F45" s="54"/>
      <c r="G45" s="54"/>
      <c r="H45" s="54"/>
      <c r="I45" s="52">
        <f t="shared" si="1"/>
        <v>14.730499999999992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22</v>
      </c>
      <c r="B46" s="63">
        <v>126.871</v>
      </c>
      <c r="C46" s="63"/>
      <c r="D46" s="63"/>
      <c r="E46" s="54"/>
      <c r="F46" s="54"/>
      <c r="G46" s="54"/>
      <c r="H46" s="54"/>
      <c r="I46" s="52">
        <f t="shared" si="1"/>
        <v>16.048000000000002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23</v>
      </c>
      <c r="B47" s="63">
        <v>143.72650000000002</v>
      </c>
      <c r="C47" s="63"/>
      <c r="D47" s="63"/>
      <c r="E47" s="54"/>
      <c r="F47" s="54"/>
      <c r="G47" s="54"/>
      <c r="H47" s="54"/>
      <c r="I47" s="52">
        <f t="shared" si="1"/>
        <v>16.855500000000021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24</v>
      </c>
      <c r="B48" s="63">
        <v>161.67850000000001</v>
      </c>
      <c r="C48" s="63"/>
      <c r="D48" s="63"/>
      <c r="E48" s="54"/>
      <c r="F48" s="54"/>
      <c r="G48" s="54"/>
      <c r="H48" s="54"/>
      <c r="I48" s="52">
        <f t="shared" si="1"/>
        <v>17.951999999999998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25</v>
      </c>
      <c r="B49" s="63">
        <v>180.251</v>
      </c>
      <c r="C49" s="63"/>
      <c r="D49" s="63"/>
      <c r="E49" s="54"/>
      <c r="F49" s="54"/>
      <c r="G49" s="54"/>
      <c r="H49" s="54"/>
      <c r="I49" s="52">
        <f t="shared" si="1"/>
        <v>18.572499999999991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27</v>
      </c>
      <c r="B50" s="63">
        <v>218.36499999999998</v>
      </c>
      <c r="C50" s="63">
        <v>3</v>
      </c>
      <c r="D50" s="63">
        <v>54.518999999999998</v>
      </c>
      <c r="E50" s="54">
        <v>0.6</v>
      </c>
      <c r="F50" s="54">
        <v>0.2</v>
      </c>
      <c r="G50" s="54">
        <v>0.2</v>
      </c>
      <c r="H50" s="54"/>
      <c r="I50" s="52">
        <f t="shared" si="1"/>
        <v>19.056999999999988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30</v>
      </c>
      <c r="B51" s="53">
        <v>211.072</v>
      </c>
      <c r="C51" s="53"/>
      <c r="D51" s="53"/>
      <c r="E51" s="54"/>
      <c r="F51" s="54"/>
      <c r="G51" s="54"/>
      <c r="H51" s="54"/>
      <c r="I51" s="52">
        <f t="shared" si="1"/>
        <v>15.74200000000001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32</v>
      </c>
      <c r="B52" s="53">
        <v>243.36350000000002</v>
      </c>
      <c r="C52" s="53">
        <v>4</v>
      </c>
      <c r="D52" s="53">
        <v>62.73</v>
      </c>
      <c r="E52" s="54"/>
      <c r="F52" s="54"/>
      <c r="G52" s="54"/>
      <c r="H52" s="54"/>
      <c r="I52" s="52">
        <f t="shared" si="1"/>
        <v>16.145750000000007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37</v>
      </c>
      <c r="B53" s="53">
        <v>245.327</v>
      </c>
      <c r="C53" s="53"/>
      <c r="D53" s="53"/>
      <c r="E53" s="54"/>
      <c r="F53" s="54"/>
      <c r="G53" s="54"/>
      <c r="H53" s="54"/>
      <c r="I53" s="52">
        <f t="shared" si="1"/>
        <v>12.938699999999994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42</v>
      </c>
      <c r="B54" s="53">
        <v>311.32100000000003</v>
      </c>
      <c r="C54" s="53"/>
      <c r="D54" s="53"/>
      <c r="E54" s="54"/>
      <c r="F54" s="54"/>
      <c r="G54" s="54"/>
      <c r="H54" s="54"/>
      <c r="I54" s="52">
        <f t="shared" si="1"/>
        <v>13.198800000000006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44</v>
      </c>
      <c r="B55" s="53">
        <v>337.78999999999996</v>
      </c>
      <c r="C55" s="53">
        <v>5</v>
      </c>
      <c r="D55" s="53">
        <v>337.78999999999996</v>
      </c>
      <c r="E55" s="54"/>
      <c r="F55" s="54"/>
      <c r="G55" s="54"/>
      <c r="H55" s="54"/>
      <c r="I55" s="52">
        <f t="shared" si="1"/>
        <v>13.234499999999969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22</v>
      </c>
      <c r="C62" s="63"/>
      <c r="D62" s="63"/>
      <c r="E62" s="54"/>
      <c r="F62" s="54"/>
      <c r="G62" s="54"/>
      <c r="H62" s="54"/>
      <c r="I62" s="56">
        <f>IFERROR(B62/A62,"")</f>
        <v>4.4000000000000004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f>62+2</f>
        <v>64</v>
      </c>
      <c r="C63" s="63">
        <v>1</v>
      </c>
      <c r="D63" s="63">
        <f>2+15</f>
        <v>17</v>
      </c>
      <c r="E63" s="54"/>
      <c r="F63" s="54"/>
      <c r="G63" s="54"/>
      <c r="H63" s="54">
        <v>1</v>
      </c>
      <c r="I63" s="52">
        <f>IF(A63&lt;&gt;0,(B63-(B62-D62))/(A63-A62),"")</f>
        <v>8.4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89</v>
      </c>
      <c r="C64" s="63">
        <v>2</v>
      </c>
      <c r="D64" s="63">
        <v>13</v>
      </c>
      <c r="E64" s="54"/>
      <c r="F64" s="54"/>
      <c r="G64" s="54"/>
      <c r="H64" s="54">
        <v>1</v>
      </c>
      <c r="I64" s="52">
        <f>IF(A64&lt;&gt;0,(B64-(B63-D63))/(A64-A63),"")</f>
        <v>8.4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114</v>
      </c>
      <c r="C65" s="63">
        <v>3</v>
      </c>
      <c r="D65" s="63">
        <v>10</v>
      </c>
      <c r="E65" s="54"/>
      <c r="F65" s="54"/>
      <c r="G65" s="54"/>
      <c r="H65" s="54">
        <v>1</v>
      </c>
      <c r="I65" s="52">
        <f>IF(A65&lt;&gt;0,(B65-(B64-D64))/(A65-A64),"")</f>
        <v>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136</v>
      </c>
      <c r="C66" s="63">
        <v>4</v>
      </c>
      <c r="D66" s="63">
        <v>8</v>
      </c>
      <c r="E66" s="54"/>
      <c r="F66" s="54"/>
      <c r="G66" s="54"/>
      <c r="H66" s="54">
        <v>1</v>
      </c>
      <c r="I66" s="52">
        <f t="shared" ref="I66:I81" si="2">IF(A66&lt;&gt;0,(B66-(B65-D65))/(A66-A65),"")</f>
        <v>6.4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154</v>
      </c>
      <c r="C67" s="63">
        <v>5</v>
      </c>
      <c r="D67" s="63">
        <v>6</v>
      </c>
      <c r="E67" s="54"/>
      <c r="F67" s="54"/>
      <c r="G67" s="54"/>
      <c r="H67" s="54">
        <v>1</v>
      </c>
      <c r="I67" s="52">
        <f t="shared" si="2"/>
        <v>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169</v>
      </c>
      <c r="C68" s="63">
        <v>6</v>
      </c>
      <c r="D68" s="63">
        <v>5</v>
      </c>
      <c r="E68" s="54"/>
      <c r="F68" s="54"/>
      <c r="G68" s="54"/>
      <c r="H68" s="54"/>
      <c r="I68" s="52">
        <f t="shared" si="2"/>
        <v>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63">
        <v>183</v>
      </c>
      <c r="C69" s="63">
        <v>7</v>
      </c>
      <c r="D69" s="63">
        <v>4</v>
      </c>
      <c r="E69" s="54"/>
      <c r="F69" s="54"/>
      <c r="G69" s="54"/>
      <c r="H69" s="54"/>
      <c r="I69" s="52">
        <f t="shared" si="2"/>
        <v>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63">
        <v>198</v>
      </c>
      <c r="C70" s="63">
        <v>8</v>
      </c>
      <c r="D70" s="63">
        <f>B70</f>
        <v>198</v>
      </c>
      <c r="E70" s="54"/>
      <c r="F70" s="54"/>
      <c r="G70" s="54"/>
      <c r="H70" s="54"/>
      <c r="I70" s="52">
        <f t="shared" si="2"/>
        <v>3.8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f>(57)/1.56</f>
        <v>36.53846153846154</v>
      </c>
      <c r="C88" s="63"/>
      <c r="D88" s="63"/>
      <c r="E88" s="54"/>
      <c r="F88" s="54"/>
      <c r="G88" s="54"/>
      <c r="H88" s="54"/>
      <c r="I88" s="56">
        <f>IFERROR(B88/A88,"")</f>
        <v>1.8269230769230771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(87+7)/1.56</f>
        <v>60.256410256410255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4.7435897435897427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(117+9+7)/1.56</f>
        <v>85.256410256410248</v>
      </c>
      <c r="C90" s="53">
        <v>1</v>
      </c>
      <c r="D90" s="63">
        <f>(7+9+11)/1.56</f>
        <v>17.307692307692307</v>
      </c>
      <c r="E90" s="54"/>
      <c r="F90" s="54"/>
      <c r="G90" s="54"/>
      <c r="H90" s="54">
        <v>1</v>
      </c>
      <c r="I90" s="56">
        <f t="shared" si="3"/>
        <v>4.9999999999999982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(146/1.56)</f>
        <v>93.589743589743591</v>
      </c>
      <c r="C91" s="53"/>
      <c r="D91" s="63"/>
      <c r="E91" s="54"/>
      <c r="F91" s="54"/>
      <c r="G91" s="54"/>
      <c r="H91" s="54"/>
      <c r="I91" s="56">
        <f t="shared" si="3"/>
        <v>5.1282051282051295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(173+13)/1.56</f>
        <v>119.23076923076923</v>
      </c>
      <c r="C92" s="53">
        <v>2</v>
      </c>
      <c r="D92" s="63">
        <f>(13+14)/1.56</f>
        <v>17.307692307692307</v>
      </c>
      <c r="E92" s="54"/>
      <c r="F92" s="54"/>
      <c r="G92" s="54"/>
      <c r="H92" s="54"/>
      <c r="I92" s="56">
        <f t="shared" si="3"/>
        <v>5.1282051282051269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(197/1.56)</f>
        <v>126.28205128205128</v>
      </c>
      <c r="C93" s="53"/>
      <c r="D93" s="63"/>
      <c r="E93" s="54"/>
      <c r="F93" s="54"/>
      <c r="G93" s="54"/>
      <c r="H93" s="54"/>
      <c r="I93" s="56">
        <f t="shared" si="3"/>
        <v>4.8717948717948731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(219+14)/1.56</f>
        <v>149.35897435897436</v>
      </c>
      <c r="C94" s="63">
        <v>3</v>
      </c>
      <c r="D94" s="63">
        <f>(14+15)/1.56</f>
        <v>18.589743589743588</v>
      </c>
      <c r="E94" s="54"/>
      <c r="F94" s="54"/>
      <c r="G94" s="54"/>
      <c r="H94" s="54"/>
      <c r="I94" s="56">
        <f t="shared" si="3"/>
        <v>4.6153846153846159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53">
        <f>239/1.56</f>
        <v>153.2051282051282</v>
      </c>
      <c r="C95" s="63"/>
      <c r="D95" s="53"/>
      <c r="E95" s="54"/>
      <c r="F95" s="54"/>
      <c r="G95" s="54"/>
      <c r="H95" s="54"/>
      <c r="I95" s="56">
        <f t="shared" si="3"/>
        <v>4.4871794871794863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3">
        <f>(257+15)/1.56</f>
        <v>174.35897435897436</v>
      </c>
      <c r="C96" s="63">
        <v>4</v>
      </c>
      <c r="D96" s="63">
        <f>(15+15)/1.56</f>
        <v>19.23076923076923</v>
      </c>
      <c r="E96" s="54"/>
      <c r="F96" s="54"/>
      <c r="G96" s="54"/>
      <c r="H96" s="54"/>
      <c r="I96" s="56">
        <f t="shared" si="3"/>
        <v>4.2307692307692317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3">
        <f>273/1.56</f>
        <v>175</v>
      </c>
      <c r="C97" s="63"/>
      <c r="D97" s="63"/>
      <c r="E97" s="54"/>
      <c r="F97" s="54"/>
      <c r="G97" s="54"/>
      <c r="H97" s="54"/>
      <c r="I97" s="56">
        <f t="shared" si="3"/>
        <v>3.9743589743589722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3">
        <f>(288+15)/1.56</f>
        <v>194.23076923076923</v>
      </c>
      <c r="C98" s="63">
        <v>5</v>
      </c>
      <c r="D98" s="63">
        <f>(15+14)/1.56</f>
        <v>18.589743589743588</v>
      </c>
      <c r="E98" s="54"/>
      <c r="F98" s="54"/>
      <c r="G98" s="54"/>
      <c r="H98" s="54"/>
      <c r="I98" s="56">
        <f t="shared" si="3"/>
        <v>3.8461538461538454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3">
        <f>301/1.56</f>
        <v>192.94871794871796</v>
      </c>
      <c r="C99" s="63"/>
      <c r="D99" s="63"/>
      <c r="E99" s="54"/>
      <c r="F99" s="54"/>
      <c r="G99" s="54"/>
      <c r="H99" s="54"/>
      <c r="I99" s="56">
        <f t="shared" si="3"/>
        <v>3.4615384615384643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3">
        <f>(313+14)/1.56</f>
        <v>209.61538461538461</v>
      </c>
      <c r="C100" s="63">
        <v>6</v>
      </c>
      <c r="D100" s="63">
        <f>(14+14)/1.56</f>
        <v>17.948717948717949</v>
      </c>
      <c r="E100" s="54"/>
      <c r="F100" s="54"/>
      <c r="G100" s="54"/>
      <c r="H100" s="54"/>
      <c r="I100" s="56">
        <f t="shared" si="3"/>
        <v>3.3333333333333313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85</v>
      </c>
      <c r="B101" s="63">
        <f>324/1.56</f>
        <v>207.69230769230768</v>
      </c>
      <c r="C101" s="63"/>
      <c r="D101" s="63"/>
      <c r="E101" s="54"/>
      <c r="F101" s="54"/>
      <c r="G101" s="54"/>
      <c r="H101" s="54"/>
      <c r="I101" s="56">
        <f t="shared" si="3"/>
        <v>3.2051282051282044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90</v>
      </c>
      <c r="B102" s="63">
        <f>(334+13)/1.56</f>
        <v>222.43589743589743</v>
      </c>
      <c r="C102" s="53">
        <v>7</v>
      </c>
      <c r="D102" s="63">
        <f>(13+13)/1.56</f>
        <v>16.666666666666668</v>
      </c>
      <c r="E102" s="54"/>
      <c r="F102" s="54"/>
      <c r="G102" s="54"/>
      <c r="H102" s="54"/>
      <c r="I102" s="56">
        <f t="shared" si="3"/>
        <v>2.9487179487179502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95</v>
      </c>
      <c r="B103" s="53">
        <f>344/1.56</f>
        <v>220.5128205128205</v>
      </c>
      <c r="C103" s="53"/>
      <c r="D103" s="53"/>
      <c r="E103" s="54"/>
      <c r="F103" s="54"/>
      <c r="G103" s="54"/>
      <c r="H103" s="54"/>
      <c r="I103" s="56">
        <f t="shared" si="3"/>
        <v>2.9487179487179445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100</v>
      </c>
      <c r="B104" s="53">
        <f>(352+13)/1.56</f>
        <v>233.97435897435898</v>
      </c>
      <c r="C104" s="53">
        <v>8</v>
      </c>
      <c r="D104" s="53">
        <f>(12+13)/1.56</f>
        <v>16.025641025641026</v>
      </c>
      <c r="E104" s="54"/>
      <c r="F104" s="54"/>
      <c r="G104" s="54"/>
      <c r="H104" s="54"/>
      <c r="I104" s="56">
        <f t="shared" si="3"/>
        <v>2.6923076923076961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f>(368+11)/1.56</f>
        <v>242.94871794871793</v>
      </c>
      <c r="C105" s="53">
        <v>9</v>
      </c>
      <c r="D105" s="53">
        <f>(11+11)/1.56</f>
        <v>14.102564102564102</v>
      </c>
      <c r="E105" s="54"/>
      <c r="F105" s="54"/>
      <c r="G105" s="54"/>
      <c r="H105" s="54"/>
      <c r="I105" s="56">
        <f t="shared" si="3"/>
        <v>2.4999999999999973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120</v>
      </c>
      <c r="B106" s="53">
        <f>(382+11)/1.56</f>
        <v>251.92307692307691</v>
      </c>
      <c r="C106" s="53">
        <v>10</v>
      </c>
      <c r="D106" s="53">
        <f>(11+10)/1.56</f>
        <v>13.461538461538462</v>
      </c>
      <c r="E106" s="54"/>
      <c r="F106" s="54"/>
      <c r="G106" s="54"/>
      <c r="H106" s="54"/>
      <c r="I106" s="56">
        <f t="shared" si="3"/>
        <v>2.3076923076923093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130</v>
      </c>
      <c r="B107" s="53">
        <f>(394+10)/1.56</f>
        <v>258.97435897435895</v>
      </c>
      <c r="C107" s="53">
        <v>11</v>
      </c>
      <c r="D107" s="53">
        <f>B107</f>
        <v>258.97435897435895</v>
      </c>
      <c r="E107" s="54"/>
      <c r="F107" s="54"/>
      <c r="G107" s="54"/>
      <c r="H107" s="54"/>
      <c r="I107" s="56">
        <f t="shared" si="3"/>
        <v>2.0512820512820498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f>30+0</f>
        <v>30</v>
      </c>
      <c r="C114" s="63"/>
      <c r="D114" s="63"/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f>54</f>
        <v>54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f>66+13</f>
        <v>79</v>
      </c>
      <c r="C116" s="63"/>
      <c r="D116" s="63"/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f>79+13+14</f>
        <v>106</v>
      </c>
      <c r="C117" s="63">
        <v>1</v>
      </c>
      <c r="D117" s="63">
        <f>13+14</f>
        <v>27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f>93+14</f>
        <v>107</v>
      </c>
      <c r="C118" s="63"/>
      <c r="D118" s="63"/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f>107+14+14</f>
        <v>135</v>
      </c>
      <c r="C119" s="63">
        <v>2</v>
      </c>
      <c r="D119" s="63">
        <f>14+14</f>
        <v>28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55</v>
      </c>
      <c r="B120" s="63">
        <f>121+14</f>
        <v>135</v>
      </c>
      <c r="C120" s="53"/>
      <c r="D120" s="63"/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60</v>
      </c>
      <c r="B121" s="63">
        <f>134+14+14</f>
        <v>162</v>
      </c>
      <c r="C121" s="53">
        <v>3</v>
      </c>
      <c r="D121" s="63">
        <f>14+14</f>
        <v>28</v>
      </c>
      <c r="E121" s="93"/>
      <c r="F121" s="93"/>
      <c r="G121" s="93"/>
      <c r="H121" s="93"/>
      <c r="I121" s="56">
        <f t="shared" si="4"/>
        <v>5.4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65</v>
      </c>
      <c r="B122" s="63">
        <f>147+14</f>
        <v>161</v>
      </c>
      <c r="C122" s="53"/>
      <c r="D122" s="63"/>
      <c r="E122" s="93"/>
      <c r="F122" s="93"/>
      <c r="G122" s="93"/>
      <c r="H122" s="93"/>
      <c r="I122" s="56">
        <f t="shared" si="4"/>
        <v>5.4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70</v>
      </c>
      <c r="B123" s="63">
        <f>158+14+14</f>
        <v>186</v>
      </c>
      <c r="C123" s="53">
        <v>4</v>
      </c>
      <c r="D123" s="63">
        <f>14+14</f>
        <v>28</v>
      </c>
      <c r="E123" s="93"/>
      <c r="F123" s="93"/>
      <c r="G123" s="93"/>
      <c r="H123" s="93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75</v>
      </c>
      <c r="B124" s="63">
        <f>169+14</f>
        <v>183</v>
      </c>
      <c r="C124" s="53"/>
      <c r="D124" s="63"/>
      <c r="E124" s="93"/>
      <c r="F124" s="93"/>
      <c r="G124" s="93"/>
      <c r="H124" s="93"/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80</v>
      </c>
      <c r="B125" s="63">
        <f>178+14+14</f>
        <v>206</v>
      </c>
      <c r="C125" s="53">
        <v>5</v>
      </c>
      <c r="D125" s="63">
        <f>14+14</f>
        <v>28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85</v>
      </c>
      <c r="B126" s="63">
        <f>186+14</f>
        <v>200</v>
      </c>
      <c r="C126" s="53"/>
      <c r="D126" s="63"/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63">
        <f>193+14+14</f>
        <v>221</v>
      </c>
      <c r="C127" s="53">
        <v>6</v>
      </c>
      <c r="D127" s="63">
        <f>14+14</f>
        <v>28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f>202+14+14</f>
        <v>230</v>
      </c>
      <c r="C128" s="53">
        <v>7</v>
      </c>
      <c r="D128" s="53">
        <f>14+14</f>
        <v>28</v>
      </c>
      <c r="E128" s="57"/>
      <c r="F128" s="57"/>
      <c r="G128" s="57"/>
      <c r="H128" s="57"/>
      <c r="I128" s="56">
        <f t="shared" si="4"/>
        <v>3.7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f>206+13+14</f>
        <v>233</v>
      </c>
      <c r="C129" s="53">
        <v>8</v>
      </c>
      <c r="D129" s="53">
        <f>13+14</f>
        <v>27</v>
      </c>
      <c r="E129" s="57"/>
      <c r="F129" s="57"/>
      <c r="G129" s="57"/>
      <c r="H129" s="57"/>
      <c r="I129" s="56">
        <f t="shared" si="4"/>
        <v>3.1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f>209+13+13</f>
        <v>235</v>
      </c>
      <c r="C130" s="53">
        <v>9</v>
      </c>
      <c r="D130" s="53">
        <f>12+13</f>
        <v>25</v>
      </c>
      <c r="E130" s="57"/>
      <c r="F130" s="57"/>
      <c r="G130" s="57"/>
      <c r="H130" s="57"/>
      <c r="I130" s="56">
        <f t="shared" si="4"/>
        <v>2.9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f>210+10+11</f>
        <v>231</v>
      </c>
      <c r="C131" s="53">
        <v>10</v>
      </c>
      <c r="D131" s="53">
        <f>10+11</f>
        <v>21</v>
      </c>
      <c r="E131" s="57"/>
      <c r="F131" s="57"/>
      <c r="G131" s="57"/>
      <c r="H131" s="57"/>
      <c r="I131" s="56">
        <f t="shared" si="4"/>
        <v>2.1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f>210+8+9</f>
        <v>227</v>
      </c>
      <c r="C132" s="53">
        <v>11</v>
      </c>
      <c r="D132" s="53">
        <f>8+9</f>
        <v>17</v>
      </c>
      <c r="E132" s="57"/>
      <c r="F132" s="57"/>
      <c r="G132" s="57"/>
      <c r="H132" s="57"/>
      <c r="I132" s="56">
        <f t="shared" si="4"/>
        <v>1.7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f>211+7+6</f>
        <v>224</v>
      </c>
      <c r="C133" s="53">
        <v>12</v>
      </c>
      <c r="D133" s="53">
        <v>224</v>
      </c>
      <c r="E133" s="57"/>
      <c r="F133" s="57"/>
      <c r="G133" s="57"/>
      <c r="H133" s="57"/>
      <c r="I133" s="56">
        <f t="shared" si="4"/>
        <v>1.4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3">
        <f>134/1.3</f>
        <v>103.07692307692308</v>
      </c>
      <c r="C140" s="53"/>
      <c r="D140" s="63"/>
      <c r="E140" s="54"/>
      <c r="F140" s="54"/>
      <c r="G140" s="54"/>
      <c r="H140" s="54"/>
      <c r="I140" s="60">
        <f>IFERROR(B140/A140,"")</f>
        <v>3.4358974358974361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51</v>
      </c>
      <c r="B141" s="63">
        <f>418/1.3</f>
        <v>321.53846153846155</v>
      </c>
      <c r="C141" s="53">
        <v>1</v>
      </c>
      <c r="D141" s="63">
        <f>(418-288)/1.3</f>
        <v>100</v>
      </c>
      <c r="E141" s="54"/>
      <c r="F141" s="54"/>
      <c r="G141" s="54"/>
      <c r="H141" s="54"/>
      <c r="I141" s="60">
        <f t="shared" ref="I141:I159" si="5">IF(A141&lt;&gt;0,(B141-(B140-D140))/(A141-A140),"")</f>
        <v>10.402930402930403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63</v>
      </c>
      <c r="B142" s="63">
        <f>456/1.3</f>
        <v>350.76923076923077</v>
      </c>
      <c r="C142" s="53">
        <v>2</v>
      </c>
      <c r="D142" s="63">
        <f>(456-315)/1.3</f>
        <v>108.46153846153845</v>
      </c>
      <c r="E142" s="54"/>
      <c r="F142" s="54"/>
      <c r="G142" s="54"/>
      <c r="H142" s="54"/>
      <c r="I142" s="60">
        <f t="shared" si="5"/>
        <v>10.769230769230768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75</v>
      </c>
      <c r="B143" s="63">
        <f>469/1.3</f>
        <v>360.76923076923077</v>
      </c>
      <c r="C143" s="53">
        <v>3</v>
      </c>
      <c r="D143" s="63">
        <f>B143-(358/1.3)</f>
        <v>85.384615384615415</v>
      </c>
      <c r="E143" s="54"/>
      <c r="F143" s="54"/>
      <c r="G143" s="54"/>
      <c r="H143" s="54"/>
      <c r="I143" s="60">
        <f t="shared" si="5"/>
        <v>9.8717948717948705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87</v>
      </c>
      <c r="B144" s="63">
        <f>498/1.3</f>
        <v>383.07692307692304</v>
      </c>
      <c r="C144" s="53">
        <v>4</v>
      </c>
      <c r="D144" s="63">
        <f>B144-(390/1.3)</f>
        <v>83.076923076923038</v>
      </c>
      <c r="E144" s="54"/>
      <c r="F144" s="54"/>
      <c r="G144" s="54"/>
      <c r="H144" s="54"/>
      <c r="I144" s="60">
        <f t="shared" si="5"/>
        <v>8.9743589743589727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99</v>
      </c>
      <c r="B145" s="63">
        <f>517/1.3</f>
        <v>397.69230769230768</v>
      </c>
      <c r="C145" s="53">
        <v>5</v>
      </c>
      <c r="D145" s="63">
        <f>B145-(259/1.3)</f>
        <v>198.46153846153845</v>
      </c>
      <c r="E145" s="54"/>
      <c r="F145" s="54"/>
      <c r="G145" s="54"/>
      <c r="H145" s="54"/>
      <c r="I145" s="60">
        <f t="shared" si="5"/>
        <v>8.1410256410256405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109</v>
      </c>
      <c r="B146" s="63">
        <f>333/1.3</f>
        <v>256.15384615384613</v>
      </c>
      <c r="C146" s="63">
        <v>6</v>
      </c>
      <c r="D146" s="63">
        <f>B146</f>
        <v>256.15384615384613</v>
      </c>
      <c r="E146" s="54"/>
      <c r="F146" s="54"/>
      <c r="G146" s="54"/>
      <c r="H146" s="54"/>
      <c r="I146" s="60">
        <f t="shared" si="5"/>
        <v>5.6923076923076907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chevelu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pubescent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Cèdre de l'Atlas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207.03241199974599</v>
      </c>
      <c r="T3" s="62">
        <f>IF('Données projet'!E9&gt;30,$R$33-$H$33,LOOKUP('Données projet'!$E$9,$A$3:$A$203,R3:R203)-LOOKUP('Données projet'!$E$9,$A$3:$A$203,$H$3:$H$203))</f>
        <v>314.188568589113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245.25496369542458</v>
      </c>
      <c r="AO3" s="62">
        <f>IF('Données projet'!E10&gt;30,$AM$33-$H$33,LOOKUP('Données projet'!$E$10,$A$3:$A$203,AM3:AM203)-LOOKUP('Données projet'!$E$10,$A$3:$A$203,$H$3:$H$203))</f>
        <v>342.30266518164211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377.78532142539677</v>
      </c>
      <c r="BJ3" s="62">
        <f>IF('Données projet'!E11&gt;30,$BH$33-$H$33,LOOKUP('Données projet'!$E$11,$A$3:$A$203,BH3:BH203)-LOOKUP('Données projet'!$E$11,$A$3:$A$203,$H$3:$H$203))</f>
        <v>234.27695813539111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360.32217613090035</v>
      </c>
      <c r="CE3" s="62">
        <f>IF('Données projet'!E12&gt;30,$CC$33-$H$33,LOOKUP('Données projet'!$E$12,$A$3:$A$203,CC3:CC203)-LOOKUP('Données projet'!$E$12,$A$3:$A$203,$H$3:$H$203))</f>
        <v>159.6134369231965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246.64907095367749</v>
      </c>
      <c r="CZ3" s="62">
        <f>IF('Données projet'!E13&gt;30,$CX$33-$H$33,LOOKUP('Données projet'!$E$13,$A$3:$A$203,CX3:CX203)-LOOKUP('Données projet'!$E$13,$A$3:$A$203,$H$3:$H$203))</f>
        <v>145.34368562171613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3.2392083333333335</v>
      </c>
      <c r="N4" s="14">
        <f>IF('Données projet'!$A$36&gt;35,N3+M4-V3,IF(A4&lt;'Données projet'!$A$36,$K$205^A4,IF(A4='Données projet'!$A$36,'Données projet'!$B$36,N3+M4-V3)))</f>
        <v>1.3566516392624868</v>
      </c>
      <c r="O4" s="14">
        <f>N4*VLOOKUP('Données projet'!$B$9,Paramètres!$A$1:$I$89,3,0)*VLOOKUP('Données projet'!$B$9,Paramètres!$A$1:$I$89,5,0)</f>
        <v>0.81127768027896718</v>
      </c>
      <c r="P4" s="14">
        <f>EXP(-1.0587+0.8836*LN(O4)+0.284)</f>
        <v>0.38308421720764524</v>
      </c>
      <c r="Q4" s="22">
        <f t="shared" ref="Q4:Q34" si="2">(O4+P4)*0.475*44/12</f>
        <v>2.0801803047891831</v>
      </c>
      <c r="R4" s="62">
        <f t="shared" si="0"/>
        <v>259.96906919367802</v>
      </c>
      <c r="S4" s="62">
        <f ca="1">AVERAGE(OFFSET($R$3,0,0,'Données projet'!$E$9+1,1))-AVERAGE(OFFSET($H$3,0,0,'Données projet'!$E$9+1,1))</f>
        <v>207.03241199974599</v>
      </c>
      <c r="T4" s="62">
        <f>$T$3</f>
        <v>314.188568589113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4.4000000000000004</v>
      </c>
      <c r="AI4" s="14">
        <f>IF('Données projet'!$A$62&gt;35,AI3+AH4-AQ3,IF(A4&lt;'Données projet'!$A$62,$AF$205^A4,IF(A4='Données projet'!$A$62,'Données projet'!$B$62,AI3+AH4-AQ3)))</f>
        <v>1.8556007362580844</v>
      </c>
      <c r="AJ4" s="14">
        <f>AI4*VLOOKUP('Données projet'!$B$10,Paramètres!$A$1:$I$89,3,0)*VLOOKUP('Données projet'!$B$10,Paramètres!$A$1:$I$89,5,0)</f>
        <v>1.6789475461663146</v>
      </c>
      <c r="AK4" s="14">
        <f>EXP(-1.0587+0.8836*LN(AJ4)+0.284)</f>
        <v>0.72844182078056119</v>
      </c>
      <c r="AL4" s="22">
        <f t="shared" ref="AL4:AL67" si="4">(AJ4+AK4)*0.475*44/12</f>
        <v>4.1928698140991418</v>
      </c>
      <c r="AM4" s="62">
        <f t="shared" ref="AM4:AM67" si="5">AL4+(AD4+AE4)*44/12</f>
        <v>262.081758702988</v>
      </c>
      <c r="AN4" s="62">
        <f ca="1">AVERAGE(OFFSET($AM$3,0,0,'Données projet'!$E$10+1,1))-AVERAGE(OFFSET($H$3,0,0,'Données projet'!$E$10+1,1))</f>
        <v>245.25496369542458</v>
      </c>
      <c r="AO4" s="62">
        <f>$AO$3</f>
        <v>342.30266518164211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1.8269230769230771</v>
      </c>
      <c r="BD4" s="13">
        <f>IF('Données projet'!$A$88&gt;35,BD3+BC4-BL3,IF(A4&lt;'Données projet'!$A$88,$BA$205^A4,IF(A4='Données projet'!$A$88,'Données projet'!$B$88,BD3+BC4-BL3)))</f>
        <v>1.197119521332874</v>
      </c>
      <c r="BE4" s="14">
        <f>BD4*VLOOKUP('Données projet'!$B$11,Paramètres!$A$1:$I$89,3,0)*VLOOKUP('Données projet'!$B$11,Paramètres!$A$1:$I$89,5,0)</f>
        <v>1.2512293236971201</v>
      </c>
      <c r="BF4" s="14">
        <f>EXP(-1.0587+0.8836*LN(BE4)+0.284)</f>
        <v>0.56177054198202969</v>
      </c>
      <c r="BG4" s="22">
        <f t="shared" ref="BG4:BG67" si="7">(BE4+BF4)*0.475*44/12</f>
        <v>3.1576414327245192</v>
      </c>
      <c r="BH4" s="62">
        <f t="shared" ref="BH4:BH67" si="8">BG4+(AY4+AZ4)*44/12</f>
        <v>261.04653032161337</v>
      </c>
      <c r="BI4" s="62">
        <f ca="1">AVERAGE(OFFSET($BH$3,0,0,'Données projet'!$E$11+1,1))-AVERAGE(OFFSET($H$3,0,0,'Données projet'!$E$11+1,1))</f>
        <v>377.78532142539677</v>
      </c>
      <c r="BJ4" s="62">
        <f>$BJ$3</f>
        <v>234.27695813539111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1.161777082395637</v>
      </c>
      <c r="CA4" s="14">
        <f>EXP(-1.0587+0.8836*LN(BZ4)+0.284)</f>
        <v>0.52613182870286601</v>
      </c>
      <c r="CB4" s="22">
        <f t="shared" ref="CB4:CB67" si="10">(BZ4+CA4)*0.475*44/12</f>
        <v>2.9397746868298928</v>
      </c>
      <c r="CC4" s="62">
        <f t="shared" ref="CC4:CC67" si="11">CB4+(BT4+BU4)*44/12</f>
        <v>260.82866357571874</v>
      </c>
      <c r="CD4" s="62">
        <f ca="1">AVERAGE(OFFSET($CC$3,0,0,'Données projet'!$E$12+1,1))-AVERAGE(OFFSET($H$3,0,0,'Données projet'!$E$12+1,1))</f>
        <v>360.32217613090035</v>
      </c>
      <c r="CE4" s="62">
        <f>$CE$3</f>
        <v>159.6134369231965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3.4358974358974361</v>
      </c>
      <c r="CT4" s="13">
        <f>IF('Données projet'!$A$140&gt;35,CT3+CS4-DB3,IF(A4&lt;'Données projet'!$A$140,$CQ$205^A4,IF(A4='Données projet'!$A$140,'Données projet'!$B$140,CT3+CS4-DB3)))</f>
        <v>1.167092777711815</v>
      </c>
      <c r="CU4" s="18">
        <f>CT4*VLOOKUP('Données projet'!$B$13,Paramètres!$A$1:$I$89,3,0)*VLOOKUP('Données projet'!$B$13,Paramètres!$A$1:$I$89,5,0)</f>
        <v>0.54619941996912946</v>
      </c>
      <c r="CV4" s="14">
        <f>EXP(-1.0587+0.8836*LN(CU4)+0.284)</f>
        <v>0.27006954687577245</v>
      </c>
      <c r="CW4" s="22">
        <f t="shared" ref="CW4:CW67" si="13">(CU4+CV4)*0.475*44/12</f>
        <v>1.4216684505882042</v>
      </c>
      <c r="CX4" s="62">
        <f t="shared" ref="CX4:CX67" si="14">CW4+(CO4+CP4)*44/12</f>
        <v>259.31055733947704</v>
      </c>
      <c r="CY4" s="62">
        <f ca="1">AVERAGE(OFFSET($CX$3,0,0,'Données projet'!$E$13+1,1))-AVERAGE(OFFSET($H$3,0,0,'Données projet'!$E$13+1,1))</f>
        <v>246.64907095367749</v>
      </c>
      <c r="CZ4" s="62">
        <f>$CZ$3</f>
        <v>145.34368562171613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3.2392083333333335</v>
      </c>
      <c r="N5" s="14">
        <f>IF('Données projet'!$A$36&gt;35,N4+M5-V4,IF(A5&lt;'Données projet'!$A$36,$K$205^A5,IF(A5='Données projet'!$A$36,'Données projet'!$B$36,N4+M5-V4)))</f>
        <v>1.8405036703135926</v>
      </c>
      <c r="O5" s="14">
        <f>N5*VLOOKUP('Données projet'!$B$9,Paramètres!$A$1:$I$89,3,0)*VLOOKUP('Données projet'!$B$9,Paramètres!$A$1:$I$89,5,0)</f>
        <v>1.1006211948475284</v>
      </c>
      <c r="P5" s="14">
        <f t="shared" ref="P5:P68" si="33">EXP(-1.0587+0.8836*LN(O5)+0.284)</f>
        <v>0.5015835540976048</v>
      </c>
      <c r="Q5" s="22">
        <f t="shared" si="2"/>
        <v>2.7905066044127733</v>
      </c>
      <c r="R5" s="62">
        <f t="shared" si="0"/>
        <v>261.90161771552391</v>
      </c>
      <c r="S5" s="62">
        <f ca="1">AVERAGE(OFFSET($R$3,0,0,'Données projet'!$E$9+1,1))-AVERAGE(OFFSET($H$3,0,0,'Données projet'!$E$9+1,1))</f>
        <v>207.03241199974599</v>
      </c>
      <c r="T5" s="62">
        <f t="shared" ref="T5:T68" si="34">$T$3</f>
        <v>314.188568589113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4.4000000000000004</v>
      </c>
      <c r="AI5" s="14">
        <f>IF('Données projet'!$A$62&gt;35,AI4+AH5-AQ4,IF(A5&lt;'Données projet'!$A$62,$AF$205^A5,IF(A5='Données projet'!$A$62,'Données projet'!$B$62,AI4+AH5-AQ4)))</f>
        <v>3.4432540924015451</v>
      </c>
      <c r="AJ5" s="14">
        <f>AI5*VLOOKUP('Données projet'!$B$10,Paramètres!$A$1:$I$89,3,0)*VLOOKUP('Données projet'!$B$10,Paramètres!$A$1:$I$89,5,0)</f>
        <v>3.115456302804918</v>
      </c>
      <c r="AK5" s="14">
        <f t="shared" ref="AK5:AK68" si="35">EXP(-1.0587+0.8836*LN(AJ5)+0.284)</f>
        <v>1.2578469684295466</v>
      </c>
      <c r="AL5" s="22">
        <f t="shared" si="4"/>
        <v>7.6168365307333579</v>
      </c>
      <c r="AM5" s="62">
        <f t="shared" si="5"/>
        <v>266.72794764184448</v>
      </c>
      <c r="AN5" s="62">
        <f ca="1">AVERAGE(OFFSET($AM$3,0,0,'Données projet'!$E$10+1,1))-AVERAGE(OFFSET($H$3,0,0,'Données projet'!$E$10+1,1))</f>
        <v>245.25496369542458</v>
      </c>
      <c r="AO5" s="62">
        <f t="shared" ref="AO5:AO68" si="36">$AO$3</f>
        <v>342.30266518164211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1.8269230769230771</v>
      </c>
      <c r="BD5" s="13">
        <f>IF('Données projet'!$A$88&gt;35,BD4+BC5-BL4,IF(A5&lt;'Données projet'!$A$88,$BA$205^A5,IF(A5='Données projet'!$A$88,'Données projet'!$B$88,BD4+BC5-BL4)))</f>
        <v>1.4330951483562495</v>
      </c>
      <c r="BE5" s="14">
        <f>BD5*VLOOKUP('Données projet'!$B$11,Paramètres!$A$1:$I$89,3,0)*VLOOKUP('Données projet'!$B$11,Paramètres!$A$1:$I$89,5,0)</f>
        <v>1.4978710490619522</v>
      </c>
      <c r="BF5" s="14">
        <f t="shared" ref="BF5:BF68" si="37">EXP(-1.0587+0.8836*LN(BE5)+0.284)</f>
        <v>0.6585689765350049</v>
      </c>
      <c r="BG5" s="22">
        <f t="shared" si="7"/>
        <v>3.7557997112480344</v>
      </c>
      <c r="BH5" s="62">
        <f t="shared" si="8"/>
        <v>262.86691082235916</v>
      </c>
      <c r="BI5" s="62">
        <f ca="1">AVERAGE(OFFSET($BH$3,0,0,'Données projet'!$E$11+1,1))-AVERAGE(OFFSET($H$3,0,0,'Données projet'!$E$11+1,1))</f>
        <v>377.78532142539677</v>
      </c>
      <c r="BJ5" s="62">
        <f t="shared" ref="BJ5:BJ68" si="38">$BJ$3</f>
        <v>234.27695813539111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1.3310907191121488</v>
      </c>
      <c r="CA5" s="14">
        <f t="shared" ref="CA5:CA68" si="39">EXP(-1.0587+0.8836*LN(BZ5)+0.284)</f>
        <v>0.59333770733536928</v>
      </c>
      <c r="CB5" s="22">
        <f t="shared" si="10"/>
        <v>3.3517128427294267</v>
      </c>
      <c r="CC5" s="62">
        <f t="shared" si="11"/>
        <v>262.4628239538406</v>
      </c>
      <c r="CD5" s="62">
        <f ca="1">AVERAGE(OFFSET($CC$3,0,0,'Données projet'!$E$12+1,1))-AVERAGE(OFFSET($H$3,0,0,'Données projet'!$E$12+1,1))</f>
        <v>360.32217613090035</v>
      </c>
      <c r="CE5" s="62">
        <f t="shared" ref="CE5:CE68" si="40">$CE$3</f>
        <v>159.6134369231965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3.4358974358974361</v>
      </c>
      <c r="CT5" s="13">
        <f>IF('Données projet'!$A$140&gt;35,CT4+CS5-DB4,IF(A5&lt;'Données projet'!$A$140,$CQ$205^A5,IF(A5='Données projet'!$A$140,'Données projet'!$B$140,CT4+CS5-DB4)))</f>
        <v>1.3621055517870799</v>
      </c>
      <c r="CU5" s="18">
        <f>CT5*VLOOKUP('Données projet'!$B$13,Paramètres!$A$1:$I$89,3,0)*VLOOKUP('Données projet'!$B$13,Paramètres!$A$1:$I$89,5,0)</f>
        <v>0.6374653982363534</v>
      </c>
      <c r="CV5" s="14">
        <f t="shared" ref="CV5:CV68" si="41">EXP(-1.0587+0.8836*LN(CU5)+0.284)</f>
        <v>0.30957788644599227</v>
      </c>
      <c r="CW5" s="22">
        <f t="shared" si="13"/>
        <v>1.6494337208217518</v>
      </c>
      <c r="CX5" s="62">
        <f t="shared" si="14"/>
        <v>260.76054483193292</v>
      </c>
      <c r="CY5" s="62">
        <f ca="1">AVERAGE(OFFSET($CX$3,0,0,'Données projet'!$E$13+1,1))-AVERAGE(OFFSET($H$3,0,0,'Données projet'!$E$13+1,1))</f>
        <v>246.64907095367749</v>
      </c>
      <c r="CZ5" s="62">
        <f t="shared" ref="CZ5:CZ68" si="42">$CZ$3</f>
        <v>145.34368562171613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3.2392083333333335</v>
      </c>
      <c r="N6" s="14">
        <f>IF('Données projet'!$A$36&gt;35,N5+M6-V5,IF(A6&lt;'Données projet'!$A$36,$K$205^A6,IF(A6='Données projet'!$A$36,'Données projet'!$B$36,N5+M6-V5)))</f>
        <v>2.4969223213995591</v>
      </c>
      <c r="O6" s="14">
        <f>N6*VLOOKUP('Données projet'!$B$9,Paramètres!$A$1:$I$89,3,0)*VLOOKUP('Données projet'!$B$9,Paramètres!$A$1:$I$89,5,0)</f>
        <v>1.4931595481969364</v>
      </c>
      <c r="P6" s="14">
        <f t="shared" si="33"/>
        <v>0.6567382586916034</v>
      </c>
      <c r="Q6" s="22">
        <f t="shared" si="2"/>
        <v>3.74440534699754</v>
      </c>
      <c r="R6" s="62">
        <f t="shared" si="0"/>
        <v>264.07773868033087</v>
      </c>
      <c r="S6" s="62">
        <f ca="1">AVERAGE(OFFSET($R$3,0,0,'Données projet'!$E$9+1,1))-AVERAGE(OFFSET($H$3,0,0,'Données projet'!$E$9+1,1))</f>
        <v>207.03241199974599</v>
      </c>
      <c r="T6" s="62">
        <f t="shared" si="34"/>
        <v>314.188568589113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4.4000000000000004</v>
      </c>
      <c r="AI6" s="14">
        <f>IF('Données projet'!$A$62&gt;35,AI5+AH6-AQ5,IF(A6&lt;'Données projet'!$A$62,$AF$205^A6,IF(A6='Données projet'!$A$62,'Données projet'!$B$62,AI5+AH6-AQ5)))</f>
        <v>6.3893048289839696</v>
      </c>
      <c r="AJ6" s="14">
        <f>AI6*VLOOKUP('Données projet'!$B$10,Paramètres!$A$1:$I$89,3,0)*VLOOKUP('Données projet'!$B$10,Paramètres!$A$1:$I$89,5,0)</f>
        <v>5.7810430092646952</v>
      </c>
      <c r="AK6" s="14">
        <f t="shared" si="35"/>
        <v>2.1720046143040199</v>
      </c>
      <c r="AL6" s="22">
        <f t="shared" si="4"/>
        <v>13.851557944382177</v>
      </c>
      <c r="AM6" s="62">
        <f t="shared" si="5"/>
        <v>274.18489127771551</v>
      </c>
      <c r="AN6" s="62">
        <f ca="1">AVERAGE(OFFSET($AM$3,0,0,'Données projet'!$E$10+1,1))-AVERAGE(OFFSET($H$3,0,0,'Données projet'!$E$10+1,1))</f>
        <v>245.25496369542458</v>
      </c>
      <c r="AO6" s="62">
        <f t="shared" si="36"/>
        <v>342.30266518164211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1.8269230769230771</v>
      </c>
      <c r="BD6" s="13">
        <f>IF('Données projet'!$A$88&gt;35,BD5+BC6-BL5,IF(A6&lt;'Données projet'!$A$88,$BA$205^A6,IF(A6='Données projet'!$A$88,'Données projet'!$B$88,BD5+BC6-BL5)))</f>
        <v>1.7155861780246975</v>
      </c>
      <c r="BE6" s="14">
        <f>BD6*VLOOKUP('Données projet'!$B$11,Paramètres!$A$1:$I$89,3,0)*VLOOKUP('Données projet'!$B$11,Paramètres!$A$1:$I$89,5,0)</f>
        <v>1.7931306732714141</v>
      </c>
      <c r="BF6" s="14">
        <f t="shared" si="37"/>
        <v>0.77204670669299325</v>
      </c>
      <c r="BG6" s="22">
        <f t="shared" si="7"/>
        <v>4.4676839367713423</v>
      </c>
      <c r="BH6" s="62">
        <f t="shared" si="8"/>
        <v>264.80101727010464</v>
      </c>
      <c r="BI6" s="62">
        <f ca="1">AVERAGE(OFFSET($BH$3,0,0,'Données projet'!$E$11+1,1))-AVERAGE(OFFSET($H$3,0,0,'Données projet'!$E$11+1,1))</f>
        <v>377.78532142539677</v>
      </c>
      <c r="BJ6" s="62">
        <f t="shared" si="38"/>
        <v>234.27695813539111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1.525079577962547</v>
      </c>
      <c r="CA6" s="14">
        <f t="shared" si="39"/>
        <v>0.6691281837366525</v>
      </c>
      <c r="CB6" s="22">
        <f t="shared" si="10"/>
        <v>3.8215785182927724</v>
      </c>
      <c r="CC6" s="62">
        <f t="shared" si="11"/>
        <v>264.15491185162608</v>
      </c>
      <c r="CD6" s="62">
        <f ca="1">AVERAGE(OFFSET($CC$3,0,0,'Données projet'!$E$12+1,1))-AVERAGE(OFFSET($H$3,0,0,'Données projet'!$E$12+1,1))</f>
        <v>360.32217613090035</v>
      </c>
      <c r="CE6" s="62">
        <f t="shared" si="40"/>
        <v>159.6134369231965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3.4358974358974361</v>
      </c>
      <c r="CT6" s="13">
        <f>IF('Données projet'!$A$140&gt;35,CT5+CS6-DB5,IF(A6&lt;'Données projet'!$A$140,$CQ$205^A6,IF(A6='Données projet'!$A$140,'Données projet'!$B$140,CT5+CS6-DB5)))</f>
        <v>1.5897035519718676</v>
      </c>
      <c r="CU6" s="18">
        <f>CT6*VLOOKUP('Données projet'!$B$13,Paramètres!$A$1:$I$89,3,0)*VLOOKUP('Données projet'!$B$13,Paramètres!$A$1:$I$89,5,0)</f>
        <v>0.74398126232283412</v>
      </c>
      <c r="CV6" s="14">
        <f t="shared" si="41"/>
        <v>0.35486588134445163</v>
      </c>
      <c r="CW6" s="22">
        <f t="shared" si="13"/>
        <v>1.9138254418871894</v>
      </c>
      <c r="CX6" s="62">
        <f t="shared" si="14"/>
        <v>262.2471587752205</v>
      </c>
      <c r="CY6" s="62">
        <f ca="1">AVERAGE(OFFSET($CX$3,0,0,'Données projet'!$E$13+1,1))-AVERAGE(OFFSET($H$3,0,0,'Données projet'!$E$13+1,1))</f>
        <v>246.64907095367749</v>
      </c>
      <c r="CZ6" s="62">
        <f t="shared" si="42"/>
        <v>145.34368562171613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3.2392083333333335</v>
      </c>
      <c r="N7" s="14">
        <f>IF('Données projet'!$A$36&gt;35,N6+M7-V6,IF(A7&lt;'Données projet'!$A$36,$K$205^A7,IF(A7='Données projet'!$A$36,'Données projet'!$B$36,N6+M7-V6)))</f>
        <v>3.3874537604378059</v>
      </c>
      <c r="O7" s="14">
        <f>N7*VLOOKUP('Données projet'!$B$9,Paramètres!$A$1:$I$89,3,0)*VLOOKUP('Données projet'!$B$9,Paramètres!$A$1:$I$89,5,0)</f>
        <v>2.025697348741808</v>
      </c>
      <c r="P7" s="14">
        <f t="shared" si="33"/>
        <v>0.85988692592849703</v>
      </c>
      <c r="Q7" s="22">
        <f t="shared" si="2"/>
        <v>5.0257259450507812</v>
      </c>
      <c r="R7" s="62">
        <f t="shared" si="0"/>
        <v>266.58128150060634</v>
      </c>
      <c r="S7" s="62">
        <f ca="1">AVERAGE(OFFSET($R$3,0,0,'Données projet'!$E$9+1,1))-AVERAGE(OFFSET($H$3,0,0,'Données projet'!$E$9+1,1))</f>
        <v>207.03241199974599</v>
      </c>
      <c r="T7" s="62">
        <f t="shared" si="34"/>
        <v>314.188568589113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4.4000000000000004</v>
      </c>
      <c r="AI7" s="14">
        <f>IF('Données projet'!$A$62&gt;35,AI6+AH7-AQ6,IF(A7&lt;'Données projet'!$A$62,$AF$205^A7,IF(A7='Données projet'!$A$62,'Données projet'!$B$62,AI6+AH7-AQ6)))</f>
        <v>11.855998744839988</v>
      </c>
      <c r="AJ7" s="14">
        <f>AI7*VLOOKUP('Données projet'!$B$10,Paramètres!$A$1:$I$89,3,0)*VLOOKUP('Données projet'!$B$10,Paramètres!$A$1:$I$89,5,0)</f>
        <v>10.727307664331221</v>
      </c>
      <c r="AK7" s="14">
        <f t="shared" si="35"/>
        <v>3.7505389470771635</v>
      </c>
      <c r="AL7" s="22">
        <f t="shared" si="4"/>
        <v>25.215582848202938</v>
      </c>
      <c r="AM7" s="62">
        <f t="shared" si="5"/>
        <v>286.77113840375847</v>
      </c>
      <c r="AN7" s="62">
        <f ca="1">AVERAGE(OFFSET($AM$3,0,0,'Données projet'!$E$10+1,1))-AVERAGE(OFFSET($H$3,0,0,'Données projet'!$E$10+1,1))</f>
        <v>245.25496369542458</v>
      </c>
      <c r="AO7" s="62">
        <f t="shared" si="36"/>
        <v>342.30266518164211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1.8269230769230771</v>
      </c>
      <c r="BD7" s="13">
        <f>IF('Données projet'!$A$88&gt;35,BD6+BC7-BL6,IF(A7&lt;'Données projet'!$A$88,$BA$205^A7,IF(A7='Données projet'!$A$88,'Données projet'!$B$88,BD6+BC7-BL6)))</f>
        <v>2.0537617042422207</v>
      </c>
      <c r="BE7" s="14">
        <f>BD7*VLOOKUP('Données projet'!$B$11,Paramètres!$A$1:$I$89,3,0)*VLOOKUP('Données projet'!$B$11,Paramètres!$A$1:$I$89,5,0)</f>
        <v>2.1465917332739695</v>
      </c>
      <c r="BF7" s="14">
        <f t="shared" si="37"/>
        <v>0.90507773453220719</v>
      </c>
      <c r="BG7" s="22">
        <f t="shared" si="7"/>
        <v>5.3149909897624239</v>
      </c>
      <c r="BH7" s="62">
        <f t="shared" si="8"/>
        <v>266.87054654531795</v>
      </c>
      <c r="BI7" s="62">
        <f ca="1">AVERAGE(OFFSET($BH$3,0,0,'Données projet'!$E$11+1,1))-AVERAGE(OFFSET($H$3,0,0,'Données projet'!$E$11+1,1))</f>
        <v>377.78532142539677</v>
      </c>
      <c r="BJ7" s="62">
        <f t="shared" si="38"/>
        <v>234.27695813539111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1.7473397460616347</v>
      </c>
      <c r="CA7" s="14">
        <f t="shared" si="39"/>
        <v>0.7545998185105095</v>
      </c>
      <c r="CB7" s="22">
        <f t="shared" si="10"/>
        <v>4.3575447416298188</v>
      </c>
      <c r="CC7" s="62">
        <f t="shared" si="11"/>
        <v>265.91310029718534</v>
      </c>
      <c r="CD7" s="62">
        <f ca="1">AVERAGE(OFFSET($CC$3,0,0,'Données projet'!$E$12+1,1))-AVERAGE(OFFSET($H$3,0,0,'Données projet'!$E$12+1,1))</f>
        <v>360.32217613090035</v>
      </c>
      <c r="CE7" s="62">
        <f t="shared" si="40"/>
        <v>159.6134369231965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3.4358974358974361</v>
      </c>
      <c r="CT7" s="13">
        <f>IF('Données projet'!$A$140&gt;35,CT6+CS7-DB6,IF(A7&lt;'Données projet'!$A$140,$CQ$205^A7,IF(A7='Données projet'!$A$140,'Données projet'!$B$140,CT6+CS7-DB6)))</f>
        <v>1.8553315342091854</v>
      </c>
      <c r="CU7" s="18">
        <f>CT7*VLOOKUP('Données projet'!$B$13,Paramètres!$A$1:$I$89,3,0)*VLOOKUP('Données projet'!$B$13,Paramètres!$A$1:$I$89,5,0)</f>
        <v>0.86829515800989876</v>
      </c>
      <c r="CV7" s="14">
        <f t="shared" si="41"/>
        <v>0.4067790344719715</v>
      </c>
      <c r="CW7" s="22">
        <f t="shared" si="13"/>
        <v>2.2207542185725906</v>
      </c>
      <c r="CX7" s="62">
        <f t="shared" si="14"/>
        <v>263.77630977412815</v>
      </c>
      <c r="CY7" s="62">
        <f ca="1">AVERAGE(OFFSET($CX$3,0,0,'Données projet'!$E$13+1,1))-AVERAGE(OFFSET($H$3,0,0,'Données projet'!$E$13+1,1))</f>
        <v>246.64907095367749</v>
      </c>
      <c r="CZ7" s="62">
        <f t="shared" si="42"/>
        <v>145.34368562171613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3.2392083333333335</v>
      </c>
      <c r="N8" s="14">
        <f>IF('Données projet'!$A$36&gt;35,N7+M8-V7,IF(A8&lt;'Données projet'!$A$36,$K$205^A8,IF(A8='Données projet'!$A$36,'Données projet'!$B$36,N7+M8-V7)))</f>
        <v>4.5955946970238246</v>
      </c>
      <c r="O8" s="14">
        <f>N8*VLOOKUP('Données projet'!$B$9,Paramètres!$A$1:$I$89,3,0)*VLOOKUP('Données projet'!$B$9,Paramètres!$A$1:$I$89,5,0)</f>
        <v>2.7481656288202476</v>
      </c>
      <c r="P8" s="14">
        <f t="shared" si="33"/>
        <v>1.1258755152408089</v>
      </c>
      <c r="Q8" s="22">
        <f t="shared" si="2"/>
        <v>6.7472883259063394</v>
      </c>
      <c r="R8" s="62">
        <f t="shared" si="0"/>
        <v>269.52506610368414</v>
      </c>
      <c r="S8" s="62">
        <f ca="1">AVERAGE(OFFSET($R$3,0,0,'Données projet'!$E$9+1,1))-AVERAGE(OFFSET($H$3,0,0,'Données projet'!$E$9+1,1))</f>
        <v>207.03241199974599</v>
      </c>
      <c r="T8" s="62">
        <f t="shared" si="34"/>
        <v>314.188568589113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22</v>
      </c>
      <c r="AG8" s="13">
        <f>VLOOKUP(A8,'Données projet'!$A$61:$I$81,9,0)</f>
        <v>4.4000000000000004</v>
      </c>
      <c r="AH8" s="13">
        <f t="array" ref="AH8">INDEX(AG:AG,MIN(IF(ISNUMBER(AG8:AG204),ROW(AG8:AG204),"")))</f>
        <v>4.4000000000000004</v>
      </c>
      <c r="AI8" s="14">
        <f>IF('Données projet'!$A$62&gt;35,AI7+AH8-AQ7,IF(A8&lt;'Données projet'!$A$62,$AF$205^A8,IF(A8='Données projet'!$A$62,'Données projet'!$B$62,AI7+AH8-AQ7)))</f>
        <v>22</v>
      </c>
      <c r="AJ8" s="14">
        <f>AI8*VLOOKUP('Données projet'!$B$10,Paramètres!$A$1:$I$89,3,0)*VLOOKUP('Données projet'!$B$10,Paramètres!$A$1:$I$89,5,0)</f>
        <v>19.9056</v>
      </c>
      <c r="AK8" s="14">
        <f t="shared" si="35"/>
        <v>6.4762948940833853</v>
      </c>
      <c r="AL8" s="22">
        <f t="shared" si="4"/>
        <v>45.948466940528562</v>
      </c>
      <c r="AM8" s="62">
        <f t="shared" si="5"/>
        <v>308.72624471830636</v>
      </c>
      <c r="AN8" s="62">
        <f ca="1">AVERAGE(OFFSET($AM$3,0,0,'Données projet'!$E$10+1,1))-AVERAGE(OFFSET($H$3,0,0,'Données projet'!$E$10+1,1))</f>
        <v>245.25496369542458</v>
      </c>
      <c r="AO8" s="62">
        <f t="shared" si="36"/>
        <v>342.30266518164211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1.8269230769230771</v>
      </c>
      <c r="BD8" s="13">
        <f>IF('Données projet'!$A$88&gt;35,BD7+BC8-BL7,IF(A8&lt;'Données projet'!$A$88,$BA$205^A8,IF(A8='Données projet'!$A$88,'Données projet'!$B$88,BD7+BC8-BL7)))</f>
        <v>2.4585982283142349</v>
      </c>
      <c r="BE8" s="14">
        <f>BD8*VLOOKUP('Données projet'!$B$11,Paramètres!$A$1:$I$89,3,0)*VLOOKUP('Données projet'!$B$11,Paramètres!$A$1:$I$89,5,0)</f>
        <v>2.5697268682340386</v>
      </c>
      <c r="BF8" s="14">
        <f t="shared" si="37"/>
        <v>1.0610312801602253</v>
      </c>
      <c r="BG8" s="22">
        <f t="shared" si="7"/>
        <v>6.3235704417866758</v>
      </c>
      <c r="BH8" s="62">
        <f t="shared" si="8"/>
        <v>269.10134821956444</v>
      </c>
      <c r="BI8" s="62">
        <f ca="1">AVERAGE(OFFSET($BH$3,0,0,'Données projet'!$E$11+1,1))-AVERAGE(OFFSET($H$3,0,0,'Données projet'!$E$11+1,1))</f>
        <v>377.78532142539677</v>
      </c>
      <c r="BJ8" s="62">
        <f t="shared" si="38"/>
        <v>234.27695813539111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2.0019913926365076</v>
      </c>
      <c r="CA8" s="14">
        <f t="shared" si="39"/>
        <v>0.85098924232460604</v>
      </c>
      <c r="CB8" s="22">
        <f t="shared" si="10"/>
        <v>4.9689412725572728</v>
      </c>
      <c r="CC8" s="62">
        <f t="shared" si="11"/>
        <v>267.74671905033506</v>
      </c>
      <c r="CD8" s="62">
        <f ca="1">AVERAGE(OFFSET($CC$3,0,0,'Données projet'!$E$12+1,1))-AVERAGE(OFFSET($H$3,0,0,'Données projet'!$E$12+1,1))</f>
        <v>360.32217613090035</v>
      </c>
      <c r="CE8" s="62">
        <f t="shared" si="40"/>
        <v>159.6134369231965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3.4358974358974361</v>
      </c>
      <c r="CT8" s="13">
        <f>IF('Données projet'!$A$140&gt;35,CT7+CS8-DB7,IF(A8&lt;'Données projet'!$A$140,$CQ$205^A8,IF(A8='Données projet'!$A$140,'Données projet'!$B$140,CT7+CS8-DB7)))</f>
        <v>2.1653440338365213</v>
      </c>
      <c r="CU8" s="18">
        <f>CT8*VLOOKUP('Données projet'!$B$13,Paramètres!$A$1:$I$89,3,0)*VLOOKUP('Données projet'!$B$13,Paramètres!$A$1:$I$89,5,0)</f>
        <v>1.0133810078354919</v>
      </c>
      <c r="CV8" s="14">
        <f t="shared" si="41"/>
        <v>0.46628653692783789</v>
      </c>
      <c r="CW8" s="22">
        <f t="shared" si="13"/>
        <v>2.5770876404627994</v>
      </c>
      <c r="CX8" s="62">
        <f t="shared" si="14"/>
        <v>265.35486541824059</v>
      </c>
      <c r="CY8" s="62">
        <f ca="1">AVERAGE(OFFSET($CX$3,0,0,'Données projet'!$E$13+1,1))-AVERAGE(OFFSET($H$3,0,0,'Données projet'!$E$13+1,1))</f>
        <v>246.64907095367749</v>
      </c>
      <c r="CZ8" s="62">
        <f t="shared" si="42"/>
        <v>145.34368562171613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3.2392083333333335</v>
      </c>
      <c r="N9" s="14">
        <f>IF('Données projet'!$A$36&gt;35,N8+M9-V8,IF(A9&lt;'Données projet'!$A$36,$K$205^A9,IF(A9='Données projet'!$A$36,'Données projet'!$B$36,N8+M9-V8)))</f>
        <v>6.2346210791033627</v>
      </c>
      <c r="O9" s="14">
        <f>N9*VLOOKUP('Données projet'!$B$9,Paramètres!$A$1:$I$89,3,0)*VLOOKUP('Données projet'!$B$9,Paramètres!$A$1:$I$89,5,0)</f>
        <v>3.7283034053038109</v>
      </c>
      <c r="P9" s="14">
        <f t="shared" si="33"/>
        <v>1.4741422826611996</v>
      </c>
      <c r="Q9" s="22">
        <f t="shared" si="2"/>
        <v>9.0609262398723924</v>
      </c>
      <c r="R9" s="62">
        <f t="shared" si="0"/>
        <v>273.0609262398724</v>
      </c>
      <c r="S9" s="62">
        <f ca="1">AVERAGE(OFFSET($R$3,0,0,'Données projet'!$E$9+1,1))-AVERAGE(OFFSET($H$3,0,0,'Données projet'!$E$9+1,1))</f>
        <v>207.03241199974599</v>
      </c>
      <c r="T9" s="62">
        <f t="shared" si="34"/>
        <v>314.188568589113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8.4</v>
      </c>
      <c r="AI9" s="14">
        <f>IF('Données projet'!$A$62&gt;35,AI8+AH9-AQ8,IF(A9&lt;'Données projet'!$A$62,$AF$205^A9,IF(A9='Données projet'!$A$62,'Données projet'!$B$62,AI8+AH9-AQ8)))</f>
        <v>30.4</v>
      </c>
      <c r="AJ9" s="14">
        <f>AI9*VLOOKUP('Données projet'!$B$10,Paramètres!$A$1:$I$89,3,0)*VLOOKUP('Données projet'!$B$10,Paramètres!$A$1:$I$89,5,0)</f>
        <v>27.505919999999996</v>
      </c>
      <c r="AK9" s="14">
        <f t="shared" si="35"/>
        <v>8.6184473637668919</v>
      </c>
      <c r="AL9" s="22">
        <f t="shared" si="4"/>
        <v>62.916606491893987</v>
      </c>
      <c r="AM9" s="62">
        <f t="shared" si="5"/>
        <v>326.91660649189396</v>
      </c>
      <c r="AN9" s="62">
        <f ca="1">AVERAGE(OFFSET($AM$3,0,0,'Données projet'!$E$10+1,1))-AVERAGE(OFFSET($H$3,0,0,'Données projet'!$E$10+1,1))</f>
        <v>245.25496369542458</v>
      </c>
      <c r="AO9" s="62">
        <f t="shared" si="36"/>
        <v>342.30266518164211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1.8269230769230771</v>
      </c>
      <c r="BD9" s="13">
        <f>IF('Données projet'!$A$88&gt;35,BD8+BC9-BL8,IF(A9&lt;'Données projet'!$A$88,$BA$205^A9,IF(A9='Données projet'!$A$88,'Données projet'!$B$88,BD8+BC9-BL8)))</f>
        <v>2.943235934229389</v>
      </c>
      <c r="BE9" s="14">
        <f>BD9*VLOOKUP('Données projet'!$B$11,Paramètres!$A$1:$I$89,3,0)*VLOOKUP('Données projet'!$B$11,Paramètres!$A$1:$I$89,5,0)</f>
        <v>3.0762701984565579</v>
      </c>
      <c r="BF9" s="14">
        <f t="shared" si="37"/>
        <v>1.2438571125167652</v>
      </c>
      <c r="BG9" s="22">
        <f t="shared" si="7"/>
        <v>7.5242217332785373</v>
      </c>
      <c r="BH9" s="62">
        <f t="shared" si="8"/>
        <v>271.52422173327852</v>
      </c>
      <c r="BI9" s="62">
        <f ca="1">AVERAGE(OFFSET($BH$3,0,0,'Données projet'!$E$11+1,1))-AVERAGE(OFFSET($H$3,0,0,'Données projet'!$E$11+1,1))</f>
        <v>377.78532142539677</v>
      </c>
      <c r="BJ9" s="62">
        <f t="shared" si="38"/>
        <v>234.27695813539111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2.2937551470595863</v>
      </c>
      <c r="CA9" s="14">
        <f t="shared" si="39"/>
        <v>0.95969104787443238</v>
      </c>
      <c r="CB9" s="22">
        <f t="shared" si="10"/>
        <v>5.6664187895100824</v>
      </c>
      <c r="CC9" s="62">
        <f t="shared" si="11"/>
        <v>269.66641878951009</v>
      </c>
      <c r="CD9" s="62">
        <f ca="1">AVERAGE(OFFSET($CC$3,0,0,'Données projet'!$E$12+1,1))-AVERAGE(OFFSET($H$3,0,0,'Données projet'!$E$12+1,1))</f>
        <v>360.32217613090035</v>
      </c>
      <c r="CE9" s="62">
        <f t="shared" si="40"/>
        <v>159.6134369231965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3.4358974358974361</v>
      </c>
      <c r="CT9" s="13">
        <f>IF('Données projet'!$A$140&gt;35,CT8+CS9-DB8,IF(A9&lt;'Données projet'!$A$140,$CQ$205^A9,IF(A9='Données projet'!$A$140,'Données projet'!$B$140,CT8+CS9-DB8)))</f>
        <v>2.5271573831519722</v>
      </c>
      <c r="CU9" s="18">
        <f>CT9*VLOOKUP('Données projet'!$B$13,Paramètres!$A$1:$I$89,3,0)*VLOOKUP('Données projet'!$B$13,Paramètres!$A$1:$I$89,5,0)</f>
        <v>1.1827096553151231</v>
      </c>
      <c r="CV9" s="14">
        <f t="shared" si="41"/>
        <v>0.53449936229478223</v>
      </c>
      <c r="CW9" s="22">
        <f t="shared" si="13"/>
        <v>2.990805705670585</v>
      </c>
      <c r="CX9" s="62">
        <f t="shared" si="14"/>
        <v>266.9908057056706</v>
      </c>
      <c r="CY9" s="62">
        <f ca="1">AVERAGE(OFFSET($CX$3,0,0,'Données projet'!$E$13+1,1))-AVERAGE(OFFSET($H$3,0,0,'Données projet'!$E$13+1,1))</f>
        <v>246.64907095367749</v>
      </c>
      <c r="CZ9" s="62">
        <f t="shared" si="42"/>
        <v>145.34368562171613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3.2392083333333335</v>
      </c>
      <c r="N10" s="14">
        <f>IF('Données projet'!$A$36&gt;35,N9+M10-V9,IF(A10&lt;'Données projet'!$A$36,$K$205^A10,IF(A10='Données projet'!$A$36,'Données projet'!$B$36,N9+M10-V9)))</f>
        <v>8.458208907146032</v>
      </c>
      <c r="O10" s="14">
        <f>N10*VLOOKUP('Données projet'!$B$9,Paramètres!$A$1:$I$89,3,0)*VLOOKUP('Données projet'!$B$9,Paramètres!$A$1:$I$89,5,0)</f>
        <v>5.0580089264733274</v>
      </c>
      <c r="P10" s="14">
        <f t="shared" si="33"/>
        <v>1.9301383146828432</v>
      </c>
      <c r="Q10" s="22">
        <f t="shared" si="2"/>
        <v>12.171023111680329</v>
      </c>
      <c r="R10" s="62">
        <f t="shared" si="0"/>
        <v>277.39324533390254</v>
      </c>
      <c r="S10" s="62">
        <f ca="1">AVERAGE(OFFSET($R$3,0,0,'Données projet'!$E$9+1,1))-AVERAGE(OFFSET($H$3,0,0,'Données projet'!$E$9+1,1))</f>
        <v>207.03241199974599</v>
      </c>
      <c r="T10" s="62">
        <f t="shared" si="34"/>
        <v>314.188568589113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8.4</v>
      </c>
      <c r="AI10" s="14">
        <f>IF('Données projet'!$A$62&gt;35,AI9+AH10-AQ9,IF(A10&lt;'Données projet'!$A$62,$AF$205^A10,IF(A10='Données projet'!$A$62,'Données projet'!$B$62,AI9+AH10-AQ9)))</f>
        <v>38.799999999999997</v>
      </c>
      <c r="AJ10" s="14">
        <f>AI10*VLOOKUP('Données projet'!$B$10,Paramètres!$A$1:$I$89,3,0)*VLOOKUP('Données projet'!$B$10,Paramètres!$A$1:$I$89,5,0)</f>
        <v>35.10624</v>
      </c>
      <c r="AK10" s="14">
        <f t="shared" si="35"/>
        <v>10.691869463144661</v>
      </c>
      <c r="AL10" s="22">
        <f t="shared" si="4"/>
        <v>79.76504064831029</v>
      </c>
      <c r="AM10" s="62">
        <f t="shared" si="5"/>
        <v>344.9872628705325</v>
      </c>
      <c r="AN10" s="62">
        <f ca="1">AVERAGE(OFFSET($AM$3,0,0,'Données projet'!$E$10+1,1))-AVERAGE(OFFSET($H$3,0,0,'Données projet'!$E$10+1,1))</f>
        <v>245.25496369542458</v>
      </c>
      <c r="AO10" s="62">
        <f t="shared" si="36"/>
        <v>342.30266518164211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1.8269230769230771</v>
      </c>
      <c r="BD10" s="13">
        <f>IF('Données projet'!$A$88&gt;35,BD9+BC10-BL9,IF(A10&lt;'Données projet'!$A$88,$BA$205^A10,IF(A10='Données projet'!$A$88,'Données projet'!$B$88,BD9+BC10-BL9)))</f>
        <v>3.5234051927544003</v>
      </c>
      <c r="BE10" s="14">
        <f>BD10*VLOOKUP('Données projet'!$B$11,Paramètres!$A$1:$I$89,3,0)*VLOOKUP('Données projet'!$B$11,Paramètres!$A$1:$I$89,5,0)</f>
        <v>3.6826631074668992</v>
      </c>
      <c r="BF10" s="14">
        <f t="shared" si="37"/>
        <v>1.4581855834871391</v>
      </c>
      <c r="BG10" s="22">
        <f t="shared" si="7"/>
        <v>8.9536448034116152</v>
      </c>
      <c r="BH10" s="62">
        <f t="shared" si="8"/>
        <v>274.17586702563386</v>
      </c>
      <c r="BI10" s="62">
        <f ca="1">AVERAGE(OFFSET($BH$3,0,0,'Données projet'!$E$11+1,1))-AVERAGE(OFFSET($H$3,0,0,'Données projet'!$E$11+1,1))</f>
        <v>377.78532142539677</v>
      </c>
      <c r="BJ10" s="62">
        <f t="shared" si="38"/>
        <v>234.27695813539111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2.6280396079692911</v>
      </c>
      <c r="CA10" s="14">
        <f t="shared" si="39"/>
        <v>1.082277967291873</v>
      </c>
      <c r="CB10" s="22">
        <f t="shared" si="10"/>
        <v>6.4621364435798609</v>
      </c>
      <c r="CC10" s="62">
        <f t="shared" si="11"/>
        <v>271.68435866580211</v>
      </c>
      <c r="CD10" s="62">
        <f ca="1">AVERAGE(OFFSET($CC$3,0,0,'Données projet'!$E$12+1,1))-AVERAGE(OFFSET($H$3,0,0,'Données projet'!$E$12+1,1))</f>
        <v>360.32217613090035</v>
      </c>
      <c r="CE10" s="62">
        <f t="shared" si="40"/>
        <v>159.6134369231965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3.4358974358974361</v>
      </c>
      <c r="CT10" s="13">
        <f>IF('Données projet'!$A$140&gt;35,CT9+CS10-DB9,IF(A10&lt;'Données projet'!$A$140,$CQ$205^A10,IF(A10='Données projet'!$A$140,'Données projet'!$B$140,CT9+CS10-DB9)))</f>
        <v>2.9494271300177566</v>
      </c>
      <c r="CU10" s="18">
        <f>CT10*VLOOKUP('Données projet'!$B$13,Paramètres!$A$1:$I$89,3,0)*VLOOKUP('Données projet'!$B$13,Paramètres!$A$1:$I$89,5,0)</f>
        <v>1.38033189684831</v>
      </c>
      <c r="CV10" s="14">
        <f t="shared" si="41"/>
        <v>0.6126910079279041</v>
      </c>
      <c r="CW10" s="22">
        <f t="shared" si="13"/>
        <v>3.4711815591519066</v>
      </c>
      <c r="CX10" s="62">
        <f t="shared" si="14"/>
        <v>268.69340378137412</v>
      </c>
      <c r="CY10" s="62">
        <f ca="1">AVERAGE(OFFSET($CX$3,0,0,'Données projet'!$E$13+1,1))-AVERAGE(OFFSET($H$3,0,0,'Données projet'!$E$13+1,1))</f>
        <v>246.64907095367749</v>
      </c>
      <c r="CZ10" s="62">
        <f t="shared" si="42"/>
        <v>145.34368562171613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3.2392083333333335</v>
      </c>
      <c r="N11" s="14">
        <f>IF('Données projet'!$A$36&gt;35,N10+M11-V10,IF(A11&lt;'Données projet'!$A$36,$K$205^A11,IF(A11='Données projet'!$A$36,'Données projet'!$B$36,N10+M11-V10)))</f>
        <v>11.474842979104231</v>
      </c>
      <c r="O11" s="14">
        <f>N11*VLOOKUP('Données projet'!$B$9,Paramètres!$A$1:$I$89,3,0)*VLOOKUP('Données projet'!$B$9,Paramètres!$A$1:$I$89,5,0)</f>
        <v>6.8619561015043313</v>
      </c>
      <c r="P11" s="14">
        <f t="shared" si="33"/>
        <v>2.5271874754731107</v>
      </c>
      <c r="Q11" s="22">
        <f t="shared" si="2"/>
        <v>16.352758396569048</v>
      </c>
      <c r="R11" s="62">
        <f t="shared" si="0"/>
        <v>282.79720284101353</v>
      </c>
      <c r="S11" s="62">
        <f ca="1">AVERAGE(OFFSET($R$3,0,0,'Données projet'!$E$9+1,1))-AVERAGE(OFFSET($H$3,0,0,'Données projet'!$E$9+1,1))</f>
        <v>207.03241199974599</v>
      </c>
      <c r="T11" s="62">
        <f t="shared" si="34"/>
        <v>314.188568589113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8.4</v>
      </c>
      <c r="AI11" s="14">
        <f>IF('Données projet'!$A$62&gt;35,AI10+AH11-AQ10,IF(A11&lt;'Données projet'!$A$62,$AF$205^A11,IF(A11='Données projet'!$A$62,'Données projet'!$B$62,AI10+AH11-AQ10)))</f>
        <v>47.199999999999996</v>
      </c>
      <c r="AJ11" s="14">
        <f>AI11*VLOOKUP('Données projet'!$B$10,Paramètres!$A$1:$I$89,3,0)*VLOOKUP('Données projet'!$B$10,Paramètres!$A$1:$I$89,5,0)</f>
        <v>42.706559999999989</v>
      </c>
      <c r="AK11" s="14">
        <f t="shared" si="35"/>
        <v>12.713264572642883</v>
      </c>
      <c r="AL11" s="22">
        <f t="shared" si="4"/>
        <v>96.522861130686337</v>
      </c>
      <c r="AM11" s="62">
        <f t="shared" si="5"/>
        <v>362.96730557513081</v>
      </c>
      <c r="AN11" s="62">
        <f ca="1">AVERAGE(OFFSET($AM$3,0,0,'Données projet'!$E$10+1,1))-AVERAGE(OFFSET($H$3,0,0,'Données projet'!$E$10+1,1))</f>
        <v>245.25496369542458</v>
      </c>
      <c r="AO11" s="62">
        <f t="shared" si="36"/>
        <v>342.30266518164211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1.8269230769230771</v>
      </c>
      <c r="BD11" s="13">
        <f>IF('Données projet'!$A$88&gt;35,BD10+BC11-BL10,IF(A11&lt;'Données projet'!$A$88,$BA$205^A11,IF(A11='Données projet'!$A$88,'Données projet'!$B$88,BD10+BC11-BL10)))</f>
        <v>4.2179371378119113</v>
      </c>
      <c r="BE11" s="14">
        <f>BD11*VLOOKUP('Données projet'!$B$11,Paramètres!$A$1:$I$89,3,0)*VLOOKUP('Données projet'!$B$11,Paramètres!$A$1:$I$89,5,0)</f>
        <v>4.4085878964410101</v>
      </c>
      <c r="BF11" s="14">
        <f t="shared" si="37"/>
        <v>1.7094448988497224</v>
      </c>
      <c r="BG11" s="22">
        <f t="shared" si="7"/>
        <v>10.655573785131358</v>
      </c>
      <c r="BH11" s="62">
        <f t="shared" si="8"/>
        <v>277.10001822957582</v>
      </c>
      <c r="BI11" s="62">
        <f ca="1">AVERAGE(OFFSET($BH$3,0,0,'Données projet'!$E$11+1,1))-AVERAGE(OFFSET($H$3,0,0,'Données projet'!$E$11+1,1))</f>
        <v>377.78532142539677</v>
      </c>
      <c r="BJ11" s="62">
        <f t="shared" si="38"/>
        <v>234.27695813539111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3.0110416056871174</v>
      </c>
      <c r="CA11" s="14">
        <f t="shared" si="39"/>
        <v>1.2205236269315363</v>
      </c>
      <c r="CB11" s="22">
        <f t="shared" si="10"/>
        <v>7.3699761134774882</v>
      </c>
      <c r="CC11" s="62">
        <f t="shared" si="11"/>
        <v>273.81442055792195</v>
      </c>
      <c r="CD11" s="62">
        <f ca="1">AVERAGE(OFFSET($CC$3,0,0,'Données projet'!$E$12+1,1))-AVERAGE(OFFSET($H$3,0,0,'Données projet'!$E$12+1,1))</f>
        <v>360.32217613090035</v>
      </c>
      <c r="CE11" s="62">
        <f t="shared" si="40"/>
        <v>159.6134369231965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3.4358974358974361</v>
      </c>
      <c r="CT11" s="13">
        <f>IF('Données projet'!$A$140&gt;35,CT10+CS11-DB10,IF(A11&lt;'Données projet'!$A$140,$CQ$205^A11,IF(A11='Données projet'!$A$140,'Données projet'!$B$140,CT10+CS11-DB10)))</f>
        <v>3.4422551018310097</v>
      </c>
      <c r="CU11" s="18">
        <f>CT11*VLOOKUP('Données projet'!$B$13,Paramètres!$A$1:$I$89,3,0)*VLOOKUP('Données projet'!$B$13,Paramètres!$A$1:$I$89,5,0)</f>
        <v>1.6109753876569124</v>
      </c>
      <c r="CV11" s="14">
        <f t="shared" si="41"/>
        <v>0.70232127047642601</v>
      </c>
      <c r="CW11" s="22">
        <f t="shared" si="13"/>
        <v>4.0289916795822309</v>
      </c>
      <c r="CX11" s="62">
        <f t="shared" si="14"/>
        <v>270.4734361240267</v>
      </c>
      <c r="CY11" s="62">
        <f ca="1">AVERAGE(OFFSET($CX$3,0,0,'Données projet'!$E$13+1,1))-AVERAGE(OFFSET($H$3,0,0,'Données projet'!$E$13+1,1))</f>
        <v>246.64907095367749</v>
      </c>
      <c r="CZ11" s="62">
        <f t="shared" si="42"/>
        <v>145.34368562171613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3.2392083333333335</v>
      </c>
      <c r="N12" s="14">
        <f>IF('Données projet'!$A$36&gt;35,N11+M12-V11,IF(A12&lt;'Données projet'!$A$36,$K$205^A12,IF(A12='Données projet'!$A$36,'Données projet'!$B$36,N11+M12-V11)))</f>
        <v>15.567364537881392</v>
      </c>
      <c r="O12" s="14">
        <f>N12*VLOOKUP('Données projet'!$B$9,Paramètres!$A$1:$I$89,3,0)*VLOOKUP('Données projet'!$B$9,Paramètres!$A$1:$I$89,5,0)</f>
        <v>9.3092839936530734</v>
      </c>
      <c r="P12" s="14">
        <f t="shared" si="33"/>
        <v>3.3089216910538366</v>
      </c>
      <c r="Q12" s="22">
        <f t="shared" si="2"/>
        <v>21.976708234197869</v>
      </c>
      <c r="R12" s="62">
        <f t="shared" si="0"/>
        <v>289.64337490086456</v>
      </c>
      <c r="S12" s="62">
        <f ca="1">AVERAGE(OFFSET($R$3,0,0,'Données projet'!$E$9+1,1))-AVERAGE(OFFSET($H$3,0,0,'Données projet'!$E$9+1,1))</f>
        <v>207.03241199974599</v>
      </c>
      <c r="T12" s="62">
        <f t="shared" si="34"/>
        <v>314.188568589113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8.4</v>
      </c>
      <c r="AI12" s="14">
        <f>IF('Données projet'!$A$62&gt;35,AI11+AH12-AQ11,IF(A12&lt;'Données projet'!$A$62,$AF$205^A12,IF(A12='Données projet'!$A$62,'Données projet'!$B$62,AI11+AH12-AQ11)))</f>
        <v>55.599999999999994</v>
      </c>
      <c r="AJ12" s="14">
        <f>AI12*VLOOKUP('Données projet'!$B$10,Paramètres!$A$1:$I$89,3,0)*VLOOKUP('Données projet'!$B$10,Paramètres!$A$1:$I$89,5,0)</f>
        <v>50.30688</v>
      </c>
      <c r="AK12" s="14">
        <f t="shared" si="35"/>
        <v>14.692984516272311</v>
      </c>
      <c r="AL12" s="22">
        <f t="shared" si="4"/>
        <v>113.20809736584094</v>
      </c>
      <c r="AM12" s="62">
        <f t="shared" si="5"/>
        <v>380.87476403250764</v>
      </c>
      <c r="AN12" s="62">
        <f ca="1">AVERAGE(OFFSET($AM$3,0,0,'Données projet'!$E$10+1,1))-AVERAGE(OFFSET($H$3,0,0,'Données projet'!$E$10+1,1))</f>
        <v>245.25496369542458</v>
      </c>
      <c r="AO12" s="62">
        <f t="shared" si="36"/>
        <v>342.30266518164211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1.8269230769230771</v>
      </c>
      <c r="BD12" s="13">
        <f>IF('Données projet'!$A$88&gt;35,BD11+BC12-BL11,IF(A12&lt;'Données projet'!$A$88,$BA$205^A12,IF(A12='Données projet'!$A$88,'Données projet'!$B$88,BD11+BC12-BL11)))</f>
        <v>5.0493748874295479</v>
      </c>
      <c r="BE12" s="14">
        <f>BD12*VLOOKUP('Données projet'!$B$11,Paramètres!$A$1:$I$89,3,0)*VLOOKUP('Données projet'!$B$11,Paramètres!$A$1:$I$89,5,0)</f>
        <v>5.2776066323413637</v>
      </c>
      <c r="BF12" s="14">
        <f t="shared" si="37"/>
        <v>2.0039985961286999</v>
      </c>
      <c r="BG12" s="22">
        <f t="shared" si="7"/>
        <v>12.682129106252026</v>
      </c>
      <c r="BH12" s="62">
        <f t="shared" si="8"/>
        <v>280.34879577291872</v>
      </c>
      <c r="BI12" s="62">
        <f ca="1">AVERAGE(OFFSET($BH$3,0,0,'Données projet'!$E$11+1,1))-AVERAGE(OFFSET($H$3,0,0,'Données projet'!$E$11+1,1))</f>
        <v>377.78532142539677</v>
      </c>
      <c r="BJ12" s="62">
        <f t="shared" si="38"/>
        <v>234.27695813539111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3.4498610765552797</v>
      </c>
      <c r="CA12" s="14">
        <f t="shared" si="39"/>
        <v>1.3764282087582862</v>
      </c>
      <c r="CB12" s="22">
        <f t="shared" si="10"/>
        <v>8.4057871719211263</v>
      </c>
      <c r="CC12" s="62">
        <f t="shared" si="11"/>
        <v>276.07245383858782</v>
      </c>
      <c r="CD12" s="62">
        <f ca="1">AVERAGE(OFFSET($CC$3,0,0,'Données projet'!$E$12+1,1))-AVERAGE(OFFSET($H$3,0,0,'Données projet'!$E$12+1,1))</f>
        <v>360.32217613090035</v>
      </c>
      <c r="CE12" s="62">
        <f t="shared" si="40"/>
        <v>159.6134369231965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3.4358974358974361</v>
      </c>
      <c r="CT12" s="13">
        <f>IF('Données projet'!$A$140&gt;35,CT11+CS12-DB11,IF(A12&lt;'Données projet'!$A$140,$CQ$205^A12,IF(A12='Données projet'!$A$140,'Données projet'!$B$140,CT11+CS12-DB11)))</f>
        <v>4.0174310683886194</v>
      </c>
      <c r="CU12" s="18">
        <f>CT12*VLOOKUP('Données projet'!$B$13,Paramètres!$A$1:$I$89,3,0)*VLOOKUP('Données projet'!$B$13,Paramètres!$A$1:$I$89,5,0)</f>
        <v>1.8801577400058738</v>
      </c>
      <c r="CV12" s="14">
        <f t="shared" si="41"/>
        <v>0.80506349951468992</v>
      </c>
      <c r="CW12" s="22">
        <f t="shared" si="13"/>
        <v>4.6767603254983152</v>
      </c>
      <c r="CX12" s="62">
        <f t="shared" si="14"/>
        <v>272.34342699216501</v>
      </c>
      <c r="CY12" s="62">
        <f ca="1">AVERAGE(OFFSET($CX$3,0,0,'Données projet'!$E$13+1,1))-AVERAGE(OFFSET($H$3,0,0,'Données projet'!$E$13+1,1))</f>
        <v>246.64907095367749</v>
      </c>
      <c r="CZ12" s="62">
        <f t="shared" si="42"/>
        <v>145.34368562171613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3.2392083333333335</v>
      </c>
      <c r="N13" s="14">
        <f>IF('Données projet'!$A$36&gt;35,N12+M13-V12,IF(A13&lt;'Données projet'!$A$36,$K$205^A13,IF(A13='Données projet'!$A$36,'Données projet'!$B$36,N12+M13-V12)))</f>
        <v>21.119490619313495</v>
      </c>
      <c r="O13" s="14">
        <f>N13*VLOOKUP('Données projet'!$B$9,Paramètres!$A$1:$I$89,3,0)*VLOOKUP('Données projet'!$B$9,Paramètres!$A$1:$I$89,5,0)</f>
        <v>12.629455390349472</v>
      </c>
      <c r="P13" s="14">
        <f t="shared" si="33"/>
        <v>4.3324695392758059</v>
      </c>
      <c r="Q13" s="22">
        <f t="shared" si="2"/>
        <v>29.542019252430688</v>
      </c>
      <c r="R13" s="62">
        <f t="shared" si="0"/>
        <v>298.43090814131955</v>
      </c>
      <c r="S13" s="62">
        <f ca="1">AVERAGE(OFFSET($R$3,0,0,'Données projet'!$E$9+1,1))-AVERAGE(OFFSET($H$3,0,0,'Données projet'!$E$9+1,1))</f>
        <v>207.03241199974599</v>
      </c>
      <c r="T13" s="62">
        <f t="shared" si="34"/>
        <v>314.188568589113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64</v>
      </c>
      <c r="AG13" s="13">
        <f>VLOOKUP(A13,'Données projet'!$A$61:$I$81,9,0)</f>
        <v>8.4</v>
      </c>
      <c r="AH13" s="13">
        <f t="array" ref="AH13">INDEX(AG:AG,MIN(IF(ISNUMBER(AG13:AG209),ROW(AG13:AG209),"")))</f>
        <v>8.4</v>
      </c>
      <c r="AI13" s="14">
        <f>IF('Données projet'!$A$62&gt;35,AI12+AH13-AQ12,IF(A13&lt;'Données projet'!$A$62,$AF$205^A13,IF(A13='Données projet'!$A$62,'Données projet'!$B$62,AI12+AH13-AQ12)))</f>
        <v>63.999999999999993</v>
      </c>
      <c r="AJ13" s="14">
        <f>AI13*VLOOKUP('Données projet'!$B$10,Paramètres!$A$1:$I$89,3,0)*VLOOKUP('Données projet'!$B$10,Paramètres!$A$1:$I$89,5,0)</f>
        <v>57.907199999999989</v>
      </c>
      <c r="AK13" s="14">
        <f t="shared" si="35"/>
        <v>16.638055172385986</v>
      </c>
      <c r="AL13" s="22">
        <f t="shared" si="4"/>
        <v>129.83298609190555</v>
      </c>
      <c r="AM13" s="62">
        <f t="shared" si="5"/>
        <v>398.72187498079438</v>
      </c>
      <c r="AN13" s="62">
        <f ca="1">AVERAGE(OFFSET($AM$3,0,0,'Données projet'!$E$10+1,1))-AVERAGE(OFFSET($H$3,0,0,'Données projet'!$E$10+1,1))</f>
        <v>245.25496369542458</v>
      </c>
      <c r="AO13" s="62">
        <f t="shared" si="36"/>
        <v>342.30266518164211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1.8269230769230771</v>
      </c>
      <c r="BD13" s="13">
        <f>IF('Données projet'!$A$88&gt;35,BD12+BC13-BL12,IF(A13&lt;'Données projet'!$A$88,$BA$205^A13,IF(A13='Données projet'!$A$88,'Données projet'!$B$88,BD12+BC13-BL12)))</f>
        <v>6.0447052482698957</v>
      </c>
      <c r="BE13" s="14">
        <f>BD13*VLOOKUP('Données projet'!$B$11,Paramètres!$A$1:$I$89,3,0)*VLOOKUP('Données projet'!$B$11,Paramètres!$A$1:$I$89,5,0)</f>
        <v>6.3179259254916964</v>
      </c>
      <c r="BF13" s="14">
        <f t="shared" si="37"/>
        <v>2.3493067111950539</v>
      </c>
      <c r="BG13" s="22">
        <f t="shared" si="7"/>
        <v>15.095430175562756</v>
      </c>
      <c r="BH13" s="62">
        <f t="shared" si="8"/>
        <v>283.9843190644516</v>
      </c>
      <c r="BI13" s="62">
        <f ca="1">AVERAGE(OFFSET($BH$3,0,0,'Données projet'!$E$11+1,1))-AVERAGE(OFFSET($H$3,0,0,'Données projet'!$E$11+1,1))</f>
        <v>377.78532142539677</v>
      </c>
      <c r="BJ13" s="62">
        <f t="shared" si="38"/>
        <v>234.27695813539111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3.9526326786890178</v>
      </c>
      <c r="CA13" s="14">
        <f t="shared" si="39"/>
        <v>1.552247389613062</v>
      </c>
      <c r="CB13" s="22">
        <f t="shared" si="10"/>
        <v>9.5876661189594543</v>
      </c>
      <c r="CC13" s="62">
        <f t="shared" si="11"/>
        <v>278.47655500784833</v>
      </c>
      <c r="CD13" s="62">
        <f ca="1">AVERAGE(OFFSET($CC$3,0,0,'Données projet'!$E$12+1,1))-AVERAGE(OFFSET($H$3,0,0,'Données projet'!$E$12+1,1))</f>
        <v>360.32217613090035</v>
      </c>
      <c r="CE13" s="62">
        <f t="shared" si="40"/>
        <v>159.6134369231965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3.4358974358974361</v>
      </c>
      <c r="CT13" s="13">
        <f>IF('Données projet'!$A$140&gt;35,CT12+CS13-DB12,IF(A13&lt;'Données projet'!$A$140,$CQ$205^A13,IF(A13='Données projet'!$A$140,'Données projet'!$B$140,CT12+CS13-DB12)))</f>
        <v>4.6887147848714186</v>
      </c>
      <c r="CU13" s="18">
        <f>CT13*VLOOKUP('Données projet'!$B$13,Paramètres!$A$1:$I$89,3,0)*VLOOKUP('Données projet'!$B$13,Paramètres!$A$1:$I$89,5,0)</f>
        <v>2.194318519319824</v>
      </c>
      <c r="CV13" s="14">
        <f t="shared" si="41"/>
        <v>0.9228358380932653</v>
      </c>
      <c r="CW13" s="22">
        <f t="shared" si="13"/>
        <v>5.4290438391611309</v>
      </c>
      <c r="CX13" s="62">
        <f t="shared" si="14"/>
        <v>274.31793272804998</v>
      </c>
      <c r="CY13" s="62">
        <f ca="1">AVERAGE(OFFSET($CX$3,0,0,'Données projet'!$E$13+1,1))-AVERAGE(OFFSET($H$3,0,0,'Données projet'!$E$13+1,1))</f>
        <v>246.64907095367749</v>
      </c>
      <c r="CZ13" s="62">
        <f t="shared" si="42"/>
        <v>145.34368562171613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3.2392083333333335</v>
      </c>
      <c r="N14" s="14">
        <f>IF('Données projet'!$A$36&gt;35,N13+M14-V13,IF(A14&lt;'Données projet'!$A$36,$K$205^A14,IF(A14='Données projet'!$A$36,'Données projet'!$B$36,N13+M14-V13)))</f>
        <v>28.65179156908037</v>
      </c>
      <c r="O14" s="14">
        <f>N14*VLOOKUP('Données projet'!$B$9,Paramètres!$A$1:$I$89,3,0)*VLOOKUP('Données projet'!$B$9,Paramètres!$A$1:$I$89,5,0)</f>
        <v>17.133771358310064</v>
      </c>
      <c r="P14" s="14">
        <f t="shared" si="33"/>
        <v>5.6726311654642698</v>
      </c>
      <c r="Q14" s="22">
        <f t="shared" si="2"/>
        <v>39.721151062240295</v>
      </c>
      <c r="R14" s="62">
        <f t="shared" si="0"/>
        <v>309.83226217335141</v>
      </c>
      <c r="S14" s="62">
        <f ca="1">AVERAGE(OFFSET($R$3,0,0,'Données projet'!$E$9+1,1))-AVERAGE(OFFSET($H$3,0,0,'Données projet'!$E$9+1,1))</f>
        <v>207.03241199974599</v>
      </c>
      <c r="T14" s="62">
        <f t="shared" si="34"/>
        <v>314.188568589113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8.4</v>
      </c>
      <c r="AI14" s="14">
        <f>IF('Données projet'!$A$62&gt;35,AI13+AH14-AQ13,IF(A14&lt;'Données projet'!$A$62,$AF$205^A14,IF(A14='Données projet'!$A$62,'Données projet'!$B$62,AI13+AH14-AQ13)))</f>
        <v>55.399999999999991</v>
      </c>
      <c r="AJ14" s="14">
        <f>AI14*VLOOKUP('Données projet'!$B$10,Paramètres!$A$1:$I$89,3,0)*VLOOKUP('Données projet'!$B$10,Paramètres!$A$1:$I$89,5,0)</f>
        <v>50.125919999999986</v>
      </c>
      <c r="AK14" s="14">
        <f t="shared" si="35"/>
        <v>14.646274290627822</v>
      </c>
      <c r="AL14" s="22">
        <f t="shared" si="4"/>
        <v>112.81157172284342</v>
      </c>
      <c r="AM14" s="62">
        <f t="shared" si="5"/>
        <v>382.92268283395458</v>
      </c>
      <c r="AN14" s="62">
        <f ca="1">AVERAGE(OFFSET($AM$3,0,0,'Données projet'!$E$10+1,1))-AVERAGE(OFFSET($H$3,0,0,'Données projet'!$E$10+1,1))</f>
        <v>245.25496369542458</v>
      </c>
      <c r="AO14" s="62">
        <f t="shared" si="36"/>
        <v>342.30266518164211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1.8269230769230771</v>
      </c>
      <c r="BD14" s="13">
        <f>IF('Données projet'!$A$88&gt;35,BD13+BC14-BL13,IF(A14&lt;'Données projet'!$A$88,$BA$205^A14,IF(A14='Données projet'!$A$88,'Données projet'!$B$88,BD13+BC14-BL13)))</f>
        <v>7.2362346534071689</v>
      </c>
      <c r="BE14" s="14">
        <f>BD14*VLOOKUP('Données projet'!$B$11,Paramètres!$A$1:$I$89,3,0)*VLOOKUP('Données projet'!$B$11,Paramètres!$A$1:$I$89,5,0)</f>
        <v>7.5633124597411738</v>
      </c>
      <c r="BF14" s="14">
        <f t="shared" si="37"/>
        <v>2.7541147154135355</v>
      </c>
      <c r="BG14" s="22">
        <f t="shared" si="7"/>
        <v>17.969518996727786</v>
      </c>
      <c r="BH14" s="62">
        <f t="shared" si="8"/>
        <v>288.08063010783894</v>
      </c>
      <c r="BI14" s="62">
        <f ca="1">AVERAGE(OFFSET($BH$3,0,0,'Données projet'!$E$11+1,1))-AVERAGE(OFFSET($H$3,0,0,'Données projet'!$E$11+1,1))</f>
        <v>377.78532142539677</v>
      </c>
      <c r="BJ14" s="62">
        <f t="shared" si="38"/>
        <v>234.27695813539111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4.5286765889832141</v>
      </c>
      <c r="CA14" s="14">
        <f t="shared" si="39"/>
        <v>1.7505249770594407</v>
      </c>
      <c r="CB14" s="22">
        <f t="shared" si="10"/>
        <v>10.936276060857622</v>
      </c>
      <c r="CC14" s="62">
        <f t="shared" si="11"/>
        <v>281.04738717196875</v>
      </c>
      <c r="CD14" s="62">
        <f ca="1">AVERAGE(OFFSET($CC$3,0,0,'Données projet'!$E$12+1,1))-AVERAGE(OFFSET($H$3,0,0,'Données projet'!$E$12+1,1))</f>
        <v>360.32217613090035</v>
      </c>
      <c r="CE14" s="62">
        <f t="shared" si="40"/>
        <v>159.6134369231965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3.4358974358974361</v>
      </c>
      <c r="CT14" s="13">
        <f>IF('Données projet'!$A$140&gt;35,CT13+CS14-DB13,IF(A14&lt;'Données projet'!$A$140,$CQ$205^A14,IF(A14='Données projet'!$A$140,'Données projet'!$B$140,CT13+CS14-DB13)))</f>
        <v>5.472165162174039</v>
      </c>
      <c r="CU14" s="18">
        <f>CT14*VLOOKUP('Données projet'!$B$13,Paramètres!$A$1:$I$89,3,0)*VLOOKUP('Données projet'!$B$13,Paramètres!$A$1:$I$89,5,0)</f>
        <v>2.5609732958974503</v>
      </c>
      <c r="CV14" s="14">
        <f t="shared" si="41"/>
        <v>1.0578370334547251</v>
      </c>
      <c r="CW14" s="22">
        <f t="shared" si="13"/>
        <v>6.3027613236217057</v>
      </c>
      <c r="CX14" s="62">
        <f t="shared" si="14"/>
        <v>276.41387243473287</v>
      </c>
      <c r="CY14" s="62">
        <f ca="1">AVERAGE(OFFSET($CX$3,0,0,'Données projet'!$E$13+1,1))-AVERAGE(OFFSET($H$3,0,0,'Données projet'!$E$13+1,1))</f>
        <v>246.64907095367749</v>
      </c>
      <c r="CZ14" s="62">
        <f t="shared" si="42"/>
        <v>145.34368562171613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38.8705</v>
      </c>
      <c r="L15" s="13">
        <f>VLOOKUP(A15,'Données projet'!$A$35:$I$55,9,0)</f>
        <v>3.2392083333333335</v>
      </c>
      <c r="M15" s="13">
        <f t="array" ref="M15">INDEX(L:L,MIN(IF(ISNUMBER(L15:L211),ROW(L15:L211),"")))</f>
        <v>3.2392083333333335</v>
      </c>
      <c r="N15" s="14">
        <f>IF('Données projet'!$A$36&gt;35,N14+M15-V14,IF(A15&lt;'Données projet'!$A$36,$K$205^A15,IF(A15='Données projet'!$A$36,'Données projet'!$B$36,N14+M15-V14)))</f>
        <v>38.8705</v>
      </c>
      <c r="O15" s="14">
        <f>N15*VLOOKUP('Données projet'!$B$9,Paramètres!$A$1:$I$89,3,0)*VLOOKUP('Données projet'!$B$9,Paramètres!$A$1:$I$89,5,0)</f>
        <v>23.244559000000002</v>
      </c>
      <c r="P15" s="14">
        <f t="shared" si="33"/>
        <v>7.427344623587441</v>
      </c>
      <c r="Q15" s="22">
        <f t="shared" si="2"/>
        <v>53.420232144414797</v>
      </c>
      <c r="R15" s="62">
        <f t="shared" si="0"/>
        <v>324.75356547774811</v>
      </c>
      <c r="S15" s="62">
        <f ca="1">AVERAGE(OFFSET($R$3,0,0,'Données projet'!$E$9+1,1))-AVERAGE(OFFSET($H$3,0,0,'Données projet'!$E$9+1,1))</f>
        <v>207.03241199974599</v>
      </c>
      <c r="T15" s="62">
        <f t="shared" si="34"/>
        <v>314.188568589113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8.4</v>
      </c>
      <c r="AI15" s="14">
        <f>IF('Données projet'!$A$62&gt;35,AI14+AH15-AQ14,IF(A15&lt;'Données projet'!$A$62,$AF$205^A15,IF(A15='Données projet'!$A$62,'Données projet'!$B$62,AI14+AH15-AQ14)))</f>
        <v>63.79999999999999</v>
      </c>
      <c r="AJ15" s="14">
        <f>AI15*VLOOKUP('Données projet'!$B$10,Paramètres!$A$1:$I$89,3,0)*VLOOKUP('Données projet'!$B$10,Paramètres!$A$1:$I$89,5,0)</f>
        <v>57.72623999999999</v>
      </c>
      <c r="AK15" s="14">
        <f t="shared" si="35"/>
        <v>16.59210497713789</v>
      </c>
      <c r="AL15" s="22">
        <f t="shared" si="4"/>
        <v>129.43778416851515</v>
      </c>
      <c r="AM15" s="62">
        <f t="shared" si="5"/>
        <v>400.77111750184849</v>
      </c>
      <c r="AN15" s="62">
        <f ca="1">AVERAGE(OFFSET($AM$3,0,0,'Données projet'!$E$10+1,1))-AVERAGE(OFFSET($H$3,0,0,'Données projet'!$E$10+1,1))</f>
        <v>245.25496369542458</v>
      </c>
      <c r="AO15" s="62">
        <f t="shared" si="36"/>
        <v>342.30266518164211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1.8269230769230771</v>
      </c>
      <c r="BD15" s="13">
        <f>IF('Données projet'!$A$88&gt;35,BD14+BC15-BL14,IF(A15&lt;'Données projet'!$A$88,$BA$205^A15,IF(A15='Données projet'!$A$88,'Données projet'!$B$88,BD14+BC15-BL14)))</f>
        <v>8.662637764539145</v>
      </c>
      <c r="BE15" s="14">
        <f>BD15*VLOOKUP('Données projet'!$B$11,Paramètres!$A$1:$I$89,3,0)*VLOOKUP('Données projet'!$B$11,Paramètres!$A$1:$I$89,5,0)</f>
        <v>9.0541889914963161</v>
      </c>
      <c r="BF15" s="14">
        <f t="shared" si="37"/>
        <v>3.228675008466193</v>
      </c>
      <c r="BG15" s="22">
        <f t="shared" si="7"/>
        <v>21.3926547999347</v>
      </c>
      <c r="BH15" s="62">
        <f t="shared" si="8"/>
        <v>292.725988133268</v>
      </c>
      <c r="BI15" s="62">
        <f ca="1">AVERAGE(OFFSET($BH$3,0,0,'Données projet'!$E$11+1,1))-AVERAGE(OFFSET($H$3,0,0,'Données projet'!$E$11+1,1))</f>
        <v>377.78532142539677</v>
      </c>
      <c r="BJ15" s="62">
        <f t="shared" si="38"/>
        <v>234.27695813539111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5.1886712767873213</v>
      </c>
      <c r="CA15" s="14">
        <f t="shared" si="39"/>
        <v>1.9741297139966976</v>
      </c>
      <c r="CB15" s="22">
        <f t="shared" si="10"/>
        <v>12.4752117256155</v>
      </c>
      <c r="CC15" s="62">
        <f t="shared" si="11"/>
        <v>283.80854505894882</v>
      </c>
      <c r="CD15" s="62">
        <f ca="1">AVERAGE(OFFSET($CC$3,0,0,'Données projet'!$E$12+1,1))-AVERAGE(OFFSET($H$3,0,0,'Données projet'!$E$12+1,1))</f>
        <v>360.32217613090035</v>
      </c>
      <c r="CE15" s="62">
        <f t="shared" si="40"/>
        <v>159.6134369231965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3.4358974358974361</v>
      </c>
      <c r="CT15" s="13">
        <f>IF('Données projet'!$A$140&gt;35,CT14+CS15-DB14,IF(A15&lt;'Données projet'!$A$140,$CQ$205^A15,IF(A15='Données projet'!$A$140,'Données projet'!$B$140,CT14+CS15-DB14)))</f>
        <v>6.3865244392195226</v>
      </c>
      <c r="CU15" s="18">
        <f>CT15*VLOOKUP('Données projet'!$B$13,Paramètres!$A$1:$I$89,3,0)*VLOOKUP('Données projet'!$B$13,Paramètres!$A$1:$I$89,5,0)</f>
        <v>2.9888934375547365</v>
      </c>
      <c r="CV15" s="14">
        <f t="shared" si="41"/>
        <v>1.2125874864812094</v>
      </c>
      <c r="CW15" s="22">
        <f t="shared" si="13"/>
        <v>7.3175792760292708</v>
      </c>
      <c r="CX15" s="62">
        <f t="shared" si="14"/>
        <v>278.65091260936259</v>
      </c>
      <c r="CY15" s="62">
        <f ca="1">AVERAGE(OFFSET($CX$3,0,0,'Données projet'!$E$13+1,1))-AVERAGE(OFFSET($H$3,0,0,'Données projet'!$E$13+1,1))</f>
        <v>246.64907095367749</v>
      </c>
      <c r="CZ15" s="62">
        <f t="shared" si="42"/>
        <v>145.34368562171613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53.7455</v>
      </c>
      <c r="L16" s="13">
        <f>VLOOKUP(A16,'Données projet'!$A$35:$I$55,9,0)</f>
        <v>14.875</v>
      </c>
      <c r="M16" s="13">
        <f t="array" ref="M16">INDEX(L:L,MIN(IF(ISNUMBER(L16:L212),ROW(L16:L212),"")))</f>
        <v>14.875</v>
      </c>
      <c r="N16" s="14">
        <f>IF('Données projet'!$A$36&gt;35,N15+M16-V15,IF(A16&lt;'Données projet'!$A$36,$K$205^A16,IF(A16='Données projet'!$A$36,'Données projet'!$B$36,N15+M16-V15)))</f>
        <v>53.7455</v>
      </c>
      <c r="O16" s="14">
        <f>N16*VLOOKUP('Données projet'!$B$9,Paramètres!$A$1:$I$89,3,0)*VLOOKUP('Données projet'!$B$9,Paramètres!$A$1:$I$89,5,0)</f>
        <v>32.139809000000007</v>
      </c>
      <c r="P16" s="14">
        <f t="shared" si="33"/>
        <v>9.8895269261794354</v>
      </c>
      <c r="Q16" s="22">
        <f t="shared" si="2"/>
        <v>73.201093404762517</v>
      </c>
      <c r="R16" s="62">
        <f t="shared" si="0"/>
        <v>345.75664896031805</v>
      </c>
      <c r="S16" s="62">
        <f ca="1">AVERAGE(OFFSET($R$3,0,0,'Données projet'!$E$9+1,1))-AVERAGE(OFFSET($H$3,0,0,'Données projet'!$E$9+1,1))</f>
        <v>207.03241199974599</v>
      </c>
      <c r="T16" s="62">
        <f t="shared" si="34"/>
        <v>314.188568589113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8.4</v>
      </c>
      <c r="AI16" s="14">
        <f>IF('Données projet'!$A$62&gt;35,AI15+AH16-AQ15,IF(A16&lt;'Données projet'!$A$62,$AF$205^A16,IF(A16='Données projet'!$A$62,'Données projet'!$B$62,AI15+AH16-AQ15)))</f>
        <v>72.199999999999989</v>
      </c>
      <c r="AJ16" s="14">
        <f>AI16*VLOOKUP('Données projet'!$B$10,Paramètres!$A$1:$I$89,3,0)*VLOOKUP('Données projet'!$B$10,Paramètres!$A$1:$I$89,5,0)</f>
        <v>65.326559999999986</v>
      </c>
      <c r="AK16" s="14">
        <f t="shared" si="35"/>
        <v>18.508251950337144</v>
      </c>
      <c r="AL16" s="22">
        <f t="shared" si="4"/>
        <v>146.0122974801705</v>
      </c>
      <c r="AM16" s="62">
        <f t="shared" si="5"/>
        <v>418.56785303572605</v>
      </c>
      <c r="AN16" s="62">
        <f ca="1">AVERAGE(OFFSET($AM$3,0,0,'Données projet'!$E$10+1,1))-AVERAGE(OFFSET($H$3,0,0,'Données projet'!$E$10+1,1))</f>
        <v>245.25496369542458</v>
      </c>
      <c r="AO16" s="62">
        <f t="shared" si="36"/>
        <v>342.30266518164211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1.8269230769230771</v>
      </c>
      <c r="BD16" s="13">
        <f>IF('Données projet'!$A$88&gt;35,BD15+BC16-BL15,IF(A16&lt;'Données projet'!$A$88,$BA$205^A16,IF(A16='Données projet'!$A$88,'Données projet'!$B$88,BD15+BC16-BL15)))</f>
        <v>10.37021277416518</v>
      </c>
      <c r="BE16" s="14">
        <f>BD16*VLOOKUP('Données projet'!$B$11,Paramètres!$A$1:$I$89,3,0)*VLOOKUP('Données projet'!$B$11,Paramètres!$A$1:$I$89,5,0)</f>
        <v>10.838946391557448</v>
      </c>
      <c r="BF16" s="14">
        <f t="shared" si="37"/>
        <v>3.7850065765067242</v>
      </c>
      <c r="BG16" s="22">
        <f t="shared" si="7"/>
        <v>25.470051419378432</v>
      </c>
      <c r="BH16" s="62">
        <f t="shared" si="8"/>
        <v>298.02560697493396</v>
      </c>
      <c r="BI16" s="62">
        <f ca="1">AVERAGE(OFFSET($BH$3,0,0,'Données projet'!$E$11+1,1))-AVERAGE(OFFSET($H$3,0,0,'Données projet'!$E$11+1,1))</f>
        <v>377.78532142539677</v>
      </c>
      <c r="BJ16" s="62">
        <f t="shared" si="38"/>
        <v>234.27695813539111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5.9448514570572168</v>
      </c>
      <c r="CA16" s="14">
        <f t="shared" si="39"/>
        <v>2.2262967845401667</v>
      </c>
      <c r="CB16" s="22">
        <f t="shared" si="10"/>
        <v>14.231416520782107</v>
      </c>
      <c r="CC16" s="62">
        <f t="shared" si="11"/>
        <v>286.78697207633763</v>
      </c>
      <c r="CD16" s="62">
        <f ca="1">AVERAGE(OFFSET($CC$3,0,0,'Données projet'!$E$12+1,1))-AVERAGE(OFFSET($H$3,0,0,'Données projet'!$E$12+1,1))</f>
        <v>360.32217613090035</v>
      </c>
      <c r="CE16" s="62">
        <f t="shared" si="40"/>
        <v>159.6134369231965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3.4358974358974361</v>
      </c>
      <c r="CT16" s="13">
        <f>IF('Données projet'!$A$140&gt;35,CT15+CS16-DB15,IF(A16&lt;'Données projet'!$A$140,$CQ$205^A16,IF(A16='Données projet'!$A$140,'Données projet'!$B$140,CT15+CS16-DB15)))</f>
        <v>7.4536665476931043</v>
      </c>
      <c r="CU16" s="18">
        <f>CT16*VLOOKUP('Données projet'!$B$13,Paramètres!$A$1:$I$89,3,0)*VLOOKUP('Données projet'!$B$13,Paramètres!$A$1:$I$89,5,0)</f>
        <v>3.4883159443203726</v>
      </c>
      <c r="CV16" s="14">
        <f t="shared" si="41"/>
        <v>1.3899763062452366</v>
      </c>
      <c r="CW16" s="22">
        <f t="shared" si="13"/>
        <v>8.4963590030684362</v>
      </c>
      <c r="CX16" s="62">
        <f t="shared" si="14"/>
        <v>281.05191455862399</v>
      </c>
      <c r="CY16" s="62">
        <f ca="1">AVERAGE(OFFSET($CX$3,0,0,'Données projet'!$E$13+1,1))-AVERAGE(OFFSET($H$3,0,0,'Données projet'!$E$13+1,1))</f>
        <v>246.64907095367749</v>
      </c>
      <c r="CZ16" s="62">
        <f t="shared" si="42"/>
        <v>145.34368562171613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70.405500000000004</v>
      </c>
      <c r="L17" s="13">
        <f>VLOOKUP(A17,'Données projet'!$A$35:$I$55,9,0)</f>
        <v>16.660000000000004</v>
      </c>
      <c r="M17" s="13">
        <f t="array" ref="M17">INDEX(L:L,MIN(IF(ISNUMBER(L17:L213),ROW(L17:L213),"")))</f>
        <v>16.660000000000004</v>
      </c>
      <c r="N17" s="14">
        <f>IF('Données projet'!$A$36&gt;35,N16+M17-V16,IF(A17&lt;'Données projet'!$A$36,$K$205^A17,IF(A17='Données projet'!$A$36,'Données projet'!$B$36,N16+M17-V16)))</f>
        <v>70.405500000000004</v>
      </c>
      <c r="O17" s="14">
        <f>N17*VLOOKUP('Données projet'!$B$9,Paramètres!$A$1:$I$89,3,0)*VLOOKUP('Données projet'!$B$9,Paramètres!$A$1:$I$89,5,0)</f>
        <v>42.102489000000006</v>
      </c>
      <c r="P17" s="14">
        <f t="shared" si="33"/>
        <v>12.55423955359754</v>
      </c>
      <c r="Q17" s="22">
        <f t="shared" si="2"/>
        <v>95.193802230849045</v>
      </c>
      <c r="R17" s="62">
        <f t="shared" si="0"/>
        <v>368.9715800086268</v>
      </c>
      <c r="S17" s="62">
        <f ca="1">AVERAGE(OFFSET($R$3,0,0,'Données projet'!$E$9+1,1))-AVERAGE(OFFSET($H$3,0,0,'Données projet'!$E$9+1,1))</f>
        <v>207.03241199974599</v>
      </c>
      <c r="T17" s="62">
        <f t="shared" si="34"/>
        <v>314.188568589113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8.4</v>
      </c>
      <c r="AI17" s="14">
        <f>IF('Données projet'!$A$62&gt;35,AI16+AH17-AQ16,IF(A17&lt;'Données projet'!$A$62,$AF$205^A17,IF(A17='Données projet'!$A$62,'Données projet'!$B$62,AI16+AH17-AQ16)))</f>
        <v>80.599999999999994</v>
      </c>
      <c r="AJ17" s="14">
        <f>AI17*VLOOKUP('Données projet'!$B$10,Paramètres!$A$1:$I$89,3,0)*VLOOKUP('Données projet'!$B$10,Paramètres!$A$1:$I$89,5,0)</f>
        <v>72.926879999999983</v>
      </c>
      <c r="AK17" s="14">
        <f t="shared" si="35"/>
        <v>20.398563182833673</v>
      </c>
      <c r="AL17" s="22">
        <f t="shared" si="4"/>
        <v>162.54181354343527</v>
      </c>
      <c r="AM17" s="62">
        <f t="shared" si="5"/>
        <v>436.31959132121301</v>
      </c>
      <c r="AN17" s="62">
        <f ca="1">AVERAGE(OFFSET($AM$3,0,0,'Données projet'!$E$10+1,1))-AVERAGE(OFFSET($H$3,0,0,'Données projet'!$E$10+1,1))</f>
        <v>245.25496369542458</v>
      </c>
      <c r="AO17" s="62">
        <f t="shared" si="36"/>
        <v>342.30266518164211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1.8269230769230771</v>
      </c>
      <c r="BD17" s="13">
        <f>IF('Données projet'!$A$88&gt;35,BD16+BC17-BL16,IF(A17&lt;'Données projet'!$A$88,$BA$205^A17,IF(A17='Données projet'!$A$88,'Données projet'!$B$88,BD16+BC17-BL16)))</f>
        <v>12.414384152328676</v>
      </c>
      <c r="BE17" s="14">
        <f>BD17*VLOOKUP('Données projet'!$B$11,Paramètres!$A$1:$I$89,3,0)*VLOOKUP('Données projet'!$B$11,Paramètres!$A$1:$I$89,5,0)</f>
        <v>12.975514316013934</v>
      </c>
      <c r="BF17" s="14">
        <f t="shared" si="37"/>
        <v>4.437199391896975</v>
      </c>
      <c r="BG17" s="22">
        <f t="shared" si="7"/>
        <v>30.327143041278173</v>
      </c>
      <c r="BH17" s="62">
        <f t="shared" si="8"/>
        <v>304.10492081905596</v>
      </c>
      <c r="BI17" s="62">
        <f ca="1">AVERAGE(OFFSET($BH$3,0,0,'Données projet'!$E$11+1,1))-AVERAGE(OFFSET($H$3,0,0,'Données projet'!$E$11+1,1))</f>
        <v>377.78532142539677</v>
      </c>
      <c r="BJ17" s="62">
        <f t="shared" si="38"/>
        <v>234.27695813539111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6.8112348925595523</v>
      </c>
      <c r="CA17" s="14">
        <f t="shared" si="39"/>
        <v>2.5106746216891089</v>
      </c>
      <c r="CB17" s="22">
        <f t="shared" si="10"/>
        <v>16.235659070649749</v>
      </c>
      <c r="CC17" s="62">
        <f t="shared" si="11"/>
        <v>290.01343684842755</v>
      </c>
      <c r="CD17" s="62">
        <f ca="1">AVERAGE(OFFSET($CC$3,0,0,'Données projet'!$E$12+1,1))-AVERAGE(OFFSET($H$3,0,0,'Données projet'!$E$12+1,1))</f>
        <v>360.32217613090035</v>
      </c>
      <c r="CE17" s="62">
        <f t="shared" si="40"/>
        <v>159.6134369231965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3.4358974358974361</v>
      </c>
      <c r="CT17" s="13">
        <f>IF('Données projet'!$A$140&gt;35,CT16+CS17-DB16,IF(A17&lt;'Données projet'!$A$140,$CQ$205^A17,IF(A17='Données projet'!$A$140,'Données projet'!$B$140,CT16+CS17-DB16)))</f>
        <v>8.6991203952847798</v>
      </c>
      <c r="CU17" s="18">
        <f>CT17*VLOOKUP('Données projet'!$B$13,Paramètres!$A$1:$I$89,3,0)*VLOOKUP('Données projet'!$B$13,Paramètres!$A$1:$I$89,5,0)</f>
        <v>4.0711883449932769</v>
      </c>
      <c r="CV17" s="14">
        <f t="shared" si="41"/>
        <v>1.5933152481473272</v>
      </c>
      <c r="CW17" s="22">
        <f t="shared" si="13"/>
        <v>9.8656770913865515</v>
      </c>
      <c r="CX17" s="62">
        <f t="shared" si="14"/>
        <v>283.64345486916432</v>
      </c>
      <c r="CY17" s="62">
        <f ca="1">AVERAGE(OFFSET($CX$3,0,0,'Données projet'!$E$13+1,1))-AVERAGE(OFFSET($H$3,0,0,'Données projet'!$E$13+1,1))</f>
        <v>246.64907095367749</v>
      </c>
      <c r="CZ17" s="62">
        <f t="shared" si="42"/>
        <v>145.34368562171613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88.859000000000009</v>
      </c>
      <c r="L18" s="13">
        <f>VLOOKUP(A18,'Données projet'!$A$35:$I$55,9,0)</f>
        <v>18.453500000000005</v>
      </c>
      <c r="M18" s="13">
        <f t="array" ref="M18">INDEX(L:L,MIN(IF(ISNUMBER(L18:L214),ROW(L18:L214),"")))</f>
        <v>18.453500000000005</v>
      </c>
      <c r="N18" s="14">
        <f>IF('Données projet'!$A$36&gt;35,N17+M18-V17,IF(A18&lt;'Données projet'!$A$36,$K$205^A18,IF(A18='Données projet'!$A$36,'Données projet'!$B$36,N17+M18-V17)))</f>
        <v>88.859000000000009</v>
      </c>
      <c r="O18" s="14">
        <f>N18*VLOOKUP('Données projet'!$B$9,Paramètres!$A$1:$I$89,3,0)*VLOOKUP('Données projet'!$B$9,Paramètres!$A$1:$I$89,5,0)</f>
        <v>53.137682000000012</v>
      </c>
      <c r="P18" s="14">
        <f t="shared" si="33"/>
        <v>15.421187125360523</v>
      </c>
      <c r="Q18" s="22">
        <f t="shared" si="2"/>
        <v>119.40669706000294</v>
      </c>
      <c r="R18" s="62">
        <f t="shared" si="0"/>
        <v>394.40669706000295</v>
      </c>
      <c r="S18" s="62">
        <f ca="1">AVERAGE(OFFSET($R$3,0,0,'Données projet'!$E$9+1,1))-AVERAGE(OFFSET($H$3,0,0,'Données projet'!$E$9+1,1))</f>
        <v>207.03241199974599</v>
      </c>
      <c r="T18" s="62">
        <f t="shared" si="34"/>
        <v>314.188568589113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23.3155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0.22500000000000001</v>
      </c>
      <c r="Y18" s="17">
        <f>IF(ISNA(VLOOKUP(A18,'Données projet'!$A$35:$I$55,7,0)),0%,VLOOKUP(A18,'Données projet'!$A$35:$I$55,7,0))</f>
        <v>0.5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4.1451803783874421</v>
      </c>
      <c r="AB18" s="23">
        <f>EXP(-LN(2)/2)*AB17+(1-EXP(-LN(2)/2))/(LN(2)/2)*V18*Y18*VLOOKUP('Données projet'!$B$9,Paramètres!$A$1:$I$89,3,0)*0.475*44/12</f>
        <v>7.8931700777605167</v>
      </c>
      <c r="AC18" s="24">
        <f t="shared" si="3"/>
        <v>12.03835045614796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89</v>
      </c>
      <c r="AG18" s="13">
        <f>VLOOKUP(A18,'Données projet'!$A$61:$I$81,9,0)</f>
        <v>8.4</v>
      </c>
      <c r="AH18" s="13">
        <f t="array" ref="AH18">INDEX(AG:AG,MIN(IF(ISNUMBER(AG18:AG214),ROW(AG18:AG214),"")))</f>
        <v>8.4</v>
      </c>
      <c r="AI18" s="14">
        <f>IF('Données projet'!$A$62&gt;35,AI17+AH18-AQ17,IF(A18&lt;'Données projet'!$A$62,$AF$205^A18,IF(A18='Données projet'!$A$62,'Données projet'!$B$62,AI17+AH18-AQ17)))</f>
        <v>89</v>
      </c>
      <c r="AJ18" s="14">
        <f>AI18*VLOOKUP('Données projet'!$B$10,Paramètres!$A$1:$I$89,3,0)*VLOOKUP('Données projet'!$B$10,Paramètres!$A$1:$I$89,5,0)</f>
        <v>80.527199999999993</v>
      </c>
      <c r="AK18" s="14">
        <f t="shared" si="35"/>
        <v>22.266037950985503</v>
      </c>
      <c r="AL18" s="22">
        <f t="shared" si="4"/>
        <v>179.03155609796639</v>
      </c>
      <c r="AM18" s="62">
        <f t="shared" si="5"/>
        <v>454.03155609796636</v>
      </c>
      <c r="AN18" s="62">
        <f ca="1">AVERAGE(OFFSET($AM$3,0,0,'Données projet'!$E$10+1,1))-AVERAGE(OFFSET($H$3,0,0,'Données projet'!$E$10+1,1))</f>
        <v>245.25496369542458</v>
      </c>
      <c r="AO18" s="62">
        <f t="shared" si="36"/>
        <v>342.30266518164211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13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1.8269230769230771</v>
      </c>
      <c r="BD18" s="13">
        <f>IF('Données projet'!$A$88&gt;35,BD17+BC18-BL17,IF(A18&lt;'Données projet'!$A$88,$BA$205^A18,IF(A18='Données projet'!$A$88,'Données projet'!$B$88,BD17+BC18-BL17)))</f>
        <v>14.86150161407812</v>
      </c>
      <c r="BE18" s="14">
        <f>BD18*VLOOKUP('Données projet'!$B$11,Paramètres!$A$1:$I$89,3,0)*VLOOKUP('Données projet'!$B$11,Paramètres!$A$1:$I$89,5,0)</f>
        <v>15.533241487034452</v>
      </c>
      <c r="BF18" s="14">
        <f t="shared" si="37"/>
        <v>5.2017712639279212</v>
      </c>
      <c r="BG18" s="22">
        <f t="shared" si="7"/>
        <v>36.113480541259463</v>
      </c>
      <c r="BH18" s="62">
        <f t="shared" si="8"/>
        <v>311.11348054125949</v>
      </c>
      <c r="BI18" s="62">
        <f ca="1">AVERAGE(OFFSET($BH$3,0,0,'Données projet'!$E$11+1,1))-AVERAGE(OFFSET($H$3,0,0,'Données projet'!$E$11+1,1))</f>
        <v>377.78532142539677</v>
      </c>
      <c r="BJ18" s="62">
        <f t="shared" si="38"/>
        <v>234.27695813539111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7.8038822494962501</v>
      </c>
      <c r="CA18" s="14">
        <f t="shared" si="39"/>
        <v>2.8313776940102406</v>
      </c>
      <c r="CB18" s="22">
        <f t="shared" si="10"/>
        <v>18.523077734940472</v>
      </c>
      <c r="CC18" s="62">
        <f t="shared" si="11"/>
        <v>293.52307773494044</v>
      </c>
      <c r="CD18" s="62">
        <f ca="1">AVERAGE(OFFSET($CC$3,0,0,'Données projet'!$E$12+1,1))-AVERAGE(OFFSET($H$3,0,0,'Données projet'!$E$12+1,1))</f>
        <v>360.32217613090035</v>
      </c>
      <c r="CE18" s="62">
        <f t="shared" si="40"/>
        <v>159.6134369231965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3.4358974358974361</v>
      </c>
      <c r="CT18" s="13">
        <f>IF('Données projet'!$A$140&gt;35,CT17+CS18-DB17,IF(A18&lt;'Données projet'!$A$140,$CQ$205^A18,IF(A18='Données projet'!$A$140,'Données projet'!$B$140,CT17+CS18-DB17)))</f>
        <v>10.152680585782415</v>
      </c>
      <c r="CU18" s="18">
        <f>CT18*VLOOKUP('Données projet'!$B$13,Paramètres!$A$1:$I$89,3,0)*VLOOKUP('Données projet'!$B$13,Paramètres!$A$1:$I$89,5,0)</f>
        <v>4.7514545141461699</v>
      </c>
      <c r="CV18" s="14">
        <f t="shared" si="41"/>
        <v>1.8264005426369321</v>
      </c>
      <c r="CW18" s="22">
        <f t="shared" si="13"/>
        <v>11.456430890563903</v>
      </c>
      <c r="CX18" s="62">
        <f t="shared" si="14"/>
        <v>286.45643089056392</v>
      </c>
      <c r="CY18" s="62">
        <f ca="1">AVERAGE(OFFSET($CX$3,0,0,'Données projet'!$E$13+1,1))-AVERAGE(OFFSET($H$3,0,0,'Données projet'!$E$13+1,1))</f>
        <v>246.64907095367749</v>
      </c>
      <c r="CZ18" s="62">
        <f t="shared" si="42"/>
        <v>145.34368562171613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78.208500000000001</v>
      </c>
      <c r="L19" s="13">
        <f>VLOOKUP(A19,'Données projet'!$A$35:$I$55,9,0)</f>
        <v>12.664999999999992</v>
      </c>
      <c r="M19" s="13">
        <f t="array" ref="M19">INDEX(L:L,MIN(IF(ISNUMBER(L19:L215),ROW(L19:L215),"")))</f>
        <v>12.664999999999992</v>
      </c>
      <c r="N19" s="14">
        <f>IF('Données projet'!$A$36&gt;35,N18+M19-V18,IF(A19&lt;'Données projet'!$A$36,$K$205^A19,IF(A19='Données projet'!$A$36,'Données projet'!$B$36,N18+M19-V18)))</f>
        <v>78.208500000000001</v>
      </c>
      <c r="O19" s="14">
        <f>N19*VLOOKUP('Données projet'!$B$9,Paramètres!$A$1:$I$89,3,0)*VLOOKUP('Données projet'!$B$9,Paramètres!$A$1:$I$89,5,0)</f>
        <v>46.768683000000003</v>
      </c>
      <c r="P19" s="14">
        <f t="shared" si="33"/>
        <v>13.776041008898259</v>
      </c>
      <c r="Q19" s="22">
        <f t="shared" si="2"/>
        <v>105.44872764883114</v>
      </c>
      <c r="R19" s="62">
        <f t="shared" si="0"/>
        <v>381.67094987105338</v>
      </c>
      <c r="S19" s="62">
        <f ca="1">AVERAGE(OFFSET($R$3,0,0,'Données projet'!$E$9+1,1))-AVERAGE(OFFSET($H$3,0,0,'Données projet'!$E$9+1,1))</f>
        <v>207.03241199974599</v>
      </c>
      <c r="T19" s="62">
        <f t="shared" si="34"/>
        <v>314.188568589113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4.0318302029548754</v>
      </c>
      <c r="AB19" s="23">
        <f>EXP(-LN(2)/2)*AB18+(1-EXP(-LN(2)/2))/(LN(2)/2)*V19*Y19*VLOOKUP('Données projet'!$B$9,Paramètres!$A$1:$I$89,3,0)*0.475*44/12</f>
        <v>5.5813140870432107</v>
      </c>
      <c r="AC19" s="24">
        <f t="shared" si="3"/>
        <v>9.6131442899980861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7.6</v>
      </c>
      <c r="AI19" s="14">
        <f>IF('Données projet'!$A$62&gt;35,AI18+AH19-AQ18,IF(A19&lt;'Données projet'!$A$62,$AF$205^A19,IF(A19='Données projet'!$A$62,'Données projet'!$B$62,AI18+AH19-AQ18)))</f>
        <v>83.6</v>
      </c>
      <c r="AJ19" s="14">
        <f>AI19*VLOOKUP('Données projet'!$B$10,Paramètres!$A$1:$I$89,3,0)*VLOOKUP('Données projet'!$B$10,Paramètres!$A$1:$I$89,5,0)</f>
        <v>75.641279999999995</v>
      </c>
      <c r="AK19" s="14">
        <f t="shared" si="35"/>
        <v>21.068004470152093</v>
      </c>
      <c r="AL19" s="22">
        <f t="shared" si="4"/>
        <v>168.4353371188482</v>
      </c>
      <c r="AM19" s="62">
        <f t="shared" si="5"/>
        <v>444.6575593410704</v>
      </c>
      <c r="AN19" s="62">
        <f ca="1">AVERAGE(OFFSET($AM$3,0,0,'Données projet'!$E$10+1,1))-AVERAGE(OFFSET($H$3,0,0,'Données projet'!$E$10+1,1))</f>
        <v>245.25496369542458</v>
      </c>
      <c r="AO19" s="62">
        <f t="shared" si="36"/>
        <v>342.30266518164211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1.8269230769230771</v>
      </c>
      <c r="BD19" s="13">
        <f>IF('Données projet'!$A$88&gt;35,BD18+BC19-BL18,IF(A19&lt;'Données projet'!$A$88,$BA$205^A19,IF(A19='Données projet'!$A$88,'Données projet'!$B$88,BD18+BC19-BL18)))</f>
        <v>17.790993698532937</v>
      </c>
      <c r="BE19" s="14">
        <f>BD19*VLOOKUP('Données projet'!$B$11,Paramètres!$A$1:$I$89,3,0)*VLOOKUP('Données projet'!$B$11,Paramètres!$A$1:$I$89,5,0)</f>
        <v>18.595146613706628</v>
      </c>
      <c r="BF19" s="14">
        <f t="shared" si="37"/>
        <v>6.0980861783311457</v>
      </c>
      <c r="BG19" s="22">
        <f t="shared" si="7"/>
        <v>43.007380446132458</v>
      </c>
      <c r="BH19" s="62">
        <f t="shared" si="8"/>
        <v>319.22960266835469</v>
      </c>
      <c r="BI19" s="62">
        <f ca="1">AVERAGE(OFFSET($BH$3,0,0,'Données projet'!$E$11+1,1))-AVERAGE(OFFSET($H$3,0,0,'Données projet'!$E$11+1,1))</f>
        <v>377.78532142539677</v>
      </c>
      <c r="BJ19" s="62">
        <f t="shared" si="38"/>
        <v>234.27695813539111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8.9411948236477841</v>
      </c>
      <c r="CA19" s="14">
        <f t="shared" si="39"/>
        <v>3.1930460350713803</v>
      </c>
      <c r="CB19" s="22">
        <f t="shared" si="10"/>
        <v>21.133802828935874</v>
      </c>
      <c r="CC19" s="62">
        <f t="shared" si="11"/>
        <v>297.3560250511581</v>
      </c>
      <c r="CD19" s="62">
        <f ca="1">AVERAGE(OFFSET($CC$3,0,0,'Données projet'!$E$12+1,1))-AVERAGE(OFFSET($H$3,0,0,'Données projet'!$E$12+1,1))</f>
        <v>360.32217613090035</v>
      </c>
      <c r="CE19" s="62">
        <f t="shared" si="40"/>
        <v>159.6134369231965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3.4358974358974361</v>
      </c>
      <c r="CT19" s="13">
        <f>IF('Données projet'!$A$140&gt;35,CT18+CS19-DB18,IF(A19&lt;'Données projet'!$A$140,$CQ$205^A19,IF(A19='Données projet'!$A$140,'Données projet'!$B$140,CT18+CS19-DB18)))</f>
        <v>11.849120186081615</v>
      </c>
      <c r="CU19" s="18">
        <f>CT19*VLOOKUP('Données projet'!$B$13,Paramètres!$A$1:$I$89,3,0)*VLOOKUP('Données projet'!$B$13,Paramètres!$A$1:$I$89,5,0)</f>
        <v>5.545388247086195</v>
      </c>
      <c r="CV19" s="14">
        <f t="shared" si="41"/>
        <v>2.0935837688261665</v>
      </c>
      <c r="CW19" s="22">
        <f t="shared" si="13"/>
        <v>13.304542927714031</v>
      </c>
      <c r="CX19" s="62">
        <f t="shared" si="14"/>
        <v>289.52676514993624</v>
      </c>
      <c r="CY19" s="62">
        <f ca="1">AVERAGE(OFFSET($CX$3,0,0,'Données projet'!$E$13+1,1))-AVERAGE(OFFSET($H$3,0,0,'Données projet'!$E$13+1,1))</f>
        <v>246.64907095367749</v>
      </c>
      <c r="CZ19" s="62">
        <f t="shared" si="42"/>
        <v>145.34368562171613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88.340500000000006</v>
      </c>
      <c r="L20" s="13">
        <f>VLOOKUP(A20,'Données projet'!$A$35:$I$55,9,0)</f>
        <v>10.132000000000005</v>
      </c>
      <c r="M20" s="13">
        <f t="array" ref="M20">INDEX(L:L,MIN(IF(ISNUMBER(L20:L216),ROW(L20:L216),"")))</f>
        <v>10.132000000000005</v>
      </c>
      <c r="N20" s="14">
        <f>IF('Données projet'!$A$36&gt;35,N19+M20-V19,IF(A20&lt;'Données projet'!$A$36,$K$205^A20,IF(A20='Données projet'!$A$36,'Données projet'!$B$36,N19+M20-V19)))</f>
        <v>88.340500000000006</v>
      </c>
      <c r="O20" s="14">
        <f>N20*VLOOKUP('Données projet'!$B$9,Paramètres!$A$1:$I$89,3,0)*VLOOKUP('Données projet'!$B$9,Paramètres!$A$1:$I$89,5,0)</f>
        <v>52.827619000000006</v>
      </c>
      <c r="P20" s="14">
        <f t="shared" si="33"/>
        <v>15.341650229603808</v>
      </c>
      <c r="Q20" s="22">
        <f t="shared" si="2"/>
        <v>118.72814390822663</v>
      </c>
      <c r="R20" s="62">
        <f t="shared" si="0"/>
        <v>396.17258835267108</v>
      </c>
      <c r="S20" s="62">
        <f ca="1">AVERAGE(OFFSET($R$3,0,0,'Données projet'!$E$9+1,1))-AVERAGE(OFFSET($H$3,0,0,'Données projet'!$E$9+1,1))</f>
        <v>207.03241199974599</v>
      </c>
      <c r="T20" s="62">
        <f t="shared" si="34"/>
        <v>314.188568589113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3.9215795940303386</v>
      </c>
      <c r="AB20" s="23">
        <f>EXP(-LN(2)/2)*AB19+(1-EXP(-LN(2)/2))/(LN(2)/2)*V20*Y20*VLOOKUP('Données projet'!$B$9,Paramètres!$A$1:$I$89,3,0)*0.475*44/12</f>
        <v>3.9465850388802592</v>
      </c>
      <c r="AC20" s="24">
        <f t="shared" si="3"/>
        <v>7.8681646329105979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7.6</v>
      </c>
      <c r="AI20" s="14">
        <f>IF('Données projet'!$A$62&gt;35,AI19+AH20-AQ19,IF(A20&lt;'Données projet'!$A$62,$AF$205^A20,IF(A20='Données projet'!$A$62,'Données projet'!$B$62,AI19+AH20-AQ19)))</f>
        <v>91.199999999999989</v>
      </c>
      <c r="AJ20" s="14">
        <f>AI20*VLOOKUP('Données projet'!$B$10,Paramètres!$A$1:$I$89,3,0)*VLOOKUP('Données projet'!$B$10,Paramètres!$A$1:$I$89,5,0)</f>
        <v>82.517759999999981</v>
      </c>
      <c r="AK20" s="14">
        <f t="shared" si="35"/>
        <v>22.751674941896663</v>
      </c>
      <c r="AL20" s="22">
        <f t="shared" si="4"/>
        <v>183.34426585713663</v>
      </c>
      <c r="AM20" s="62">
        <f t="shared" si="5"/>
        <v>460.78871030158109</v>
      </c>
      <c r="AN20" s="62">
        <f ca="1">AVERAGE(OFFSET($AM$3,0,0,'Données projet'!$E$10+1,1))-AVERAGE(OFFSET($H$3,0,0,'Données projet'!$E$10+1,1))</f>
        <v>245.25496369542458</v>
      </c>
      <c r="AO20" s="62">
        <f t="shared" si="36"/>
        <v>342.30266518164211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1.8269230769230771</v>
      </c>
      <c r="BD20" s="13">
        <f>IF('Données projet'!$A$88&gt;35,BD19+BC20-BL19,IF(A20&lt;'Données projet'!$A$88,$BA$205^A20,IF(A20='Données projet'!$A$88,'Données projet'!$B$88,BD19+BC20-BL19)))</f>
        <v>21.297945860423926</v>
      </c>
      <c r="BE20" s="14">
        <f>BD20*VLOOKUP('Données projet'!$B$11,Paramètres!$A$1:$I$89,3,0)*VLOOKUP('Données projet'!$B$11,Paramètres!$A$1:$I$89,5,0)</f>
        <v>22.260613013315091</v>
      </c>
      <c r="BF20" s="14">
        <f t="shared" si="37"/>
        <v>7.1488447206871681</v>
      </c>
      <c r="BG20" s="22">
        <f t="shared" si="7"/>
        <v>51.221472220053933</v>
      </c>
      <c r="BH20" s="62">
        <f t="shared" si="8"/>
        <v>328.66591666449841</v>
      </c>
      <c r="BI20" s="62">
        <f ca="1">AVERAGE(OFFSET($BH$3,0,0,'Données projet'!$E$11+1,1))-AVERAGE(OFFSET($H$3,0,0,'Données projet'!$E$11+1,1))</f>
        <v>377.78532142539677</v>
      </c>
      <c r="BJ20" s="62">
        <f t="shared" si="38"/>
        <v>234.27695813539111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10.244255656162224</v>
      </c>
      <c r="CA20" s="14">
        <f t="shared" si="39"/>
        <v>3.6009123769158946</v>
      </c>
      <c r="CB20" s="22">
        <f t="shared" si="10"/>
        <v>24.113667657611057</v>
      </c>
      <c r="CC20" s="62">
        <f t="shared" si="11"/>
        <v>301.55811210205553</v>
      </c>
      <c r="CD20" s="62">
        <f ca="1">AVERAGE(OFFSET($CC$3,0,0,'Données projet'!$E$12+1,1))-AVERAGE(OFFSET($H$3,0,0,'Données projet'!$E$12+1,1))</f>
        <v>360.32217613090035</v>
      </c>
      <c r="CE20" s="62">
        <f t="shared" si="40"/>
        <v>159.6134369231965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3.4358974358974361</v>
      </c>
      <c r="CT20" s="13">
        <f>IF('Données projet'!$A$140&gt;35,CT19+CS20-DB19,IF(A20&lt;'Données projet'!$A$140,$CQ$205^A20,IF(A20='Données projet'!$A$140,'Données projet'!$B$140,CT19+CS20-DB19)))</f>
        <v>13.82902259141513</v>
      </c>
      <c r="CU20" s="18">
        <f>CT20*VLOOKUP('Données projet'!$B$13,Paramètres!$A$1:$I$89,3,0)*VLOOKUP('Données projet'!$B$13,Paramètres!$A$1:$I$89,5,0)</f>
        <v>6.4719825727822808</v>
      </c>
      <c r="CV20" s="14">
        <f t="shared" si="41"/>
        <v>2.399853096169215</v>
      </c>
      <c r="CW20" s="22">
        <f t="shared" si="13"/>
        <v>15.45178045675719</v>
      </c>
      <c r="CX20" s="62">
        <f t="shared" si="14"/>
        <v>292.89622490120166</v>
      </c>
      <c r="CY20" s="62">
        <f ca="1">AVERAGE(OFFSET($CX$3,0,0,'Données projet'!$E$13+1,1))-AVERAGE(OFFSET($H$3,0,0,'Données projet'!$E$13+1,1))</f>
        <v>246.64907095367749</v>
      </c>
      <c r="CZ20" s="62">
        <f t="shared" si="42"/>
        <v>145.34368562171613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100.55499999999999</v>
      </c>
      <c r="L21" s="13">
        <f>VLOOKUP(A21,'Données projet'!$A$35:$I$55,9,0)</f>
        <v>12.214499999999987</v>
      </c>
      <c r="M21" s="13">
        <f t="array" ref="M21">INDEX(L:L,MIN(IF(ISNUMBER(L21:L217),ROW(L21:L217),"")))</f>
        <v>12.214499999999987</v>
      </c>
      <c r="N21" s="14">
        <f>IF('Données projet'!$A$36&gt;35,N20+M21-V20,IF(A21&lt;'Données projet'!$A$36,$K$205^A21,IF(A21='Données projet'!$A$36,'Données projet'!$B$36,N20+M21-V20)))</f>
        <v>100.55499999999999</v>
      </c>
      <c r="O21" s="14">
        <f>N21*VLOOKUP('Données projet'!$B$9,Paramètres!$A$1:$I$89,3,0)*VLOOKUP('Données projet'!$B$9,Paramètres!$A$1:$I$89,5,0)</f>
        <v>60.131889999999999</v>
      </c>
      <c r="P21" s="14">
        <f t="shared" si="33"/>
        <v>17.20161067997558</v>
      </c>
      <c r="Q21" s="22">
        <f t="shared" si="2"/>
        <v>134.68918035095743</v>
      </c>
      <c r="R21" s="62">
        <f t="shared" si="0"/>
        <v>413.35584701762411</v>
      </c>
      <c r="S21" s="62">
        <f ca="1">AVERAGE(OFFSET($R$3,0,0,'Données projet'!$E$9+1,1))-AVERAGE(OFFSET($H$3,0,0,'Données projet'!$E$9+1,1))</f>
        <v>207.03241199974599</v>
      </c>
      <c r="T21" s="62">
        <f t="shared" si="34"/>
        <v>314.188568589113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3.8143437938046709</v>
      </c>
      <c r="AB21" s="23">
        <f>EXP(-LN(2)/2)*AB20+(1-EXP(-LN(2)/2))/(LN(2)/2)*V21*Y21*VLOOKUP('Données projet'!$B$9,Paramètres!$A$1:$I$89,3,0)*0.475*44/12</f>
        <v>2.7906570435216058</v>
      </c>
      <c r="AC21" s="24">
        <f t="shared" si="3"/>
        <v>6.6050008373262763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7.6</v>
      </c>
      <c r="AI21" s="14">
        <f>IF('Données projet'!$A$62&gt;35,AI20+AH21-AQ20,IF(A21&lt;'Données projet'!$A$62,$AF$205^A21,IF(A21='Données projet'!$A$62,'Données projet'!$B$62,AI20+AH21-AQ20)))</f>
        <v>98.799999999999983</v>
      </c>
      <c r="AJ21" s="14">
        <f>AI21*VLOOKUP('Données projet'!$B$10,Paramètres!$A$1:$I$89,3,0)*VLOOKUP('Données projet'!$B$10,Paramètres!$A$1:$I$89,5,0)</f>
        <v>89.394239999999982</v>
      </c>
      <c r="AK21" s="14">
        <f t="shared" si="35"/>
        <v>24.419072895797868</v>
      </c>
      <c r="AL21" s="22">
        <f t="shared" si="4"/>
        <v>198.22485329351457</v>
      </c>
      <c r="AM21" s="62">
        <f t="shared" si="5"/>
        <v>476.89151996018126</v>
      </c>
      <c r="AN21" s="62">
        <f ca="1">AVERAGE(OFFSET($AM$3,0,0,'Données projet'!$E$10+1,1))-AVERAGE(OFFSET($H$3,0,0,'Données projet'!$E$10+1,1))</f>
        <v>245.25496369542458</v>
      </c>
      <c r="AO21" s="62">
        <f t="shared" si="36"/>
        <v>342.30266518164211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1.8269230769230771</v>
      </c>
      <c r="BD21" s="13">
        <f>IF('Données projet'!$A$88&gt;35,BD20+BC21-BL20,IF(A21&lt;'Données projet'!$A$88,$BA$205^A21,IF(A21='Données projet'!$A$88,'Données projet'!$B$88,BD20+BC21-BL20)))</f>
        <v>25.49618675380416</v>
      </c>
      <c r="BE21" s="14">
        <f>BD21*VLOOKUP('Données projet'!$B$11,Paramètres!$A$1:$I$89,3,0)*VLOOKUP('Données projet'!$B$11,Paramètres!$A$1:$I$89,5,0)</f>
        <v>26.648614395076113</v>
      </c>
      <c r="BF21" s="14">
        <f t="shared" si="37"/>
        <v>8.3806590044752181</v>
      </c>
      <c r="BG21" s="22">
        <f t="shared" si="7"/>
        <v>61.009317837551897</v>
      </c>
      <c r="BH21" s="62">
        <f t="shared" si="8"/>
        <v>339.6759845042186</v>
      </c>
      <c r="BI21" s="62">
        <f ca="1">AVERAGE(OFFSET($BH$3,0,0,'Données projet'!$E$11+1,1))-AVERAGE(OFFSET($H$3,0,0,'Données projet'!$E$11+1,1))</f>
        <v>377.78532142539677</v>
      </c>
      <c r="BJ21" s="62">
        <f t="shared" si="38"/>
        <v>234.27695813539111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11.737220362456757</v>
      </c>
      <c r="CA21" s="14">
        <f t="shared" si="39"/>
        <v>4.0608778588863084</v>
      </c>
      <c r="CB21" s="22">
        <f t="shared" si="10"/>
        <v>27.515021068839172</v>
      </c>
      <c r="CC21" s="62">
        <f t="shared" si="11"/>
        <v>306.18168773550588</v>
      </c>
      <c r="CD21" s="62">
        <f ca="1">AVERAGE(OFFSET($CC$3,0,0,'Données projet'!$E$12+1,1))-AVERAGE(OFFSET($H$3,0,0,'Données projet'!$E$12+1,1))</f>
        <v>360.32217613090035</v>
      </c>
      <c r="CE21" s="62">
        <f t="shared" si="40"/>
        <v>159.6134369231965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3.4358974358974361</v>
      </c>
      <c r="CT21" s="13">
        <f>IF('Données projet'!$A$140&gt;35,CT20+CS21-DB20,IF(A21&lt;'Données projet'!$A$140,$CQ$205^A21,IF(A21='Données projet'!$A$140,'Données projet'!$B$140,CT20+CS21-DB20)))</f>
        <v>16.139752389254127</v>
      </c>
      <c r="CU21" s="18">
        <f>CT21*VLOOKUP('Données projet'!$B$13,Paramètres!$A$1:$I$89,3,0)*VLOOKUP('Données projet'!$B$13,Paramètres!$A$1:$I$89,5,0)</f>
        <v>7.5534041181709313</v>
      </c>
      <c r="CV21" s="14">
        <f t="shared" si="41"/>
        <v>2.7509264109465743</v>
      </c>
      <c r="CW21" s="22">
        <f t="shared" si="13"/>
        <v>17.946709004879654</v>
      </c>
      <c r="CX21" s="62">
        <f t="shared" si="14"/>
        <v>296.61337567154635</v>
      </c>
      <c r="CY21" s="62">
        <f ca="1">AVERAGE(OFFSET($CX$3,0,0,'Données projet'!$E$13+1,1))-AVERAGE(OFFSET($H$3,0,0,'Données projet'!$E$13+1,1))</f>
        <v>246.64907095367749</v>
      </c>
      <c r="CZ21" s="62">
        <f t="shared" si="42"/>
        <v>145.34368562171613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113.679</v>
      </c>
      <c r="L22" s="13">
        <f>VLOOKUP(A22,'Données projet'!$A$35:$I$55,9,0)</f>
        <v>13.124000000000009</v>
      </c>
      <c r="M22" s="13">
        <f t="array" ref="M22">INDEX(L:L,MIN(IF(ISNUMBER(L22:L218),ROW(L22:L218),"")))</f>
        <v>13.124000000000009</v>
      </c>
      <c r="N22" s="14">
        <f>IF('Données projet'!$A$36&gt;35,N21+M22-V21,IF(A22&lt;'Données projet'!$A$36,$K$205^A22,IF(A22='Données projet'!$A$36,'Données projet'!$B$36,N21+M22-V21)))</f>
        <v>113.679</v>
      </c>
      <c r="O22" s="14">
        <f>N22*VLOOKUP('Données projet'!$B$9,Paramètres!$A$1:$I$89,3,0)*VLOOKUP('Données projet'!$B$9,Paramètres!$A$1:$I$89,5,0)</f>
        <v>67.980042000000012</v>
      </c>
      <c r="P22" s="14">
        <f t="shared" si="33"/>
        <v>19.170979162871237</v>
      </c>
      <c r="Q22" s="22">
        <f t="shared" si="2"/>
        <v>151.78802852533406</v>
      </c>
      <c r="R22" s="62">
        <f t="shared" si="0"/>
        <v>431.67691741422288</v>
      </c>
      <c r="S22" s="62">
        <f ca="1">AVERAGE(OFFSET($R$3,0,0,'Données projet'!$E$9+1,1))-AVERAGE(OFFSET($H$3,0,0,'Données projet'!$E$9+1,1))</f>
        <v>207.03241199974599</v>
      </c>
      <c r="T22" s="62">
        <f t="shared" si="34"/>
        <v>314.188568589113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3.7100403621754601</v>
      </c>
      <c r="AB22" s="23">
        <f>EXP(-LN(2)/2)*AB21+(1-EXP(-LN(2)/2))/(LN(2)/2)*V22*Y22*VLOOKUP('Données projet'!$B$9,Paramètres!$A$1:$I$89,3,0)*0.475*44/12</f>
        <v>1.9732925194401298</v>
      </c>
      <c r="AC22" s="24">
        <f t="shared" si="3"/>
        <v>5.6833328816155895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7.6</v>
      </c>
      <c r="AI22" s="14">
        <f>IF('Données projet'!$A$62&gt;35,AI21+AH22-AQ21,IF(A22&lt;'Données projet'!$A$62,$AF$205^A22,IF(A22='Données projet'!$A$62,'Données projet'!$B$62,AI21+AH22-AQ21)))</f>
        <v>106.39999999999998</v>
      </c>
      <c r="AJ22" s="14">
        <f>AI22*VLOOKUP('Données projet'!$B$10,Paramètres!$A$1:$I$89,3,0)*VLOOKUP('Données projet'!$B$10,Paramètres!$A$1:$I$89,5,0)</f>
        <v>96.270719999999969</v>
      </c>
      <c r="AK22" s="14">
        <f t="shared" si="35"/>
        <v>26.071592384845928</v>
      </c>
      <c r="AL22" s="22">
        <f t="shared" si="4"/>
        <v>213.07952740360659</v>
      </c>
      <c r="AM22" s="62">
        <f t="shared" si="5"/>
        <v>492.96841629249548</v>
      </c>
      <c r="AN22" s="62">
        <f ca="1">AVERAGE(OFFSET($AM$3,0,0,'Données projet'!$E$10+1,1))-AVERAGE(OFFSET($H$3,0,0,'Données projet'!$E$10+1,1))</f>
        <v>245.25496369542458</v>
      </c>
      <c r="AO22" s="62">
        <f t="shared" si="36"/>
        <v>342.30266518164211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1.8269230769230771</v>
      </c>
      <c r="BD22" s="13">
        <f>IF('Données projet'!$A$88&gt;35,BD21+BC22-BL21,IF(A22&lt;'Données projet'!$A$88,$BA$205^A22,IF(A22='Données projet'!$A$88,'Données projet'!$B$88,BD21+BC22-BL21)))</f>
        <v>30.521982882527599</v>
      </c>
      <c r="BE22" s="14">
        <f>BD22*VLOOKUP('Données projet'!$B$11,Paramètres!$A$1:$I$89,3,0)*VLOOKUP('Données projet'!$B$11,Paramètres!$A$1:$I$89,5,0)</f>
        <v>31.901576508817847</v>
      </c>
      <c r="BF22" s="14">
        <f t="shared" si="37"/>
        <v>9.82472666472189</v>
      </c>
      <c r="BG22" s="22">
        <f t="shared" si="7"/>
        <v>72.673311360581707</v>
      </c>
      <c r="BH22" s="62">
        <f t="shared" si="8"/>
        <v>352.56220024947055</v>
      </c>
      <c r="BI22" s="62">
        <f ca="1">AVERAGE(OFFSET($BH$3,0,0,'Données projet'!$E$11+1,1))-AVERAGE(OFFSET($H$3,0,0,'Données projet'!$E$11+1,1))</f>
        <v>377.78532142539677</v>
      </c>
      <c r="BJ22" s="62">
        <f t="shared" si="38"/>
        <v>234.27695813539111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13.447764919260033</v>
      </c>
      <c r="CA22" s="14">
        <f t="shared" si="39"/>
        <v>4.5795974071762906</v>
      </c>
      <c r="CB22" s="22">
        <f t="shared" si="10"/>
        <v>31.397656051876599</v>
      </c>
      <c r="CC22" s="62">
        <f t="shared" si="11"/>
        <v>311.28654494076545</v>
      </c>
      <c r="CD22" s="62">
        <f ca="1">AVERAGE(OFFSET($CC$3,0,0,'Données projet'!$E$12+1,1))-AVERAGE(OFFSET($H$3,0,0,'Données projet'!$E$12+1,1))</f>
        <v>360.32217613090035</v>
      </c>
      <c r="CE22" s="62">
        <f t="shared" si="40"/>
        <v>159.6134369231965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3.4358974358974361</v>
      </c>
      <c r="CT22" s="13">
        <f>IF('Données projet'!$A$140&gt;35,CT21+CS22-DB21,IF(A22&lt;'Données projet'!$A$140,$CQ$205^A22,IF(A22='Données projet'!$A$140,'Données projet'!$B$140,CT21+CS22-DB21)))</f>
        <v>18.836588447555499</v>
      </c>
      <c r="CU22" s="18">
        <f>CT22*VLOOKUP('Données projet'!$B$13,Paramètres!$A$1:$I$89,3,0)*VLOOKUP('Données projet'!$B$13,Paramètres!$A$1:$I$89,5,0)</f>
        <v>8.8155233934559742</v>
      </c>
      <c r="CV22" s="14">
        <f t="shared" si="41"/>
        <v>3.153358066176315</v>
      </c>
      <c r="CW22" s="22">
        <f t="shared" si="13"/>
        <v>20.845801875526238</v>
      </c>
      <c r="CX22" s="62">
        <f t="shared" si="14"/>
        <v>300.73469076441512</v>
      </c>
      <c r="CY22" s="62">
        <f ca="1">AVERAGE(OFFSET($CX$3,0,0,'Données projet'!$E$13+1,1))-AVERAGE(OFFSET($H$3,0,0,'Données projet'!$E$13+1,1))</f>
        <v>246.64907095367749</v>
      </c>
      <c r="CZ22" s="62">
        <f t="shared" si="42"/>
        <v>145.34368562171613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130.203</v>
      </c>
      <c r="L23" s="13">
        <f>VLOOKUP(A23,'Données projet'!$A$35:$I$55,9,0)</f>
        <v>16.524000000000001</v>
      </c>
      <c r="M23" s="13">
        <f t="array" ref="M23">INDEX(L:L,MIN(IF(ISNUMBER(L23:L219),ROW(L23:L219),"")))</f>
        <v>16.524000000000001</v>
      </c>
      <c r="N23" s="14">
        <f>IF('Données projet'!$A$36&gt;35,N22+M23-V22,IF(A23&lt;'Données projet'!$A$36,$K$205^A23,IF(A23='Données projet'!$A$36,'Données projet'!$B$36,N22+M23-V22)))</f>
        <v>130.203</v>
      </c>
      <c r="O23" s="14">
        <f>N23*VLOOKUP('Données projet'!$B$9,Paramètres!$A$1:$I$89,3,0)*VLOOKUP('Données projet'!$B$9,Paramètres!$A$1:$I$89,5,0)</f>
        <v>77.861394000000004</v>
      </c>
      <c r="P23" s="14">
        <f t="shared" si="33"/>
        <v>21.613462087022899</v>
      </c>
      <c r="Q23" s="22">
        <f t="shared" si="2"/>
        <v>173.25204101823155</v>
      </c>
      <c r="R23" s="62">
        <f t="shared" si="0"/>
        <v>454.36315212934267</v>
      </c>
      <c r="S23" s="62">
        <f ca="1">AVERAGE(OFFSET($R$3,0,0,'Données projet'!$E$9+1,1))-AVERAGE(OFFSET($H$3,0,0,'Données projet'!$E$9+1,1))</f>
        <v>207.03241199974599</v>
      </c>
      <c r="T23" s="62">
        <f t="shared" si="34"/>
        <v>314.188568589113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34.110500000000002</v>
      </c>
      <c r="W23" s="17">
        <f>IF(ISNA(VLOOKUP(A23,'Données projet'!$A$35:$I$55,5,0)),0%,VLOOKUP(A23,'Données projet'!$A$35:$I$55,5,0)*VLOOKUP('Données projet'!$B$9,Paramètres!$A$1:$I$89,7,0))</f>
        <v>0.1125</v>
      </c>
      <c r="X23" s="78">
        <f>IF(ISNA(VLOOKUP(A23,'Données projet'!$A$35:$I$55,6,0)),0%,VLOOKUP(A23,'Données projet'!$A$35:$I$55,6,0)*VLOOKUP('Données projet'!$B$9,Paramètres!$A$1:$I$89,7,0))</f>
        <v>0.16875000000000001</v>
      </c>
      <c r="Y23" s="17">
        <f>IF(ISNA(VLOOKUP(A23,'Données projet'!$A$35:$I$55,7,0)),0%,VLOOKUP(A23,'Données projet'!$A$35:$I$55,7,0))</f>
        <v>0.375</v>
      </c>
      <c r="Z23" s="23">
        <f>EXP(-LN(2)/35)*Z22+(1-EXP(-LN(2)/35))/(LN(2)/35)*V23*W23*VLOOKUP('Données projet'!$B$9,Paramètres!$A$1:$I$89,3,0)*0.475*44/12</f>
        <v>3.0441787380728691</v>
      </c>
      <c r="AA23" s="23">
        <f>EXP(-LN(2)/25)*AA22+(1-EXP(-LN(2)/25))/(LN(2)/25)*Calculateur!V23*Calculateur!X23*VLOOKUP('Données projet'!$B$9,Paramètres!$A$1:$I$89,3,0)*0.475*44/12</f>
        <v>8.1568780830562897</v>
      </c>
      <c r="AB23" s="23">
        <f>EXP(-LN(2)/2)*AB22+(1-EXP(-LN(2)/2))/(LN(2)/2)*V23*Y23*VLOOKUP('Données projet'!$B$9,Paramètres!$A$1:$I$89,3,0)*0.475*44/12</f>
        <v>10.056089965996938</v>
      </c>
      <c r="AC23" s="24">
        <f t="shared" si="3"/>
        <v>21.257146787126096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114</v>
      </c>
      <c r="AG23" s="13">
        <f>VLOOKUP(A23,'Données projet'!$A$61:$I$81,9,0)</f>
        <v>7.6</v>
      </c>
      <c r="AH23" s="13">
        <f t="array" ref="AH23">INDEX(AG:AG,MIN(IF(ISNUMBER(AG23:AG219),ROW(AG23:AG219),"")))</f>
        <v>7.6</v>
      </c>
      <c r="AI23" s="14">
        <f>IF('Données projet'!$A$62&gt;35,AI22+AH23-AQ22,IF(A23&lt;'Données projet'!$A$62,$AF$205^A23,IF(A23='Données projet'!$A$62,'Données projet'!$B$62,AI22+AH23-AQ22)))</f>
        <v>113.99999999999997</v>
      </c>
      <c r="AJ23" s="14">
        <f>AI23*VLOOKUP('Données projet'!$B$10,Paramètres!$A$1:$I$89,3,0)*VLOOKUP('Données projet'!$B$10,Paramètres!$A$1:$I$89,5,0)</f>
        <v>103.14719999999997</v>
      </c>
      <c r="AK23" s="14">
        <f t="shared" si="35"/>
        <v>27.710417026801451</v>
      </c>
      <c r="AL23" s="22">
        <f t="shared" si="4"/>
        <v>227.91034965501248</v>
      </c>
      <c r="AM23" s="62">
        <f t="shared" si="5"/>
        <v>509.0214607661236</v>
      </c>
      <c r="AN23" s="62">
        <f ca="1">AVERAGE(OFFSET($AM$3,0,0,'Données projet'!$E$10+1,1))-AVERAGE(OFFSET($H$3,0,0,'Données projet'!$E$10+1,1))</f>
        <v>245.25496369542458</v>
      </c>
      <c r="AO23" s="62">
        <f t="shared" si="36"/>
        <v>342.30266518164211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10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36.53846153846154</v>
      </c>
      <c r="BB23" s="13">
        <f>VLOOKUP(A23,'Données projet'!$A$87:$I$107,9,0)</f>
        <v>1.8269230769230771</v>
      </c>
      <c r="BC23" s="13">
        <f t="array" ref="BC23">INDEX(BB:BB,MIN(IF(ISNUMBER(BB23:BB219),ROW(BB23:BB219),"")))</f>
        <v>1.8269230769230771</v>
      </c>
      <c r="BD23" s="13">
        <f>IF('Données projet'!$A$88&gt;35,BD22+BC23-BL22,IF(A23&lt;'Données projet'!$A$88,$BA$205^A23,IF(A23='Données projet'!$A$88,'Données projet'!$B$88,BD22+BC23-BL22)))</f>
        <v>36.53846153846154</v>
      </c>
      <c r="BE23" s="14">
        <f>BD23*VLOOKUP('Données projet'!$B$11,Paramètres!$A$1:$I$89,3,0)*VLOOKUP('Données projet'!$B$11,Paramètres!$A$1:$I$89,5,0)</f>
        <v>38.190000000000005</v>
      </c>
      <c r="BF23" s="14">
        <f t="shared" si="37"/>
        <v>11.517620987198425</v>
      </c>
      <c r="BG23" s="22">
        <f t="shared" si="7"/>
        <v>86.574106552703938</v>
      </c>
      <c r="BH23" s="62">
        <f t="shared" si="8"/>
        <v>367.68521766381508</v>
      </c>
      <c r="BI23" s="62">
        <f ca="1">AVERAGE(OFFSET($BH$3,0,0,'Données projet'!$E$11+1,1))-AVERAGE(OFFSET($H$3,0,0,'Données projet'!$E$11+1,1))</f>
        <v>377.78532142539677</v>
      </c>
      <c r="BJ23" s="62">
        <f t="shared" si="38"/>
        <v>234.27695813539111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15.407598710690648</v>
      </c>
      <c r="CA23" s="14">
        <f t="shared" si="39"/>
        <v>5.1645760204094255</v>
      </c>
      <c r="CB23" s="22">
        <f t="shared" si="10"/>
        <v>35.829870989999293</v>
      </c>
      <c r="CC23" s="62">
        <f t="shared" si="11"/>
        <v>316.94098210111042</v>
      </c>
      <c r="CD23" s="62">
        <f ca="1">AVERAGE(OFFSET($CC$3,0,0,'Données projet'!$E$12+1,1))-AVERAGE(OFFSET($H$3,0,0,'Données projet'!$E$12+1,1))</f>
        <v>360.32217613090035</v>
      </c>
      <c r="CE23" s="62">
        <f t="shared" si="40"/>
        <v>159.6134369231965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3.4358974358974361</v>
      </c>
      <c r="CT23" s="13">
        <f>IF('Données projet'!$A$140&gt;35,CT22+CS23-DB22,IF(A23&lt;'Données projet'!$A$140,$CQ$205^A23,IF(A23='Données projet'!$A$140,'Données projet'!$B$140,CT22+CS23-DB22)))</f>
        <v>21.984046333871831</v>
      </c>
      <c r="CU23" s="18">
        <f>CT23*VLOOKUP('Données projet'!$B$13,Paramètres!$A$1:$I$89,3,0)*VLOOKUP('Données projet'!$B$13,Paramètres!$A$1:$I$89,5,0)</f>
        <v>10.288533684252016</v>
      </c>
      <c r="CV23" s="14">
        <f t="shared" si="41"/>
        <v>3.6146612479167253</v>
      </c>
      <c r="CW23" s="22">
        <f t="shared" si="13"/>
        <v>24.214731173527223</v>
      </c>
      <c r="CX23" s="62">
        <f t="shared" si="14"/>
        <v>305.32584228463838</v>
      </c>
      <c r="CY23" s="62">
        <f ca="1">AVERAGE(OFFSET($CX$3,0,0,'Données projet'!$E$13+1,1))-AVERAGE(OFFSET($H$3,0,0,'Données projet'!$E$13+1,1))</f>
        <v>246.64907095367749</v>
      </c>
      <c r="CZ23" s="62">
        <f t="shared" si="42"/>
        <v>145.34368562171613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110.82299999999999</v>
      </c>
      <c r="L24" s="13">
        <f>VLOOKUP(A24,'Données projet'!$A$35:$I$55,9,0)</f>
        <v>14.730499999999992</v>
      </c>
      <c r="M24" s="13">
        <f t="array" ref="M24">INDEX(L:L,MIN(IF(ISNUMBER(L24:L220),ROW(L24:L220),"")))</f>
        <v>14.730499999999992</v>
      </c>
      <c r="N24" s="14">
        <f>IF('Données projet'!$A$36&gt;35,N23+M24-V23,IF(A24&lt;'Données projet'!$A$36,$K$205^A24,IF(A24='Données projet'!$A$36,'Données projet'!$B$36,N23+M24-V23)))</f>
        <v>110.82299999999998</v>
      </c>
      <c r="O24" s="14">
        <f>N24*VLOOKUP('Données projet'!$B$9,Paramètres!$A$1:$I$89,3,0)*VLOOKUP('Données projet'!$B$9,Paramètres!$A$1:$I$89,5,0)</f>
        <v>66.272154</v>
      </c>
      <c r="P24" s="14">
        <f t="shared" si="33"/>
        <v>18.744774180635133</v>
      </c>
      <c r="Q24" s="22">
        <f t="shared" si="2"/>
        <v>148.07114991460617</v>
      </c>
      <c r="R24" s="62">
        <f t="shared" si="0"/>
        <v>430.40448324793948</v>
      </c>
      <c r="S24" s="62">
        <f ca="1">AVERAGE(OFFSET($R$3,0,0,'Données projet'!$E$9+1,1))-AVERAGE(OFFSET($H$3,0,0,'Données projet'!$E$9+1,1))</f>
        <v>207.03241199974599</v>
      </c>
      <c r="T24" s="62">
        <f t="shared" si="34"/>
        <v>314.188568589113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2.9844842497849502</v>
      </c>
      <c r="AA24" s="23">
        <f>EXP(-LN(2)/25)*AA23+(1-EXP(-LN(2)/25))/(LN(2)/25)*Calculateur!V24*Calculateur!X24*VLOOKUP('Données projet'!$B$9,Paramètres!$A$1:$I$89,3,0)*0.475*44/12</f>
        <v>7.9338278229235399</v>
      </c>
      <c r="AB24" s="23">
        <f>EXP(-LN(2)/2)*AB23+(1-EXP(-LN(2)/2))/(LN(2)/2)*V24*Y24*VLOOKUP('Données projet'!$B$9,Paramètres!$A$1:$I$89,3,0)*0.475*44/12</f>
        <v>7.1107294071784333</v>
      </c>
      <c r="AC24" s="24">
        <f t="shared" si="3"/>
        <v>18.029041479886924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6.4</v>
      </c>
      <c r="AI24" s="14">
        <f>IF('Données projet'!$A$62&gt;35,AI23+AH24-AQ23,IF(A24&lt;'Données projet'!$A$62,$AF$205^A24,IF(A24='Données projet'!$A$62,'Données projet'!$B$62,AI23+AH24-AQ23)))</f>
        <v>110.39999999999998</v>
      </c>
      <c r="AJ24" s="14">
        <f>AI24*VLOOKUP('Données projet'!$B$10,Paramètres!$A$1:$I$89,3,0)*VLOOKUP('Données projet'!$B$10,Paramètres!$A$1:$I$89,5,0)</f>
        <v>99.889919999999975</v>
      </c>
      <c r="AK24" s="14">
        <f t="shared" si="35"/>
        <v>26.935770825480166</v>
      </c>
      <c r="AL24" s="22">
        <f t="shared" si="4"/>
        <v>220.88807818771124</v>
      </c>
      <c r="AM24" s="62">
        <f t="shared" si="5"/>
        <v>503.22141152104456</v>
      </c>
      <c r="AN24" s="62">
        <f ca="1">AVERAGE(OFFSET($AM$3,0,0,'Données projet'!$E$10+1,1))-AVERAGE(OFFSET($H$3,0,0,'Données projet'!$E$10+1,1))</f>
        <v>245.25496369542458</v>
      </c>
      <c r="AO24" s="62">
        <f t="shared" si="36"/>
        <v>342.30266518164211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4.7435897435897427</v>
      </c>
      <c r="BD24" s="13">
        <f>IF('Données projet'!$A$88&gt;35,BD23+BC24-BL23,IF(A24&lt;'Données projet'!$A$88,$BA$205^A24,IF(A24='Données projet'!$A$88,'Données projet'!$B$88,BD23+BC24-BL23)))</f>
        <v>41.282051282051285</v>
      </c>
      <c r="BE24" s="14">
        <f>BD24*VLOOKUP('Données projet'!$B$11,Paramètres!$A$1:$I$89,3,0)*VLOOKUP('Données projet'!$B$11,Paramètres!$A$1:$I$89,5,0)</f>
        <v>43.148000000000003</v>
      </c>
      <c r="BF24" s="14">
        <f t="shared" si="37"/>
        <v>12.829310402742328</v>
      </c>
      <c r="BG24" s="22">
        <f t="shared" si="7"/>
        <v>97.493815618109565</v>
      </c>
      <c r="BH24" s="62">
        <f t="shared" si="8"/>
        <v>379.82714895144289</v>
      </c>
      <c r="BI24" s="62">
        <f ca="1">AVERAGE(OFFSET($BH$3,0,0,'Données projet'!$E$11+1,1))-AVERAGE(OFFSET($H$3,0,0,'Données projet'!$E$11+1,1))</f>
        <v>377.78532142539677</v>
      </c>
      <c r="BJ24" s="62">
        <f t="shared" si="38"/>
        <v>234.27695813539111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17.653052344012782</v>
      </c>
      <c r="CA24" s="14">
        <f t="shared" si="39"/>
        <v>5.8242773543349813</v>
      </c>
      <c r="CB24" s="22">
        <f t="shared" si="10"/>
        <v>40.889682557955688</v>
      </c>
      <c r="CC24" s="62">
        <f t="shared" si="11"/>
        <v>323.22301589128898</v>
      </c>
      <c r="CD24" s="62">
        <f ca="1">AVERAGE(OFFSET($CC$3,0,0,'Données projet'!$E$12+1,1))-AVERAGE(OFFSET($H$3,0,0,'Données projet'!$E$12+1,1))</f>
        <v>360.32217613090035</v>
      </c>
      <c r="CE24" s="62">
        <f t="shared" si="40"/>
        <v>159.6134369231965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3.4358974358974361</v>
      </c>
      <c r="CT24" s="13">
        <f>IF('Données projet'!$A$140&gt;35,CT23+CS24-DB23,IF(A24&lt;'Données projet'!$A$140,$CQ$205^A24,IF(A24='Données projet'!$A$140,'Données projet'!$B$140,CT23+CS24-DB23)))</f>
        <v>25.657421701143715</v>
      </c>
      <c r="CU24" s="18">
        <f>CT24*VLOOKUP('Données projet'!$B$13,Paramètres!$A$1:$I$89,3,0)*VLOOKUP('Données projet'!$B$13,Paramètres!$A$1:$I$89,5,0)</f>
        <v>12.007673356135259</v>
      </c>
      <c r="CV24" s="14">
        <f t="shared" si="41"/>
        <v>4.1434482424744576</v>
      </c>
      <c r="CW24" s="22">
        <f t="shared" si="13"/>
        <v>28.129870117578587</v>
      </c>
      <c r="CX24" s="62">
        <f t="shared" si="14"/>
        <v>310.46320345091192</v>
      </c>
      <c r="CY24" s="62">
        <f ca="1">AVERAGE(OFFSET($CX$3,0,0,'Données projet'!$E$13+1,1))-AVERAGE(OFFSET($H$3,0,0,'Données projet'!$E$13+1,1))</f>
        <v>246.64907095367749</v>
      </c>
      <c r="CZ24" s="62">
        <f t="shared" si="42"/>
        <v>145.34368562171613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126.871</v>
      </c>
      <c r="L25" s="13">
        <f>VLOOKUP(A25,'Données projet'!$A$35:$I$55,9,0)</f>
        <v>16.048000000000002</v>
      </c>
      <c r="M25" s="13">
        <f t="array" ref="M25">INDEX(L:L,MIN(IF(ISNUMBER(L25:L221),ROW(L25:L221),"")))</f>
        <v>16.048000000000002</v>
      </c>
      <c r="N25" s="14">
        <f>IF('Données projet'!$A$36&gt;35,N24+M25-V24,IF(A25&lt;'Données projet'!$A$36,$K$205^A25,IF(A25='Données projet'!$A$36,'Données projet'!$B$36,N24+M25-V24)))</f>
        <v>126.87099999999998</v>
      </c>
      <c r="O25" s="14">
        <f>N25*VLOOKUP('Données projet'!$B$9,Paramètres!$A$1:$I$89,3,0)*VLOOKUP('Données projet'!$B$9,Paramètres!$A$1:$I$89,5,0)</f>
        <v>75.868858000000003</v>
      </c>
      <c r="P25" s="14">
        <f t="shared" si="33"/>
        <v>21.124002732140855</v>
      </c>
      <c r="Q25" s="22">
        <f t="shared" si="2"/>
        <v>168.92923244181199</v>
      </c>
      <c r="R25" s="62">
        <f t="shared" si="0"/>
        <v>452.48478799736756</v>
      </c>
      <c r="S25" s="62">
        <f ca="1">AVERAGE(OFFSET($R$3,0,0,'Données projet'!$E$9+1,1))-AVERAGE(OFFSET($H$3,0,0,'Données projet'!$E$9+1,1))</f>
        <v>207.03241199974599</v>
      </c>
      <c r="T25" s="62">
        <f t="shared" si="34"/>
        <v>314.188568589113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2.9259603340023146</v>
      </c>
      <c r="AA25" s="23">
        <f>EXP(-LN(2)/25)*AA24+(1-EXP(-LN(2)/25))/(LN(2)/25)*Calculateur!V25*Calculateur!X25*VLOOKUP('Données projet'!$B$9,Paramètres!$A$1:$I$89,3,0)*0.475*44/12</f>
        <v>7.716876883883824</v>
      </c>
      <c r="AB25" s="23">
        <f>EXP(-LN(2)/2)*AB24+(1-EXP(-LN(2)/2))/(LN(2)/2)*V25*Y25*VLOOKUP('Données projet'!$B$9,Paramètres!$A$1:$I$89,3,0)*0.475*44/12</f>
        <v>5.0280449829984697</v>
      </c>
      <c r="AC25" s="24">
        <f t="shared" si="3"/>
        <v>15.670882200884609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6.4</v>
      </c>
      <c r="AI25" s="14">
        <f>IF('Données projet'!$A$62&gt;35,AI24+AH25-AQ24,IF(A25&lt;'Données projet'!$A$62,$AF$205^A25,IF(A25='Données projet'!$A$62,'Données projet'!$B$62,AI24+AH25-AQ24)))</f>
        <v>116.79999999999998</v>
      </c>
      <c r="AJ25" s="14">
        <f>AI25*VLOOKUP('Données projet'!$B$10,Paramètres!$A$1:$I$89,3,0)*VLOOKUP('Données projet'!$B$10,Paramètres!$A$1:$I$89,5,0)</f>
        <v>105.68063999999998</v>
      </c>
      <c r="AK25" s="14">
        <f t="shared" si="35"/>
        <v>28.31094923104175</v>
      </c>
      <c r="AL25" s="22">
        <f t="shared" si="4"/>
        <v>233.36868457739766</v>
      </c>
      <c r="AM25" s="62">
        <f t="shared" si="5"/>
        <v>516.92424013295317</v>
      </c>
      <c r="AN25" s="62">
        <f ca="1">AVERAGE(OFFSET($AM$3,0,0,'Données projet'!$E$10+1,1))-AVERAGE(OFFSET($H$3,0,0,'Données projet'!$E$10+1,1))</f>
        <v>245.25496369542458</v>
      </c>
      <c r="AO25" s="62">
        <f t="shared" si="36"/>
        <v>342.30266518164211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4.7435897435897427</v>
      </c>
      <c r="BD25" s="13">
        <f>IF('Données projet'!$A$88&gt;35,BD24+BC25-BL24,IF(A25&lt;'Données projet'!$A$88,$BA$205^A25,IF(A25='Données projet'!$A$88,'Données projet'!$B$88,BD24+BC25-BL24)))</f>
        <v>46.025641025641029</v>
      </c>
      <c r="BE25" s="14">
        <f>BD25*VLOOKUP('Données projet'!$B$11,Paramètres!$A$1:$I$89,3,0)*VLOOKUP('Données projet'!$B$11,Paramètres!$A$1:$I$89,5,0)</f>
        <v>48.106000000000009</v>
      </c>
      <c r="BF25" s="14">
        <f t="shared" si="37"/>
        <v>14.123532039098192</v>
      </c>
      <c r="BG25" s="22">
        <f t="shared" si="7"/>
        <v>108.3831016347627</v>
      </c>
      <c r="BH25" s="62">
        <f t="shared" si="8"/>
        <v>391.93865719031822</v>
      </c>
      <c r="BI25" s="62">
        <f ca="1">AVERAGE(OFFSET($BH$3,0,0,'Données projet'!$E$11+1,1))-AVERAGE(OFFSET($H$3,0,0,'Données projet'!$E$11+1,1))</f>
        <v>377.78532142539677</v>
      </c>
      <c r="BJ25" s="62">
        <f t="shared" si="38"/>
        <v>234.27695813539111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20.225751131759992</v>
      </c>
      <c r="CA25" s="14">
        <f t="shared" si="39"/>
        <v>6.5682461766784241</v>
      </c>
      <c r="CB25" s="22">
        <f t="shared" si="10"/>
        <v>46.666211978863579</v>
      </c>
      <c r="CC25" s="62">
        <f t="shared" si="11"/>
        <v>330.22176753441914</v>
      </c>
      <c r="CD25" s="62">
        <f ca="1">AVERAGE(OFFSET($CC$3,0,0,'Données projet'!$E$12+1,1))-AVERAGE(OFFSET($H$3,0,0,'Données projet'!$E$12+1,1))</f>
        <v>360.32217613090035</v>
      </c>
      <c r="CE25" s="62">
        <f t="shared" si="40"/>
        <v>159.6134369231965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3.4358974358974361</v>
      </c>
      <c r="CT25" s="13">
        <f>IF('Données projet'!$A$140&gt;35,CT24+CS25-DB24,IF(A25&lt;'Données projet'!$A$140,$CQ$205^A25,IF(A25='Données projet'!$A$140,'Données projet'!$B$140,CT24+CS25-DB24)))</f>
        <v>29.944591562111224</v>
      </c>
      <c r="CU25" s="18">
        <f>CT25*VLOOKUP('Données projet'!$B$13,Paramètres!$A$1:$I$89,3,0)*VLOOKUP('Données projet'!$B$13,Paramètres!$A$1:$I$89,5,0)</f>
        <v>14.014068851068053</v>
      </c>
      <c r="CV25" s="14">
        <f t="shared" si="41"/>
        <v>4.749591223232712</v>
      </c>
      <c r="CW25" s="22">
        <f t="shared" si="13"/>
        <v>32.680041296073831</v>
      </c>
      <c r="CX25" s="62">
        <f t="shared" si="14"/>
        <v>316.2355968516294</v>
      </c>
      <c r="CY25" s="62">
        <f ca="1">AVERAGE(OFFSET($CX$3,0,0,'Données projet'!$E$13+1,1))-AVERAGE(OFFSET($H$3,0,0,'Données projet'!$E$13+1,1))</f>
        <v>246.64907095367749</v>
      </c>
      <c r="CZ25" s="62">
        <f t="shared" si="42"/>
        <v>145.34368562171613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143.72650000000002</v>
      </c>
      <c r="L26" s="13">
        <f>VLOOKUP(A26,'Données projet'!$A$35:$I$55,9,0)</f>
        <v>16.855500000000021</v>
      </c>
      <c r="M26" s="13">
        <f t="array" ref="M26">INDEX(L:L,MIN(IF(ISNUMBER(L26:L222),ROW(L26:L222),"")))</f>
        <v>16.855500000000021</v>
      </c>
      <c r="N26" s="14">
        <f>IF('Données projet'!$A$36&gt;35,N25+M26-V25,IF(A26&lt;'Données projet'!$A$36,$K$205^A26,IF(A26='Données projet'!$A$36,'Données projet'!$B$36,N25+M26-V25)))</f>
        <v>143.72649999999999</v>
      </c>
      <c r="O26" s="14">
        <f>N26*VLOOKUP('Données projet'!$B$9,Paramètres!$A$1:$I$89,3,0)*VLOOKUP('Données projet'!$B$9,Paramètres!$A$1:$I$89,5,0)</f>
        <v>85.948447000000002</v>
      </c>
      <c r="P26" s="14">
        <f t="shared" si="33"/>
        <v>23.585483929286731</v>
      </c>
      <c r="Q26" s="22">
        <f t="shared" si="2"/>
        <v>190.77159636850772</v>
      </c>
      <c r="R26" s="62">
        <f t="shared" si="0"/>
        <v>475.54937414628546</v>
      </c>
      <c r="S26" s="62">
        <f ca="1">AVERAGE(OFFSET($R$3,0,0,'Données projet'!$E$9+1,1))-AVERAGE(OFFSET($H$3,0,0,'Données projet'!$E$9+1,1))</f>
        <v>207.03241199974599</v>
      </c>
      <c r="T26" s="62">
        <f t="shared" si="34"/>
        <v>314.188568589113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2.8685840365121122</v>
      </c>
      <c r="AA26" s="23">
        <f>EXP(-LN(2)/25)*AA25+(1-EXP(-LN(2)/25))/(LN(2)/25)*Calculateur!V26*Calculateur!X26*VLOOKUP('Données projet'!$B$9,Paramètres!$A$1:$I$89,3,0)*0.475*44/12</f>
        <v>7.5058584796811028</v>
      </c>
      <c r="AB26" s="23">
        <f>EXP(-LN(2)/2)*AB25+(1-EXP(-LN(2)/2))/(LN(2)/2)*V26*Y26*VLOOKUP('Données projet'!$B$9,Paramètres!$A$1:$I$89,3,0)*0.475*44/12</f>
        <v>3.5553647035892171</v>
      </c>
      <c r="AC26" s="24">
        <f t="shared" si="3"/>
        <v>13.929807219782433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6.4</v>
      </c>
      <c r="AI26" s="14">
        <f>IF('Données projet'!$A$62&gt;35,AI25+AH26-AQ25,IF(A26&lt;'Données projet'!$A$62,$AF$205^A26,IF(A26='Données projet'!$A$62,'Données projet'!$B$62,AI25+AH26-AQ25)))</f>
        <v>123.19999999999999</v>
      </c>
      <c r="AJ26" s="14">
        <f>AI26*VLOOKUP('Données projet'!$B$10,Paramètres!$A$1:$I$89,3,0)*VLOOKUP('Données projet'!$B$10,Paramètres!$A$1:$I$89,5,0)</f>
        <v>111.47135999999999</v>
      </c>
      <c r="AK26" s="14">
        <f t="shared" si="35"/>
        <v>29.677379926628468</v>
      </c>
      <c r="AL26" s="22">
        <f t="shared" si="4"/>
        <v>245.8340553722112</v>
      </c>
      <c r="AM26" s="62">
        <f t="shared" si="5"/>
        <v>530.61183314998902</v>
      </c>
      <c r="AN26" s="62">
        <f ca="1">AVERAGE(OFFSET($AM$3,0,0,'Données projet'!$E$10+1,1))-AVERAGE(OFFSET($H$3,0,0,'Données projet'!$E$10+1,1))</f>
        <v>245.25496369542458</v>
      </c>
      <c r="AO26" s="62">
        <f t="shared" si="36"/>
        <v>342.30266518164211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4.7435897435897427</v>
      </c>
      <c r="BD26" s="13">
        <f>IF('Données projet'!$A$88&gt;35,BD25+BC26-BL25,IF(A26&lt;'Données projet'!$A$88,$BA$205^A26,IF(A26='Données projet'!$A$88,'Données projet'!$B$88,BD25+BC26-BL25)))</f>
        <v>50.769230769230774</v>
      </c>
      <c r="BE26" s="14">
        <f>BD26*VLOOKUP('Données projet'!$B$11,Paramètres!$A$1:$I$89,3,0)*VLOOKUP('Données projet'!$B$11,Paramètres!$A$1:$I$89,5,0)</f>
        <v>53.064000000000007</v>
      </c>
      <c r="BF26" s="14">
        <f t="shared" si="37"/>
        <v>15.402291234172077</v>
      </c>
      <c r="BG26" s="22">
        <f t="shared" si="7"/>
        <v>119.24545723284972</v>
      </c>
      <c r="BH26" s="62">
        <f t="shared" si="8"/>
        <v>404.0232350106275</v>
      </c>
      <c r="BI26" s="62">
        <f ca="1">AVERAGE(OFFSET($BH$3,0,0,'Données projet'!$E$11+1,1))-AVERAGE(OFFSET($H$3,0,0,'Données projet'!$E$11+1,1))</f>
        <v>377.78532142539677</v>
      </c>
      <c r="BJ26" s="62">
        <f t="shared" si="38"/>
        <v>234.27695813539111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23.173386724966843</v>
      </c>
      <c r="CA26" s="14">
        <f t="shared" si="39"/>
        <v>7.4072464638622444</v>
      </c>
      <c r="CB26" s="22">
        <f t="shared" si="10"/>
        <v>53.261269470543994</v>
      </c>
      <c r="CC26" s="62">
        <f t="shared" si="11"/>
        <v>338.03904724832176</v>
      </c>
      <c r="CD26" s="62">
        <f ca="1">AVERAGE(OFFSET($CC$3,0,0,'Données projet'!$E$12+1,1))-AVERAGE(OFFSET($H$3,0,0,'Données projet'!$E$12+1,1))</f>
        <v>360.32217613090035</v>
      </c>
      <c r="CE26" s="62">
        <f t="shared" si="40"/>
        <v>159.6134369231965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3.4358974358974361</v>
      </c>
      <c r="CT26" s="13">
        <f>IF('Données projet'!$A$140&gt;35,CT25+CS26-DB25,IF(A26&lt;'Données projet'!$A$140,$CQ$205^A26,IF(A26='Données projet'!$A$140,'Données projet'!$B$140,CT25+CS26-DB25)))</f>
        <v>34.948116543670167</v>
      </c>
      <c r="CU26" s="18">
        <f>CT26*VLOOKUP('Données projet'!$B$13,Paramètres!$A$1:$I$89,3,0)*VLOOKUP('Données projet'!$B$13,Paramètres!$A$1:$I$89,5,0)</f>
        <v>16.355718542437639</v>
      </c>
      <c r="CV26" s="14">
        <f t="shared" si="41"/>
        <v>5.4444065589044843</v>
      </c>
      <c r="CW26" s="22">
        <f t="shared" si="13"/>
        <v>37.968551218170866</v>
      </c>
      <c r="CX26" s="62">
        <f t="shared" si="14"/>
        <v>322.74632899594866</v>
      </c>
      <c r="CY26" s="62">
        <f ca="1">AVERAGE(OFFSET($CX$3,0,0,'Données projet'!$E$13+1,1))-AVERAGE(OFFSET($H$3,0,0,'Données projet'!$E$13+1,1))</f>
        <v>246.64907095367749</v>
      </c>
      <c r="CZ26" s="62">
        <f t="shared" si="42"/>
        <v>145.34368562171613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161.67850000000001</v>
      </c>
      <c r="L27" s="13">
        <f>VLOOKUP(A27,'Données projet'!$A$35:$I$55,9,0)</f>
        <v>17.951999999999998</v>
      </c>
      <c r="M27" s="13">
        <f t="array" ref="M27">INDEX(L:L,MIN(IF(ISNUMBER(L27:L223),ROW(L27:L223),"")))</f>
        <v>17.951999999999998</v>
      </c>
      <c r="N27" s="14">
        <f>IF('Données projet'!$A$36&gt;35,N26+M27-V26,IF(A27&lt;'Données projet'!$A$36,$K$205^A27,IF(A27='Données projet'!$A$36,'Données projet'!$B$36,N26+M27-V26)))</f>
        <v>161.67849999999999</v>
      </c>
      <c r="O27" s="14">
        <f>N27*VLOOKUP('Données projet'!$B$9,Paramètres!$A$1:$I$89,3,0)*VLOOKUP('Données projet'!$B$9,Paramètres!$A$1:$I$89,5,0)</f>
        <v>96.683742999999993</v>
      </c>
      <c r="P27" s="14">
        <f t="shared" si="33"/>
        <v>26.170401043006244</v>
      </c>
      <c r="Q27" s="22">
        <f t="shared" si="2"/>
        <v>213.97096754156919</v>
      </c>
      <c r="R27" s="62">
        <f t="shared" si="0"/>
        <v>499.97096754156917</v>
      </c>
      <c r="S27" s="62">
        <f ca="1">AVERAGE(OFFSET($R$3,0,0,'Données projet'!$E$9+1,1))-AVERAGE(OFFSET($H$3,0,0,'Données projet'!$E$9+1,1))</f>
        <v>207.03241199974599</v>
      </c>
      <c r="T27" s="62">
        <f t="shared" si="34"/>
        <v>314.188568589113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2.812332853219607</v>
      </c>
      <c r="AA27" s="23">
        <f>EXP(-LN(2)/25)*AA26+(1-EXP(-LN(2)/25))/(LN(2)/25)*Calculateur!V27*Calculateur!X27*VLOOKUP('Données projet'!$B$9,Paramètres!$A$1:$I$89,3,0)*0.475*44/12</f>
        <v>7.3006103848382802</v>
      </c>
      <c r="AB27" s="23">
        <f>EXP(-LN(2)/2)*AB26+(1-EXP(-LN(2)/2))/(LN(2)/2)*V27*Y27*VLOOKUP('Données projet'!$B$9,Paramètres!$A$1:$I$89,3,0)*0.475*44/12</f>
        <v>2.5140224914992353</v>
      </c>
      <c r="AC27" s="24">
        <f t="shared" si="3"/>
        <v>12.626965729557122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6.4</v>
      </c>
      <c r="AI27" s="14">
        <f>IF('Données projet'!$A$62&gt;35,AI26+AH27-AQ26,IF(A27&lt;'Données projet'!$A$62,$AF$205^A27,IF(A27='Données projet'!$A$62,'Données projet'!$B$62,AI26+AH27-AQ26)))</f>
        <v>129.6</v>
      </c>
      <c r="AJ27" s="14">
        <f>AI27*VLOOKUP('Données projet'!$B$10,Paramètres!$A$1:$I$89,3,0)*VLOOKUP('Données projet'!$B$10,Paramètres!$A$1:$I$89,5,0)</f>
        <v>117.26208</v>
      </c>
      <c r="AK27" s="14">
        <f t="shared" si="35"/>
        <v>31.035569170075775</v>
      </c>
      <c r="AL27" s="22">
        <f t="shared" si="4"/>
        <v>258.28507230454863</v>
      </c>
      <c r="AM27" s="62">
        <f t="shared" si="5"/>
        <v>544.28507230454863</v>
      </c>
      <c r="AN27" s="62">
        <f ca="1">AVERAGE(OFFSET($AM$3,0,0,'Données projet'!$E$10+1,1))-AVERAGE(OFFSET($H$3,0,0,'Données projet'!$E$10+1,1))</f>
        <v>245.25496369542458</v>
      </c>
      <c r="AO27" s="62">
        <f t="shared" si="36"/>
        <v>342.30266518164211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4.7435897435897427</v>
      </c>
      <c r="BD27" s="13">
        <f>IF('Données projet'!$A$88&gt;35,BD26+BC27-BL26,IF(A27&lt;'Données projet'!$A$88,$BA$205^A27,IF(A27='Données projet'!$A$88,'Données projet'!$B$88,BD26+BC27-BL26)))</f>
        <v>55.512820512820518</v>
      </c>
      <c r="BE27" s="14">
        <f>BD27*VLOOKUP('Données projet'!$B$11,Paramètres!$A$1:$I$89,3,0)*VLOOKUP('Données projet'!$B$11,Paramètres!$A$1:$I$89,5,0)</f>
        <v>58.022000000000006</v>
      </c>
      <c r="BF27" s="14">
        <f t="shared" si="37"/>
        <v>16.667197048955192</v>
      </c>
      <c r="BG27" s="22">
        <f t="shared" si="7"/>
        <v>130.08368486026362</v>
      </c>
      <c r="BH27" s="62">
        <f t="shared" si="8"/>
        <v>416.08368486026359</v>
      </c>
      <c r="BI27" s="62">
        <f ca="1">AVERAGE(OFFSET($BH$3,0,0,'Données projet'!$E$11+1,1))-AVERAGE(OFFSET($H$3,0,0,'Données projet'!$E$11+1,1))</f>
        <v>377.78532142539677</v>
      </c>
      <c r="BJ27" s="62">
        <f t="shared" si="38"/>
        <v>234.27695813539111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26.550601201733496</v>
      </c>
      <c r="CA27" s="14">
        <f t="shared" si="39"/>
        <v>8.3534171376241328</v>
      </c>
      <c r="CB27" s="22">
        <f t="shared" si="10"/>
        <v>60.7911652743812</v>
      </c>
      <c r="CC27" s="62">
        <f t="shared" si="11"/>
        <v>346.79116527438123</v>
      </c>
      <c r="CD27" s="62">
        <f ca="1">AVERAGE(OFFSET($CC$3,0,0,'Données projet'!$E$12+1,1))-AVERAGE(OFFSET($H$3,0,0,'Données projet'!$E$12+1,1))</f>
        <v>360.32217613090035</v>
      </c>
      <c r="CE27" s="62">
        <f t="shared" si="40"/>
        <v>159.6134369231965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3.4358974358974361</v>
      </c>
      <c r="CT27" s="13">
        <f>IF('Données projet'!$A$140&gt;35,CT26+CS27-DB26,IF(A27&lt;'Données projet'!$A$140,$CQ$205^A27,IF(A27='Données projet'!$A$140,'Données projet'!$B$140,CT26+CS27-DB26)))</f>
        <v>40.787694412748245</v>
      </c>
      <c r="CU27" s="18">
        <f>CT27*VLOOKUP('Données projet'!$B$13,Paramètres!$A$1:$I$89,3,0)*VLOOKUP('Données projet'!$B$13,Paramètres!$A$1:$I$89,5,0)</f>
        <v>19.08864098516618</v>
      </c>
      <c r="CV27" s="14">
        <f t="shared" si="41"/>
        <v>6.2408660841484478</v>
      </c>
      <c r="CW27" s="22">
        <f t="shared" si="13"/>
        <v>44.115558145722979</v>
      </c>
      <c r="CX27" s="62">
        <f t="shared" si="14"/>
        <v>330.11555814572296</v>
      </c>
      <c r="CY27" s="62">
        <f ca="1">AVERAGE(OFFSET($CX$3,0,0,'Données projet'!$E$13+1,1))-AVERAGE(OFFSET($H$3,0,0,'Données projet'!$E$13+1,1))</f>
        <v>246.64907095367749</v>
      </c>
      <c r="CZ27" s="62">
        <f t="shared" si="42"/>
        <v>145.34368562171613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180.251</v>
      </c>
      <c r="L28" s="13">
        <f>VLOOKUP(A28,'Données projet'!$A$35:$I$55,9,0)</f>
        <v>18.572499999999991</v>
      </c>
      <c r="M28" s="13">
        <f t="array" ref="M28">INDEX(L:L,MIN(IF(ISNUMBER(L28:L224),ROW(L28:L224),"")))</f>
        <v>18.572499999999991</v>
      </c>
      <c r="N28" s="14">
        <f>IF('Données projet'!$A$36&gt;35,N27+M28-V27,IF(A28&lt;'Données projet'!$A$36,$K$205^A28,IF(A28='Données projet'!$A$36,'Données projet'!$B$36,N27+M28-V27)))</f>
        <v>180.25099999999998</v>
      </c>
      <c r="O28" s="14">
        <f>N28*VLOOKUP('Données projet'!$B$9,Paramètres!$A$1:$I$89,3,0)*VLOOKUP('Données projet'!$B$9,Paramètres!$A$1:$I$89,5,0)</f>
        <v>107.790098</v>
      </c>
      <c r="P28" s="14">
        <f t="shared" si="33"/>
        <v>28.809701036494001</v>
      </c>
      <c r="Q28" s="22">
        <f t="shared" si="2"/>
        <v>237.91131665522707</v>
      </c>
      <c r="R28" s="62">
        <f t="shared" si="0"/>
        <v>525.13353887744927</v>
      </c>
      <c r="S28" s="62">
        <f ca="1">AVERAGE(OFFSET($R$3,0,0,'Données projet'!$E$9+1,1))-AVERAGE(OFFSET($H$3,0,0,'Données projet'!$E$9+1,1))</f>
        <v>207.03241199974599</v>
      </c>
      <c r="T28" s="62">
        <f t="shared" si="34"/>
        <v>314.188568589113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2.7571847213216341</v>
      </c>
      <c r="AA28" s="23">
        <f>EXP(-LN(2)/25)*AA27+(1-EXP(-LN(2)/25))/(LN(2)/25)*Calculateur!V28*Calculateur!X28*VLOOKUP('Données projet'!$B$9,Paramètres!$A$1:$I$89,3,0)*0.475*44/12</f>
        <v>7.1009748099424632</v>
      </c>
      <c r="AB28" s="23">
        <f>EXP(-LN(2)/2)*AB27+(1-EXP(-LN(2)/2))/(LN(2)/2)*V28*Y28*VLOOKUP('Données projet'!$B$9,Paramètres!$A$1:$I$89,3,0)*0.475*44/12</f>
        <v>1.777682351794609</v>
      </c>
      <c r="AC28" s="24">
        <f t="shared" si="3"/>
        <v>11.635841883058706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136</v>
      </c>
      <c r="AG28" s="13">
        <f>VLOOKUP(A28,'Données projet'!$A$61:$I$81,9,0)</f>
        <v>6.4</v>
      </c>
      <c r="AH28" s="13">
        <f t="array" ref="AH28">INDEX(AG:AG,MIN(IF(ISNUMBER(AG28:AG224),ROW(AG28:AG224),"")))</f>
        <v>6.4</v>
      </c>
      <c r="AI28" s="14">
        <f>IF('Données projet'!$A$62&gt;35,AI27+AH28-AQ27,IF(A28&lt;'Données projet'!$A$62,$AF$205^A28,IF(A28='Données projet'!$A$62,'Données projet'!$B$62,AI27+AH28-AQ27)))</f>
        <v>136</v>
      </c>
      <c r="AJ28" s="14">
        <f>AI28*VLOOKUP('Données projet'!$B$10,Paramètres!$A$1:$I$89,3,0)*VLOOKUP('Données projet'!$B$10,Paramètres!$A$1:$I$89,5,0)</f>
        <v>123.05279999999999</v>
      </c>
      <c r="AK28" s="14">
        <f t="shared" si="35"/>
        <v>32.385970393750824</v>
      </c>
      <c r="AL28" s="22">
        <f t="shared" si="4"/>
        <v>270.72252510244931</v>
      </c>
      <c r="AM28" s="62">
        <f t="shared" si="5"/>
        <v>557.94474732467154</v>
      </c>
      <c r="AN28" s="62">
        <f ca="1">AVERAGE(OFFSET($AM$3,0,0,'Données projet'!$E$10+1,1))-AVERAGE(OFFSET($H$3,0,0,'Données projet'!$E$10+1,1))</f>
        <v>245.25496369542458</v>
      </c>
      <c r="AO28" s="62">
        <f t="shared" si="36"/>
        <v>342.30266518164211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60.256410256410255</v>
      </c>
      <c r="BB28" s="13">
        <f>VLOOKUP(A28,'Données projet'!$A$87:$I$107,9,0)</f>
        <v>4.7435897435897427</v>
      </c>
      <c r="BC28" s="13">
        <f t="array" ref="BC28">INDEX(BB:BB,MIN(IF(ISNUMBER(BB28:BB224),ROW(BB28:BB224),"")))</f>
        <v>4.7435897435897427</v>
      </c>
      <c r="BD28" s="13">
        <f>IF('Données projet'!$A$88&gt;35,BD27+BC28-BL27,IF(A28&lt;'Données projet'!$A$88,$BA$205^A28,IF(A28='Données projet'!$A$88,'Données projet'!$B$88,BD27+BC28-BL27)))</f>
        <v>60.256410256410263</v>
      </c>
      <c r="BE28" s="14">
        <f>BD28*VLOOKUP('Données projet'!$B$11,Paramètres!$A$1:$I$89,3,0)*VLOOKUP('Données projet'!$B$11,Paramètres!$A$1:$I$89,5,0)</f>
        <v>62.980000000000011</v>
      </c>
      <c r="BF28" s="14">
        <f t="shared" si="37"/>
        <v>17.919567850464976</v>
      </c>
      <c r="BG28" s="22">
        <f t="shared" si="7"/>
        <v>140.90008067289321</v>
      </c>
      <c r="BH28" s="62">
        <f t="shared" si="8"/>
        <v>428.12230289511547</v>
      </c>
      <c r="BI28" s="62">
        <f ca="1">AVERAGE(OFFSET($BH$3,0,0,'Données projet'!$E$11+1,1))-AVERAGE(OFFSET($H$3,0,0,'Données projet'!$E$11+1,1))</f>
        <v>377.78532142539677</v>
      </c>
      <c r="BJ28" s="62">
        <f t="shared" si="38"/>
        <v>234.27695813539111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30.42</v>
      </c>
      <c r="CA28" s="14">
        <f t="shared" si="39"/>
        <v>9.4204476947792024</v>
      </c>
      <c r="CB28" s="22">
        <f t="shared" si="10"/>
        <v>69.388779735073783</v>
      </c>
      <c r="CC28" s="62">
        <f t="shared" si="11"/>
        <v>356.61100195729603</v>
      </c>
      <c r="CD28" s="62">
        <f ca="1">AVERAGE(OFFSET($CC$3,0,0,'Données projet'!$E$12+1,1))-AVERAGE(OFFSET($H$3,0,0,'Données projet'!$E$12+1,1))</f>
        <v>360.32217613090035</v>
      </c>
      <c r="CE28" s="62">
        <f t="shared" si="40"/>
        <v>159.6134369231965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3.4358974358974361</v>
      </c>
      <c r="CT28" s="13">
        <f>IF('Données projet'!$A$140&gt;35,CT27+CS28-DB27,IF(A28&lt;'Données projet'!$A$140,$CQ$205^A28,IF(A28='Données projet'!$A$140,'Données projet'!$B$140,CT27+CS28-DB27)))</f>
        <v>47.603023568635017</v>
      </c>
      <c r="CU28" s="18">
        <f>CT28*VLOOKUP('Données projet'!$B$13,Paramètres!$A$1:$I$89,3,0)*VLOOKUP('Données projet'!$B$13,Paramètres!$A$1:$I$89,5,0)</f>
        <v>22.278215030121189</v>
      </c>
      <c r="CV28" s="14">
        <f t="shared" si="41"/>
        <v>7.1538392768580321</v>
      </c>
      <c r="CW28" s="22">
        <f t="shared" si="13"/>
        <v>51.260827917988813</v>
      </c>
      <c r="CX28" s="62">
        <f t="shared" si="14"/>
        <v>338.48305014021105</v>
      </c>
      <c r="CY28" s="62">
        <f ca="1">AVERAGE(OFFSET($CX$3,0,0,'Données projet'!$E$13+1,1))-AVERAGE(OFFSET($H$3,0,0,'Données projet'!$E$13+1,1))</f>
        <v>246.64907095367749</v>
      </c>
      <c r="CZ28" s="62">
        <f t="shared" si="42"/>
        <v>145.34368562171613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19.056999999999988</v>
      </c>
      <c r="N29" s="14">
        <f>IF('Données projet'!$A$36&gt;35,N28+M29-V28,IF(A29&lt;'Données projet'!$A$36,$K$205^A29,IF(A29='Données projet'!$A$36,'Données projet'!$B$36,N28+M29-V28)))</f>
        <v>199.30799999999996</v>
      </c>
      <c r="O29" s="14">
        <f>N29*VLOOKUP('Données projet'!$B$9,Paramètres!$A$1:$I$89,3,0)*VLOOKUP('Données projet'!$B$9,Paramètres!$A$1:$I$89,5,0)</f>
        <v>119.18618399999998</v>
      </c>
      <c r="P29" s="14">
        <f t="shared" si="33"/>
        <v>31.485114968902487</v>
      </c>
      <c r="Q29" s="22">
        <f t="shared" si="2"/>
        <v>262.4191790375051</v>
      </c>
      <c r="R29" s="62">
        <f t="shared" si="0"/>
        <v>550.86362348194962</v>
      </c>
      <c r="S29" s="62">
        <f ca="1">AVERAGE(OFFSET($R$3,0,0,'Données projet'!$E$9+1,1))-AVERAGE(OFFSET($H$3,0,0,'Données projet'!$E$9+1,1))</f>
        <v>207.03241199974599</v>
      </c>
      <c r="T29" s="62">
        <f t="shared" si="34"/>
        <v>314.188568589113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2.7031180106531409</v>
      </c>
      <c r="AA29" s="23">
        <f>EXP(-LN(2)/25)*AA28+(1-EXP(-LN(2)/25))/(LN(2)/25)*Calculateur!V29*Calculateur!X29*VLOOKUP('Données projet'!$B$9,Paramètres!$A$1:$I$89,3,0)*0.475*44/12</f>
        <v>6.906798280340551</v>
      </c>
      <c r="AB29" s="23">
        <f>EXP(-LN(2)/2)*AB28+(1-EXP(-LN(2)/2))/(LN(2)/2)*V29*Y29*VLOOKUP('Données projet'!$B$9,Paramètres!$A$1:$I$89,3,0)*0.475*44/12</f>
        <v>1.2570112457496179</v>
      </c>
      <c r="AC29" s="24">
        <f t="shared" si="3"/>
        <v>10.86692753674331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5.2</v>
      </c>
      <c r="AI29" s="14">
        <f>IF('Données projet'!$A$62&gt;35,AI28+AH29-AQ28,IF(A29&lt;'Données projet'!$A$62,$AF$205^A29,IF(A29='Données projet'!$A$62,'Données projet'!$B$62,AI28+AH29-AQ28)))</f>
        <v>133.19999999999999</v>
      </c>
      <c r="AJ29" s="14">
        <f>AI29*VLOOKUP('Données projet'!$B$10,Paramètres!$A$1:$I$89,3,0)*VLOOKUP('Données projet'!$B$10,Paramètres!$A$1:$I$89,5,0)</f>
        <v>120.51935999999998</v>
      </c>
      <c r="AK29" s="14">
        <f t="shared" si="35"/>
        <v>31.796101022354524</v>
      </c>
      <c r="AL29" s="22">
        <f t="shared" si="4"/>
        <v>265.28276128060071</v>
      </c>
      <c r="AM29" s="62">
        <f t="shared" si="5"/>
        <v>553.72720572504522</v>
      </c>
      <c r="AN29" s="62">
        <f ca="1">AVERAGE(OFFSET($AM$3,0,0,'Données projet'!$E$10+1,1))-AVERAGE(OFFSET($H$3,0,0,'Données projet'!$E$10+1,1))</f>
        <v>245.25496369542458</v>
      </c>
      <c r="AO29" s="62">
        <f t="shared" si="36"/>
        <v>342.30266518164211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4.9999999999999982</v>
      </c>
      <c r="BD29" s="13">
        <f>IF('Données projet'!$A$88&gt;35,BD28+BC29-BL28,IF(A29&lt;'Données projet'!$A$88,$BA$205^A29,IF(A29='Données projet'!$A$88,'Données projet'!$B$88,BD28+BC29-BL28)))</f>
        <v>65.256410256410263</v>
      </c>
      <c r="BE29" s="14">
        <f>BD29*VLOOKUP('Données projet'!$B$11,Paramètres!$A$1:$I$89,3,0)*VLOOKUP('Données projet'!$B$11,Paramètres!$A$1:$I$89,5,0)</f>
        <v>68.206000000000017</v>
      </c>
      <c r="BF29" s="14">
        <f t="shared" si="37"/>
        <v>19.227273197650447</v>
      </c>
      <c r="BG29" s="22">
        <f t="shared" si="7"/>
        <v>152.27961748590789</v>
      </c>
      <c r="BH29" s="62">
        <f t="shared" si="8"/>
        <v>440.72406193035238</v>
      </c>
      <c r="BI29" s="62">
        <f ca="1">AVERAGE(OFFSET($BH$3,0,0,'Données projet'!$E$11+1,1))-AVERAGE(OFFSET($H$3,0,0,'Données projet'!$E$11+1,1))</f>
        <v>377.78532142539677</v>
      </c>
      <c r="BJ29" s="62">
        <f t="shared" si="38"/>
        <v>234.27695813539111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35.287199999999999</v>
      </c>
      <c r="CA29" s="14">
        <f t="shared" si="39"/>
        <v>10.740552489323523</v>
      </c>
      <c r="CB29" s="22">
        <f t="shared" si="10"/>
        <v>80.165002252238452</v>
      </c>
      <c r="CC29" s="62">
        <f t="shared" si="11"/>
        <v>368.60944669668288</v>
      </c>
      <c r="CD29" s="62">
        <f ca="1">AVERAGE(OFFSET($CC$3,0,0,'Données projet'!$E$12+1,1))-AVERAGE(OFFSET($H$3,0,0,'Données projet'!$E$12+1,1))</f>
        <v>360.32217613090035</v>
      </c>
      <c r="CE29" s="62">
        <f t="shared" si="40"/>
        <v>159.6134369231965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3.4358974358974361</v>
      </c>
      <c r="CT29" s="13">
        <f>IF('Données projet'!$A$140&gt;35,CT28+CS29-DB28,IF(A29&lt;'Données projet'!$A$140,$CQ$205^A29,IF(A29='Données projet'!$A$140,'Données projet'!$B$140,CT28+CS29-DB28)))</f>
        <v>55.557145004199242</v>
      </c>
      <c r="CU29" s="18">
        <f>CT29*VLOOKUP('Données projet'!$B$13,Paramètres!$A$1:$I$89,3,0)*VLOOKUP('Données projet'!$B$13,Paramètres!$A$1:$I$89,5,0)</f>
        <v>26.000743861965244</v>
      </c>
      <c r="CV29" s="14">
        <f t="shared" si="41"/>
        <v>8.2003708634455794</v>
      </c>
      <c r="CW29" s="22">
        <f t="shared" si="13"/>
        <v>59.56694148009052</v>
      </c>
      <c r="CX29" s="62">
        <f t="shared" si="14"/>
        <v>348.01138592453498</v>
      </c>
      <c r="CY29" s="62">
        <f ca="1">AVERAGE(OFFSET($CX$3,0,0,'Données projet'!$E$13+1,1))-AVERAGE(OFFSET($H$3,0,0,'Données projet'!$E$13+1,1))</f>
        <v>246.64907095367749</v>
      </c>
      <c r="CZ29" s="62">
        <f t="shared" si="42"/>
        <v>145.34368562171613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218.36499999999998</v>
      </c>
      <c r="L30" s="13">
        <f>VLOOKUP(A30,'Données projet'!$A$35:$I$55,9,0)</f>
        <v>19.056999999999988</v>
      </c>
      <c r="M30" s="13">
        <f t="array" ref="M30">INDEX(L:L,MIN(IF(ISNUMBER(L30:L226),ROW(L30:L226),"")))</f>
        <v>19.056999999999988</v>
      </c>
      <c r="N30" s="14">
        <f>IF('Données projet'!$A$36&gt;35,N29+M30-V29,IF(A30&lt;'Données projet'!$A$36,$K$205^A30,IF(A30='Données projet'!$A$36,'Données projet'!$B$36,N29+M30-V29)))</f>
        <v>218.36499999999995</v>
      </c>
      <c r="O30" s="14">
        <f>N30*VLOOKUP('Données projet'!$B$9,Paramètres!$A$1:$I$89,3,0)*VLOOKUP('Données projet'!$B$9,Paramètres!$A$1:$I$89,5,0)</f>
        <v>130.58226999999997</v>
      </c>
      <c r="P30" s="14">
        <f t="shared" si="33"/>
        <v>34.13086981877764</v>
      </c>
      <c r="Q30" s="22">
        <f t="shared" si="2"/>
        <v>286.87538518437105</v>
      </c>
      <c r="R30" s="62">
        <f t="shared" si="0"/>
        <v>576.54205185103774</v>
      </c>
      <c r="S30" s="62">
        <f ca="1">AVERAGE(OFFSET($R$3,0,0,'Données projet'!$E$9+1,1))-AVERAGE(OFFSET($H$3,0,0,'Données projet'!$E$9+1,1))</f>
        <v>207.03241199974599</v>
      </c>
      <c r="T30" s="62">
        <f t="shared" si="34"/>
        <v>314.188568589113</v>
      </c>
      <c r="U30" s="16">
        <f>IF(ISNA(VLOOKUP(A30,'Données projet'!$A$35:$I$55,3,0)),0,VLOOKUP(A30,'Données projet'!$A$35:$I$55,3,0))</f>
        <v>3</v>
      </c>
      <c r="V30" s="16">
        <f>IF(ISNA(VLOOKUP(A30,'Données projet'!$A$35:$I$55,4,0)),0,VLOOKUP(A30,'Données projet'!$A$35:$I$55,4,0))</f>
        <v>54.518999999999998</v>
      </c>
      <c r="W30" s="17">
        <f>IF(ISNA(VLOOKUP(A30,'Données projet'!$A$35:$I$55,5,0)),0%,VLOOKUP(A30,'Données projet'!$A$35:$I$55,5,0)*VLOOKUP('Données projet'!$B$9,Paramètres!$A$1:$I$89,7,0))</f>
        <v>0.27</v>
      </c>
      <c r="X30" s="17">
        <f>IF(ISNA(VLOOKUP(A30,'Données projet'!$A$35:$I$55,6,0)),0%,VLOOKUP(A30,'Données projet'!$A$35:$I$55,6,0)*VLOOKUP('Données projet'!$B$9,Paramètres!$A$1:$I$89,7,0))</f>
        <v>9.0000000000000011E-2</v>
      </c>
      <c r="Y30" s="17">
        <f>IF(ISNA(VLOOKUP(A30,'Données projet'!$A$35:$I$55,7,0)),0%,VLOOKUP(A30,'Données projet'!$A$35:$I$55,7,0))</f>
        <v>0.2</v>
      </c>
      <c r="Z30" s="23">
        <f>EXP(-LN(2)/35)*Z29+(1-EXP(-LN(2)/35))/(LN(2)/35)*V30*W30*VLOOKUP('Données projet'!$B$9,Paramètres!$A$1:$I$89,3,0)*0.475*44/12</f>
        <v>14.327377855198066</v>
      </c>
      <c r="AA30" s="23">
        <f>EXP(-LN(2)/25)*AA29+(1-EXP(-LN(2)/25))/(LN(2)/25)*Calculateur!V30*Calculateur!X30*VLOOKUP('Données projet'!$B$9,Paramètres!$A$1:$I$89,3,0)*0.475*44/12</f>
        <v>10.595027682494164</v>
      </c>
      <c r="AB30" s="23">
        <f>EXP(-LN(2)/2)*AB29+(1-EXP(-LN(2)/2))/(LN(2)/2)*V30*Y30*VLOOKUP('Données projet'!$B$9,Paramètres!$A$1:$I$89,3,0)*0.475*44/12</f>
        <v>8.271530622307214</v>
      </c>
      <c r="AC30" s="24">
        <f t="shared" si="3"/>
        <v>33.193936159999438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5.2</v>
      </c>
      <c r="AI30" s="14">
        <f>IF('Données projet'!$A$62&gt;35,AI29+AH30-AQ29,IF(A30&lt;'Données projet'!$A$62,$AF$205^A30,IF(A30='Données projet'!$A$62,'Données projet'!$B$62,AI29+AH30-AQ29)))</f>
        <v>138.39999999999998</v>
      </c>
      <c r="AJ30" s="14">
        <f>AI30*VLOOKUP('Données projet'!$B$10,Paramètres!$A$1:$I$89,3,0)*VLOOKUP('Données projet'!$B$10,Paramètres!$A$1:$I$89,5,0)</f>
        <v>125.22431999999996</v>
      </c>
      <c r="AK30" s="14">
        <f t="shared" si="35"/>
        <v>32.890447642602773</v>
      </c>
      <c r="AL30" s="22">
        <f t="shared" si="4"/>
        <v>275.38322031086642</v>
      </c>
      <c r="AM30" s="62">
        <f t="shared" si="5"/>
        <v>565.04988697753311</v>
      </c>
      <c r="AN30" s="62">
        <f ca="1">AVERAGE(OFFSET($AM$3,0,0,'Données projet'!$E$10+1,1))-AVERAGE(OFFSET($H$3,0,0,'Données projet'!$E$10+1,1))</f>
        <v>245.25496369542458</v>
      </c>
      <c r="AO30" s="62">
        <f t="shared" si="36"/>
        <v>342.30266518164211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4.9999999999999982</v>
      </c>
      <c r="BD30" s="13">
        <f>IF('Données projet'!$A$88&gt;35,BD29+BC30-BL29,IF(A30&lt;'Données projet'!$A$88,$BA$205^A30,IF(A30='Données projet'!$A$88,'Données projet'!$B$88,BD29+BC30-BL29)))</f>
        <v>70.256410256410263</v>
      </c>
      <c r="BE30" s="14">
        <f>BD30*VLOOKUP('Données projet'!$B$11,Paramètres!$A$1:$I$89,3,0)*VLOOKUP('Données projet'!$B$11,Paramètres!$A$1:$I$89,5,0)</f>
        <v>73.432000000000016</v>
      </c>
      <c r="BF30" s="14">
        <f t="shared" si="37"/>
        <v>20.523355416867822</v>
      </c>
      <c r="BG30" s="22">
        <f t="shared" si="7"/>
        <v>163.63891068437815</v>
      </c>
      <c r="BH30" s="62">
        <f t="shared" si="8"/>
        <v>453.3055773510448</v>
      </c>
      <c r="BI30" s="62">
        <f ca="1">AVERAGE(OFFSET($BH$3,0,0,'Données projet'!$E$11+1,1))-AVERAGE(OFFSET($H$3,0,0,'Données projet'!$E$11+1,1))</f>
        <v>377.78532142539677</v>
      </c>
      <c r="BJ30" s="62">
        <f t="shared" si="38"/>
        <v>234.27695813539111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40.154399999999995</v>
      </c>
      <c r="CA30" s="14">
        <f t="shared" si="39"/>
        <v>12.039561463286329</v>
      </c>
      <c r="CB30" s="22">
        <f t="shared" si="10"/>
        <v>90.90448288189036</v>
      </c>
      <c r="CC30" s="62">
        <f t="shared" si="11"/>
        <v>380.57114954855706</v>
      </c>
      <c r="CD30" s="62">
        <f ca="1">AVERAGE(OFFSET($CC$3,0,0,'Données projet'!$E$12+1,1))-AVERAGE(OFFSET($H$3,0,0,'Données projet'!$E$12+1,1))</f>
        <v>360.32217613090035</v>
      </c>
      <c r="CE30" s="62">
        <f t="shared" si="40"/>
        <v>159.6134369231965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3.4358974358974361</v>
      </c>
      <c r="CT30" s="13">
        <f>IF('Données projet'!$A$140&gt;35,CT29+CS30-DB29,IF(A30&lt;'Données projet'!$A$140,$CQ$205^A30,IF(A30='Données projet'!$A$140,'Données projet'!$B$140,CT29+CS30-DB29)))</f>
        <v>64.840342684688977</v>
      </c>
      <c r="CU30" s="18">
        <f>CT30*VLOOKUP('Données projet'!$B$13,Paramètres!$A$1:$I$89,3,0)*VLOOKUP('Données projet'!$B$13,Paramètres!$A$1:$I$89,5,0)</f>
        <v>30.345280376434442</v>
      </c>
      <c r="CV30" s="14">
        <f t="shared" si="41"/>
        <v>9.3999990348653313</v>
      </c>
      <c r="CW30" s="22">
        <f t="shared" si="13"/>
        <v>69.223028308013781</v>
      </c>
      <c r="CX30" s="62">
        <f t="shared" si="14"/>
        <v>358.88969497468048</v>
      </c>
      <c r="CY30" s="62">
        <f ca="1">AVERAGE(OFFSET($CX$3,0,0,'Données projet'!$E$13+1,1))-AVERAGE(OFFSET($H$3,0,0,'Données projet'!$E$13+1,1))</f>
        <v>246.64907095367749</v>
      </c>
      <c r="CZ30" s="62">
        <f t="shared" si="42"/>
        <v>145.34368562171613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15.74200000000001</v>
      </c>
      <c r="N31" s="14">
        <f>IF('Données projet'!$A$36&gt;35,N30+M31-V30,IF(A31&lt;'Données projet'!$A$36,$K$205^A31,IF(A31='Données projet'!$A$36,'Données projet'!$B$36,N30+M31-V30)))</f>
        <v>179.58799999999997</v>
      </c>
      <c r="O31" s="14">
        <f>N31*VLOOKUP('Données projet'!$B$9,Paramètres!$A$1:$I$89,3,0)*VLOOKUP('Données projet'!$B$9,Paramètres!$A$1:$I$89,5,0)</f>
        <v>107.39362399999997</v>
      </c>
      <c r="P31" s="14">
        <f t="shared" si="33"/>
        <v>28.716047670284119</v>
      </c>
      <c r="Q31" s="22">
        <f t="shared" si="2"/>
        <v>237.05767815907811</v>
      </c>
      <c r="R31" s="62">
        <f t="shared" si="0"/>
        <v>527.94656704796694</v>
      </c>
      <c r="S31" s="62">
        <f ca="1">AVERAGE(OFFSET($R$3,0,0,'Données projet'!$E$9+1,1))-AVERAGE(OFFSET($H$3,0,0,'Données projet'!$E$9+1,1))</f>
        <v>207.03241199974599</v>
      </c>
      <c r="T31" s="62">
        <f t="shared" si="34"/>
        <v>314.188568589113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14.046426714295235</v>
      </c>
      <c r="AA31" s="23">
        <f>EXP(-LN(2)/25)*AA30+(1-EXP(-LN(2)/25))/(LN(2)/25)*Calculateur!V31*Calculateur!X31*VLOOKUP('Données projet'!$B$9,Paramètres!$A$1:$I$89,3,0)*0.475*44/12</f>
        <v>10.30530609334807</v>
      </c>
      <c r="AB31" s="23">
        <f>EXP(-LN(2)/2)*AB30+(1-EXP(-LN(2)/2))/(LN(2)/2)*V31*Y31*VLOOKUP('Données projet'!$B$9,Paramètres!$A$1:$I$89,3,0)*0.475*44/12</f>
        <v>5.8488553938256151</v>
      </c>
      <c r="AC31" s="24">
        <f t="shared" si="3"/>
        <v>30.200588201468921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5.2</v>
      </c>
      <c r="AI31" s="14">
        <f>IF('Données projet'!$A$62&gt;35,AI30+AH31-AQ30,IF(A31&lt;'Données projet'!$A$62,$AF$205^A31,IF(A31='Données projet'!$A$62,'Données projet'!$B$62,AI30+AH31-AQ30)))</f>
        <v>143.59999999999997</v>
      </c>
      <c r="AJ31" s="14">
        <f>AI31*VLOOKUP('Données projet'!$B$10,Paramètres!$A$1:$I$89,3,0)*VLOOKUP('Données projet'!$B$10,Paramètres!$A$1:$I$89,5,0)</f>
        <v>129.92927999999995</v>
      </c>
      <c r="AK31" s="14">
        <f t="shared" si="35"/>
        <v>33.980017499256149</v>
      </c>
      <c r="AL31" s="22">
        <f t="shared" si="4"/>
        <v>285.47535981120433</v>
      </c>
      <c r="AM31" s="62">
        <f t="shared" si="5"/>
        <v>576.36424870009319</v>
      </c>
      <c r="AN31" s="62">
        <f ca="1">AVERAGE(OFFSET($AM$3,0,0,'Données projet'!$E$10+1,1))-AVERAGE(OFFSET($H$3,0,0,'Données projet'!$E$10+1,1))</f>
        <v>245.25496369542458</v>
      </c>
      <c r="AO31" s="62">
        <f t="shared" si="36"/>
        <v>342.30266518164211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4.9999999999999982</v>
      </c>
      <c r="BD31" s="13">
        <f>IF('Données projet'!$A$88&gt;35,BD30+BC31-BL30,IF(A31&lt;'Données projet'!$A$88,$BA$205^A31,IF(A31='Données projet'!$A$88,'Données projet'!$B$88,BD30+BC31-BL30)))</f>
        <v>75.256410256410263</v>
      </c>
      <c r="BE31" s="14">
        <f>BD31*VLOOKUP('Données projet'!$B$11,Paramètres!$A$1:$I$89,3,0)*VLOOKUP('Données projet'!$B$11,Paramètres!$A$1:$I$89,5,0)</f>
        <v>78.658000000000015</v>
      </c>
      <c r="BF31" s="14">
        <f t="shared" si="37"/>
        <v>21.808735783232525</v>
      </c>
      <c r="BG31" s="22">
        <f t="shared" si="7"/>
        <v>174.97956482246332</v>
      </c>
      <c r="BH31" s="62">
        <f t="shared" si="8"/>
        <v>465.86845371135217</v>
      </c>
      <c r="BI31" s="62">
        <f ca="1">AVERAGE(OFFSET($BH$3,0,0,'Données projet'!$E$11+1,1))-AVERAGE(OFFSET($H$3,0,0,'Données projet'!$E$11+1,1))</f>
        <v>377.78532142539677</v>
      </c>
      <c r="BJ31" s="62">
        <f t="shared" si="38"/>
        <v>234.27695813539111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45.021599999999992</v>
      </c>
      <c r="CA31" s="14">
        <f t="shared" si="39"/>
        <v>13.320324173992205</v>
      </c>
      <c r="CB31" s="22">
        <f t="shared" si="10"/>
        <v>101.6121846030364</v>
      </c>
      <c r="CC31" s="62">
        <f t="shared" si="11"/>
        <v>392.50107349192524</v>
      </c>
      <c r="CD31" s="62">
        <f ca="1">AVERAGE(OFFSET($CC$3,0,0,'Données projet'!$E$12+1,1))-AVERAGE(OFFSET($H$3,0,0,'Données projet'!$E$12+1,1))</f>
        <v>360.32217613090035</v>
      </c>
      <c r="CE31" s="62">
        <f t="shared" si="40"/>
        <v>159.6134369231965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3.4358974358974361</v>
      </c>
      <c r="CT31" s="13">
        <f>IF('Données projet'!$A$140&gt;35,CT30+CS31-DB30,IF(A31&lt;'Données projet'!$A$140,$CQ$205^A31,IF(A31='Données projet'!$A$140,'Données projet'!$B$140,CT30+CS31-DB30)))</f>
        <v>75.674695651659619</v>
      </c>
      <c r="CU31" s="18">
        <f>CT31*VLOOKUP('Données projet'!$B$13,Paramètres!$A$1:$I$89,3,0)*VLOOKUP('Données projet'!$B$13,Paramètres!$A$1:$I$89,5,0)</f>
        <v>35.415757564976701</v>
      </c>
      <c r="CV31" s="14">
        <f t="shared" si="41"/>
        <v>10.775120214299996</v>
      </c>
      <c r="CW31" s="22">
        <f t="shared" si="13"/>
        <v>80.449112132240245</v>
      </c>
      <c r="CX31" s="62">
        <f t="shared" si="14"/>
        <v>371.33800102112912</v>
      </c>
      <c r="CY31" s="62">
        <f ca="1">AVERAGE(OFFSET($CX$3,0,0,'Données projet'!$E$13+1,1))-AVERAGE(OFFSET($H$3,0,0,'Données projet'!$E$13+1,1))</f>
        <v>246.64907095367749</v>
      </c>
      <c r="CZ31" s="62">
        <f t="shared" si="42"/>
        <v>145.34368562171613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15.74200000000001</v>
      </c>
      <c r="N32" s="14">
        <f>IF('Données projet'!$A$36&gt;35,N31+M32-V31,IF(A32&lt;'Données projet'!$A$36,$K$205^A32,IF(A32='Données projet'!$A$36,'Données projet'!$B$36,N31+M32-V31)))</f>
        <v>195.32999999999998</v>
      </c>
      <c r="O32" s="14">
        <f>N32*VLOOKUP('Données projet'!$B$9,Paramètres!$A$1:$I$89,3,0)*VLOOKUP('Données projet'!$B$9,Paramètres!$A$1:$I$89,5,0)</f>
        <v>116.80734</v>
      </c>
      <c r="P32" s="14">
        <f t="shared" si="33"/>
        <v>30.929199175797681</v>
      </c>
      <c r="Q32" s="22">
        <f t="shared" si="2"/>
        <v>257.30780573118091</v>
      </c>
      <c r="R32" s="62">
        <f t="shared" si="0"/>
        <v>549.41891684229199</v>
      </c>
      <c r="S32" s="62">
        <f ca="1">AVERAGE(OFFSET($R$3,0,0,'Données projet'!$E$9+1,1))-AVERAGE(OFFSET($H$3,0,0,'Données projet'!$E$9+1,1))</f>
        <v>207.03241199974599</v>
      </c>
      <c r="T32" s="62">
        <f t="shared" si="34"/>
        <v>314.188568589113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13.770984853902233</v>
      </c>
      <c r="AA32" s="23">
        <f>EXP(-LN(2)/25)*AA31+(1-EXP(-LN(2)/25))/(LN(2)/25)*Calculateur!V32*Calculateur!X32*VLOOKUP('Données projet'!$B$9,Paramètres!$A$1:$I$89,3,0)*0.475*44/12</f>
        <v>10.023506956292973</v>
      </c>
      <c r="AB32" s="23">
        <f>EXP(-LN(2)/2)*AB31+(1-EXP(-LN(2)/2))/(LN(2)/2)*V32*Y32*VLOOKUP('Données projet'!$B$9,Paramètres!$A$1:$I$89,3,0)*0.475*44/12</f>
        <v>4.1357653111536079</v>
      </c>
      <c r="AC32" s="24">
        <f t="shared" si="3"/>
        <v>27.930257121348813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5.2</v>
      </c>
      <c r="AI32" s="14">
        <f>IF('Données projet'!$A$62&gt;35,AI31+AH32-AQ31,IF(A32&lt;'Données projet'!$A$62,$AF$205^A32,IF(A32='Données projet'!$A$62,'Données projet'!$B$62,AI31+AH32-AQ31)))</f>
        <v>148.79999999999995</v>
      </c>
      <c r="AJ32" s="14">
        <f>AI32*VLOOKUP('Données projet'!$B$10,Paramètres!$A$1:$I$89,3,0)*VLOOKUP('Données projet'!$B$10,Paramètres!$A$1:$I$89,5,0)</f>
        <v>134.63423999999998</v>
      </c>
      <c r="AK32" s="14">
        <f t="shared" si="35"/>
        <v>35.065003380589694</v>
      </c>
      <c r="AL32" s="22">
        <f t="shared" si="4"/>
        <v>295.55951555452697</v>
      </c>
      <c r="AM32" s="62">
        <f t="shared" si="5"/>
        <v>587.67062666563811</v>
      </c>
      <c r="AN32" s="62">
        <f ca="1">AVERAGE(OFFSET($AM$3,0,0,'Données projet'!$E$10+1,1))-AVERAGE(OFFSET($H$3,0,0,'Données projet'!$E$10+1,1))</f>
        <v>245.25496369542458</v>
      </c>
      <c r="AO32" s="62">
        <f t="shared" si="36"/>
        <v>342.30266518164211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4.9999999999999982</v>
      </c>
      <c r="BD32" s="13">
        <f>IF('Données projet'!$A$88&gt;35,BD31+BC32-BL31,IF(A32&lt;'Données projet'!$A$88,$BA$205^A32,IF(A32='Données projet'!$A$88,'Données projet'!$B$88,BD31+BC32-BL31)))</f>
        <v>80.256410256410263</v>
      </c>
      <c r="BE32" s="14">
        <f>BD32*VLOOKUP('Données projet'!$B$11,Paramètres!$A$1:$I$89,3,0)*VLOOKUP('Données projet'!$B$11,Paramètres!$A$1:$I$89,5,0)</f>
        <v>83.884000000000015</v>
      </c>
      <c r="BF32" s="14">
        <f t="shared" si="37"/>
        <v>23.08420622837572</v>
      </c>
      <c r="BG32" s="22">
        <f t="shared" si="7"/>
        <v>186.30295918108774</v>
      </c>
      <c r="BH32" s="62">
        <f t="shared" si="8"/>
        <v>478.41407029219886</v>
      </c>
      <c r="BI32" s="62">
        <f ca="1">AVERAGE(OFFSET($BH$3,0,0,'Données projet'!$E$11+1,1))-AVERAGE(OFFSET($H$3,0,0,'Données projet'!$E$11+1,1))</f>
        <v>377.78532142539677</v>
      </c>
      <c r="BJ32" s="62">
        <f t="shared" si="38"/>
        <v>234.27695813539111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49.888799999999989</v>
      </c>
      <c r="CA32" s="14">
        <f t="shared" si="39"/>
        <v>14.585038058304724</v>
      </c>
      <c r="CB32" s="22">
        <f t="shared" si="10"/>
        <v>112.29193461821403</v>
      </c>
      <c r="CC32" s="62">
        <f t="shared" si="11"/>
        <v>404.40304572932519</v>
      </c>
      <c r="CD32" s="62">
        <f ca="1">AVERAGE(OFFSET($CC$3,0,0,'Données projet'!$E$12+1,1))-AVERAGE(OFFSET($H$3,0,0,'Données projet'!$E$12+1,1))</f>
        <v>360.32217613090035</v>
      </c>
      <c r="CE32" s="62">
        <f t="shared" si="40"/>
        <v>159.6134369231965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3.4358974358974361</v>
      </c>
      <c r="CT32" s="13">
        <f>IF('Données projet'!$A$140&gt;35,CT31+CS32-DB31,IF(A32&lt;'Données projet'!$A$140,$CQ$205^A32,IF(A32='Données projet'!$A$140,'Données projet'!$B$140,CT31+CS32-DB31)))</f>
        <v>88.319390750591623</v>
      </c>
      <c r="CU32" s="18">
        <f>CT32*VLOOKUP('Données projet'!$B$13,Paramètres!$A$1:$I$89,3,0)*VLOOKUP('Données projet'!$B$13,Paramètres!$A$1:$I$89,5,0)</f>
        <v>41.333474871276877</v>
      </c>
      <c r="CV32" s="14">
        <f t="shared" si="41"/>
        <v>12.351407186530604</v>
      </c>
      <c r="CW32" s="22">
        <f t="shared" si="13"/>
        <v>93.501169584014704</v>
      </c>
      <c r="CX32" s="62">
        <f t="shared" si="14"/>
        <v>385.61228069512583</v>
      </c>
      <c r="CY32" s="62">
        <f ca="1">AVERAGE(OFFSET($CX$3,0,0,'Données projet'!$E$13+1,1))-AVERAGE(OFFSET($H$3,0,0,'Données projet'!$E$13+1,1))</f>
        <v>246.64907095367749</v>
      </c>
      <c r="CZ32" s="62">
        <f t="shared" si="42"/>
        <v>145.34368562171613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211.072</v>
      </c>
      <c r="L33" s="13">
        <f>VLOOKUP(A33,'Données projet'!$A$35:$I$55,9,0)</f>
        <v>15.74200000000001</v>
      </c>
      <c r="M33" s="13">
        <f t="array" ref="M33">INDEX(L:L,MIN(IF(ISNUMBER(L33:L229),ROW(L33:L229),"")))</f>
        <v>15.74200000000001</v>
      </c>
      <c r="N33" s="14">
        <f>IF('Données projet'!$A$36&gt;35,N32+M33-V32,IF(A33&lt;'Données projet'!$A$36,$K$205^A33,IF(A33='Données projet'!$A$36,'Données projet'!$B$36,N32+M33-V32)))</f>
        <v>211.072</v>
      </c>
      <c r="O33" s="14">
        <f>N33*VLOOKUP('Données projet'!$B$9,Paramètres!$A$1:$I$89,3,0)*VLOOKUP('Données projet'!$B$9,Paramètres!$A$1:$I$89,5,0)</f>
        <v>126.221056</v>
      </c>
      <c r="P33" s="14">
        <f t="shared" si="33"/>
        <v>33.121662807146215</v>
      </c>
      <c r="Q33" s="22">
        <f t="shared" si="2"/>
        <v>277.52190192244632</v>
      </c>
      <c r="R33" s="62">
        <f t="shared" si="0"/>
        <v>570.85523525577969</v>
      </c>
      <c r="S33" s="62">
        <f ca="1">AVERAGE(OFFSET($R$3,0,0,'Données projet'!$E$9+1,1))-AVERAGE(OFFSET($H$3,0,0,'Données projet'!$E$9+1,1))</f>
        <v>207.03241199974599</v>
      </c>
      <c r="T33" s="62">
        <f t="shared" si="34"/>
        <v>314.188568589113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13.500944240388591</v>
      </c>
      <c r="AA33" s="23">
        <f>EXP(-LN(2)/25)*AA32+(1-EXP(-LN(2)/25))/(LN(2)/25)*Calculateur!V33*Calculateur!X33*VLOOKUP('Données projet'!$B$9,Paramètres!$A$1:$I$89,3,0)*0.475*44/12</f>
        <v>9.7494136314598201</v>
      </c>
      <c r="AB33" s="23">
        <f>EXP(-LN(2)/2)*AB32+(1-EXP(-LN(2)/2))/(LN(2)/2)*V33*Y33*VLOOKUP('Données projet'!$B$9,Paramètres!$A$1:$I$89,3,0)*0.475*44/12</f>
        <v>2.924427696912808</v>
      </c>
      <c r="AC33" s="24">
        <f t="shared" si="3"/>
        <v>26.174785568761219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154</v>
      </c>
      <c r="AG33" s="13">
        <f>VLOOKUP(A33,'Données projet'!$A$61:$I$81,9,0)</f>
        <v>5.2</v>
      </c>
      <c r="AH33" s="13">
        <f t="array" ref="AH33">INDEX(AG:AG,MIN(IF(ISNUMBER(AG33:AG229),ROW(AG33:AG229),"")))</f>
        <v>5.2</v>
      </c>
      <c r="AI33" s="14">
        <f>IF('Données projet'!$A$62&gt;35,AI32+AH33-AQ32,IF(A33&lt;'Données projet'!$A$62,$AF$205^A33,IF(A33='Données projet'!$A$62,'Données projet'!$B$62,AI32+AH33-AQ32)))</f>
        <v>153.99999999999994</v>
      </c>
      <c r="AJ33" s="14">
        <f>AI33*VLOOKUP('Données projet'!$B$10,Paramètres!$A$1:$I$89,3,0)*VLOOKUP('Données projet'!$B$10,Paramètres!$A$1:$I$89,5,0)</f>
        <v>139.33919999999995</v>
      </c>
      <c r="AK33" s="14">
        <f t="shared" si="35"/>
        <v>36.145583836349623</v>
      </c>
      <c r="AL33" s="22">
        <f t="shared" si="4"/>
        <v>305.63599851497548</v>
      </c>
      <c r="AM33" s="62">
        <f t="shared" si="5"/>
        <v>598.9693318483088</v>
      </c>
      <c r="AN33" s="62">
        <f ca="1">AVERAGE(OFFSET($AM$3,0,0,'Données projet'!$E$10+1,1))-AVERAGE(OFFSET($H$3,0,0,'Données projet'!$E$10+1,1))</f>
        <v>245.25496369542458</v>
      </c>
      <c r="AO33" s="62">
        <f t="shared" si="36"/>
        <v>342.30266518164211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85.256410256410248</v>
      </c>
      <c r="BB33" s="13">
        <f>VLOOKUP(A33,'Données projet'!$A$87:$I$107,9,0)</f>
        <v>4.9999999999999982</v>
      </c>
      <c r="BC33" s="13">
        <f t="array" ref="BC33">INDEX(BB:BB,MIN(IF(ISNUMBER(BB33:BB229),ROW(BB33:BB229),"")))</f>
        <v>4.9999999999999982</v>
      </c>
      <c r="BD33" s="13">
        <f>IF('Données projet'!$A$88&gt;35,BD32+BC33-BL32,IF(A33&lt;'Données projet'!$A$88,$BA$205^A33,IF(A33='Données projet'!$A$88,'Données projet'!$B$88,BD32+BC33-BL32)))</f>
        <v>85.256410256410263</v>
      </c>
      <c r="BE33" s="14">
        <f>BD33*VLOOKUP('Données projet'!$B$11,Paramètres!$A$1:$I$89,3,0)*VLOOKUP('Données projet'!$B$11,Paramètres!$A$1:$I$89,5,0)</f>
        <v>89.110000000000014</v>
      </c>
      <c r="BF33" s="14">
        <f t="shared" si="37"/>
        <v>24.350454431803538</v>
      </c>
      <c r="BG33" s="22">
        <f t="shared" si="7"/>
        <v>197.61029146872451</v>
      </c>
      <c r="BH33" s="62">
        <f t="shared" si="8"/>
        <v>490.9436248020578</v>
      </c>
      <c r="BI33" s="62">
        <f ca="1">AVERAGE(OFFSET($BH$3,0,0,'Données projet'!$E$11+1,1))-AVERAGE(OFFSET($H$3,0,0,'Données projet'!$E$11+1,1))</f>
        <v>377.78532142539677</v>
      </c>
      <c r="BJ33" s="62">
        <f t="shared" si="38"/>
        <v>234.27695813539111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17.307692307692307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54.755999999999993</v>
      </c>
      <c r="CA33" s="14">
        <f t="shared" si="39"/>
        <v>15.835447037242044</v>
      </c>
      <c r="CB33" s="22">
        <f t="shared" si="10"/>
        <v>122.94677025652987</v>
      </c>
      <c r="CC33" s="62">
        <f t="shared" si="11"/>
        <v>416.28010358986319</v>
      </c>
      <c r="CD33" s="62">
        <f ca="1">AVERAGE(OFFSET($CC$3,0,0,'Données projet'!$E$12+1,1))-AVERAGE(OFFSET($H$3,0,0,'Données projet'!$E$12+1,1))</f>
        <v>360.32217613090035</v>
      </c>
      <c r="CE33" s="62">
        <f t="shared" si="40"/>
        <v>159.6134369231965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103.07692307692308</v>
      </c>
      <c r="CR33" s="13">
        <f>VLOOKUP(A33,'Données projet'!$A$139:$I$159,9,0)</f>
        <v>3.4358974358974361</v>
      </c>
      <c r="CS33" s="13">
        <f t="array" ref="CS33">INDEX(CR:CR,MIN(IF(ISNUMBER(CR33:CR229),ROW(CR33:CR229),"")))</f>
        <v>3.4358974358974361</v>
      </c>
      <c r="CT33" s="13">
        <f>IF('Données projet'!$A$140&gt;35,CT32+CS33-DB32,IF(A33&lt;'Données projet'!$A$140,$CQ$205^A33,IF(A33='Données projet'!$A$140,'Données projet'!$B$140,CT32+CS33-DB32)))</f>
        <v>103.07692307692308</v>
      </c>
      <c r="CU33" s="18">
        <f>CT33*VLOOKUP('Données projet'!$B$13,Paramètres!$A$1:$I$89,3,0)*VLOOKUP('Données projet'!$B$13,Paramètres!$A$1:$I$89,5,0)</f>
        <v>48.240000000000009</v>
      </c>
      <c r="CV33" s="14">
        <f t="shared" si="41"/>
        <v>14.15828839524373</v>
      </c>
      <c r="CW33" s="22">
        <f t="shared" si="13"/>
        <v>108.6770189550495</v>
      </c>
      <c r="CX33" s="62">
        <f t="shared" si="14"/>
        <v>402.01035228838282</v>
      </c>
      <c r="CY33" s="62">
        <f ca="1">AVERAGE(OFFSET($CX$3,0,0,'Données projet'!$E$13+1,1))-AVERAGE(OFFSET($H$3,0,0,'Données projet'!$E$13+1,1))</f>
        <v>246.64907095367749</v>
      </c>
      <c r="CZ33" s="62">
        <f t="shared" si="42"/>
        <v>145.34368562171613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16.145750000000007</v>
      </c>
      <c r="N34" s="14">
        <f>IF('Données projet'!$A$36&gt;35,N33+M34-V33,IF(A34&lt;'Données projet'!$A$36,$K$205^A34,IF(A34='Données projet'!$A$36,'Données projet'!$B$36,N33+M34-V33)))</f>
        <v>227.21775000000002</v>
      </c>
      <c r="O34" s="14">
        <f>N34*VLOOKUP('Données projet'!$B$9,Paramètres!$A$1:$I$89,3,0)*VLOOKUP('Données projet'!$B$9,Paramètres!$A$1:$I$89,5,0)</f>
        <v>135.87621450000003</v>
      </c>
      <c r="P34" s="14">
        <f t="shared" si="33"/>
        <v>35.350666593853582</v>
      </c>
      <c r="Q34" s="22">
        <f t="shared" si="2"/>
        <v>298.22015123846171</v>
      </c>
      <c r="R34" s="62">
        <f t="shared" si="0"/>
        <v>591.55348457179502</v>
      </c>
      <c r="S34" s="62">
        <f ca="1">AVERAGE(OFFSET($R$3,0,0,'Données projet'!$E$9+1,1))-AVERAGE(OFFSET($H$3,0,0,'Données projet'!$E$9+1,1))</f>
        <v>207.03241199974599</v>
      </c>
      <c r="T34" s="62">
        <f t="shared" si="34"/>
        <v>314.188568589113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13.236198958597443</v>
      </c>
      <c r="AA34" s="23">
        <f>EXP(-LN(2)/25)*AA33+(1-EXP(-LN(2)/25))/(LN(2)/25)*Calculateur!V34*Calculateur!X34*VLOOKUP('Données projet'!$B$9,Paramètres!$A$1:$I$89,3,0)*0.475*44/12</f>
        <v>9.4828154030081713</v>
      </c>
      <c r="AB34" s="23">
        <f>EXP(-LN(2)/2)*AB33+(1-EXP(-LN(2)/2))/(LN(2)/2)*V34*Y34*VLOOKUP('Données projet'!$B$9,Paramètres!$A$1:$I$89,3,0)*0.475*44/12</f>
        <v>2.0678826555768044</v>
      </c>
      <c r="AC34" s="24">
        <f t="shared" si="3"/>
        <v>24.786897017182419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4.2</v>
      </c>
      <c r="AI34" s="14">
        <f>IF('Données projet'!$A$62&gt;35,AI33+AH34-AQ33,IF(A34&lt;'Données projet'!$A$62,$AF$205^A34,IF(A34='Données projet'!$A$62,'Données projet'!$B$62,AI33+AH34-AQ33)))</f>
        <v>152.19999999999993</v>
      </c>
      <c r="AJ34" s="14">
        <f>AI34*VLOOKUP('Données projet'!$B$10,Paramètres!$A$1:$I$89,3,0)*VLOOKUP('Données projet'!$B$10,Paramètres!$A$1:$I$89,5,0)</f>
        <v>137.71055999999993</v>
      </c>
      <c r="AK34" s="14">
        <f t="shared" si="35"/>
        <v>35.772024702085233</v>
      </c>
      <c r="AL34" s="22">
        <f t="shared" si="4"/>
        <v>302.14883502279832</v>
      </c>
      <c r="AM34" s="62">
        <f t="shared" si="5"/>
        <v>595.48216835613164</v>
      </c>
      <c r="AN34" s="62">
        <f ca="1">AVERAGE(OFFSET($AM$3,0,0,'Données projet'!$E$10+1,1))-AVERAGE(OFFSET($H$3,0,0,'Données projet'!$E$10+1,1))</f>
        <v>245.25496369542458</v>
      </c>
      <c r="AO34" s="62">
        <f t="shared" si="36"/>
        <v>342.30266518164211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5.1282051282051295</v>
      </c>
      <c r="BD34" s="13">
        <f>IF('Données projet'!$A$88&gt;35,BD33+BC34-BL33,IF(A34&lt;'Données projet'!$A$88,$BA$205^A34,IF(A34='Données projet'!$A$88,'Données projet'!$B$88,BD33+BC34-BL33)))</f>
        <v>73.07692307692308</v>
      </c>
      <c r="BE34" s="14">
        <f>BD34*VLOOKUP('Données projet'!$B$11,Paramètres!$A$1:$I$89,3,0)*VLOOKUP('Données projet'!$B$11,Paramètres!$A$1:$I$89,5,0)</f>
        <v>76.38000000000001</v>
      </c>
      <c r="BF34" s="14">
        <f t="shared" si="37"/>
        <v>21.249704112506787</v>
      </c>
      <c r="BG34" s="22">
        <f t="shared" si="7"/>
        <v>170.03840132928266</v>
      </c>
      <c r="BH34" s="62">
        <f t="shared" si="8"/>
        <v>463.37173466261595</v>
      </c>
      <c r="BI34" s="62">
        <f ca="1">AVERAGE(OFFSET($BH$3,0,0,'Données projet'!$E$11+1,1))-AVERAGE(OFFSET($H$3,0,0,'Données projet'!$E$11+1,1))</f>
        <v>377.78532142539677</v>
      </c>
      <c r="BJ34" s="62">
        <f t="shared" si="38"/>
        <v>234.27695813539111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59.825999999999993</v>
      </c>
      <c r="CA34" s="14">
        <f t="shared" si="39"/>
        <v>17.124268920142534</v>
      </c>
      <c r="CB34" s="22">
        <f t="shared" si="10"/>
        <v>134.02171836924822</v>
      </c>
      <c r="CC34" s="62">
        <f t="shared" si="11"/>
        <v>427.35505170258153</v>
      </c>
      <c r="CD34" s="62">
        <f ca="1">AVERAGE(OFFSET($CC$3,0,0,'Données projet'!$E$12+1,1))-AVERAGE(OFFSET($H$3,0,0,'Données projet'!$E$12+1,1))</f>
        <v>360.32217613090035</v>
      </c>
      <c r="CE34" s="62">
        <f t="shared" si="40"/>
        <v>159.6134369231965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10.402930402930403</v>
      </c>
      <c r="CT34" s="13">
        <f>IF('Données projet'!$A$140&gt;35,CT33+CS34-DB33,IF(A34&lt;'Données projet'!$A$140,$CQ$205^A34,IF(A34='Données projet'!$A$140,'Données projet'!$B$140,CT33+CS34-DB33)))</f>
        <v>113.47985347985349</v>
      </c>
      <c r="CU34" s="18">
        <f>CT34*VLOOKUP('Données projet'!$B$13,Paramètres!$A$1:$I$89,3,0)*VLOOKUP('Données projet'!$B$13,Paramètres!$A$1:$I$89,5,0)</f>
        <v>53.108571428571437</v>
      </c>
      <c r="CV34" s="14">
        <f t="shared" si="41"/>
        <v>15.413722027781299</v>
      </c>
      <c r="CW34" s="22">
        <f t="shared" si="13"/>
        <v>119.34299443648099</v>
      </c>
      <c r="CX34" s="62">
        <f t="shared" si="14"/>
        <v>412.67632776981429</v>
      </c>
      <c r="CY34" s="62">
        <f ca="1">AVERAGE(OFFSET($CX$3,0,0,'Données projet'!$E$13+1,1))-AVERAGE(OFFSET($H$3,0,0,'Données projet'!$E$13+1,1))</f>
        <v>246.64907095367749</v>
      </c>
      <c r="CZ34" s="62">
        <f t="shared" si="42"/>
        <v>145.34368562171613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243.36350000000002</v>
      </c>
      <c r="L35" s="13">
        <f>VLOOKUP(A35,'Données projet'!$A$35:$I$55,9,0)</f>
        <v>16.145750000000007</v>
      </c>
      <c r="M35" s="13">
        <f t="array" ref="M35">INDEX(L:L,MIN(IF(ISNUMBER(L35:L231),ROW(L35:L231),"")))</f>
        <v>16.145750000000007</v>
      </c>
      <c r="N35" s="14">
        <f>IF('Données projet'!$A$36&gt;35,N34+M35-V34,IF(A35&lt;'Données projet'!$A$36,$K$205^A35,IF(A35='Données projet'!$A$36,'Données projet'!$B$36,N34+M35-V34)))</f>
        <v>243.36350000000004</v>
      </c>
      <c r="O35" s="14">
        <f>N35*VLOOKUP('Données projet'!$B$9,Paramètres!$A$1:$I$89,3,0)*VLOOKUP('Données projet'!$B$9,Paramètres!$A$1:$I$89,5,0)</f>
        <v>145.53137300000003</v>
      </c>
      <c r="P35" s="14">
        <f t="shared" si="33"/>
        <v>37.561293545308772</v>
      </c>
      <c r="Q35" s="22">
        <f t="shared" ref="Q35:Q66" si="53">(O35+P35)*0.475*44/12</f>
        <v>318.8863942330795</v>
      </c>
      <c r="R35" s="62">
        <f t="shared" si="0"/>
        <v>612.21972756641276</v>
      </c>
      <c r="S35" s="62">
        <f ca="1">AVERAGE(OFFSET($R$3,0,0,'Données projet'!$E$9+1,1))-AVERAGE(OFFSET($H$3,0,0,'Données projet'!$E$9+1,1))</f>
        <v>207.03241199974599</v>
      </c>
      <c r="T35" s="62">
        <f t="shared" si="34"/>
        <v>314.188568589113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62.73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12.976645170303541</v>
      </c>
      <c r="AA35" s="23">
        <f>EXP(-LN(2)/25)*AA34+(1-EXP(-LN(2)/25))/(LN(2)/25)*Calculateur!V35*Calculateur!X35*VLOOKUP('Données projet'!$B$9,Paramètres!$A$1:$I$89,3,0)*0.475*44/12</f>
        <v>9.2235073171333237</v>
      </c>
      <c r="AB35" s="23">
        <f>EXP(-LN(2)/2)*AB34+(1-EXP(-LN(2)/2))/(LN(2)/2)*V35*Y35*VLOOKUP('Données projet'!$B$9,Paramètres!$A$1:$I$89,3,0)*0.475*44/12</f>
        <v>1.4622138484564045</v>
      </c>
      <c r="AC35" s="24">
        <f t="shared" si="3"/>
        <v>23.662366335893271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4.2</v>
      </c>
      <c r="AI35" s="14">
        <f>IF('Données projet'!$A$62&gt;35,AI34+AH35-AQ34,IF(A35&lt;'Données projet'!$A$62,$AF$205^A35,IF(A35='Données projet'!$A$62,'Données projet'!$B$62,AI34+AH35-AQ34)))</f>
        <v>156.39999999999992</v>
      </c>
      <c r="AJ35" s="14">
        <f>AI35*VLOOKUP('Données projet'!$B$10,Paramètres!$A$1:$I$89,3,0)*VLOOKUP('Données projet'!$B$10,Paramètres!$A$1:$I$89,5,0)</f>
        <v>141.51071999999994</v>
      </c>
      <c r="AK35" s="14">
        <f t="shared" si="35"/>
        <v>36.642873749766764</v>
      </c>
      <c r="AL35" s="22">
        <f t="shared" si="4"/>
        <v>310.28417578084361</v>
      </c>
      <c r="AM35" s="62">
        <f t="shared" si="5"/>
        <v>603.61750911417698</v>
      </c>
      <c r="AN35" s="62">
        <f ca="1">AVERAGE(OFFSET($AM$3,0,0,'Données projet'!$E$10+1,1))-AVERAGE(OFFSET($H$3,0,0,'Données projet'!$E$10+1,1))</f>
        <v>245.25496369542458</v>
      </c>
      <c r="AO35" s="62">
        <f t="shared" si="36"/>
        <v>342.30266518164211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5.1282051282051295</v>
      </c>
      <c r="BD35" s="13">
        <f>IF('Données projet'!$A$88&gt;35,BD34+BC35-BL34,IF(A35&lt;'Données projet'!$A$88,$BA$205^A35,IF(A35='Données projet'!$A$88,'Données projet'!$B$88,BD34+BC35-BL34)))</f>
        <v>78.205128205128204</v>
      </c>
      <c r="BE35" s="14">
        <f>BD35*VLOOKUP('Données projet'!$B$11,Paramètres!$A$1:$I$89,3,0)*VLOOKUP('Données projet'!$B$11,Paramètres!$A$1:$I$89,5,0)</f>
        <v>81.740000000000009</v>
      </c>
      <c r="BF35" s="14">
        <f t="shared" si="37"/>
        <v>22.56208894179845</v>
      </c>
      <c r="BG35" s="22">
        <f t="shared" si="7"/>
        <v>181.65947157363232</v>
      </c>
      <c r="BH35" s="62">
        <f t="shared" si="8"/>
        <v>474.9928049069656</v>
      </c>
      <c r="BI35" s="62">
        <f ca="1">AVERAGE(OFFSET($BH$3,0,0,'Données projet'!$E$11+1,1))-AVERAGE(OFFSET($H$3,0,0,'Données projet'!$E$11+1,1))</f>
        <v>377.78532142539677</v>
      </c>
      <c r="BJ35" s="62">
        <f t="shared" si="38"/>
        <v>234.27695813539111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64.895999999999987</v>
      </c>
      <c r="CA35" s="14">
        <f t="shared" si="39"/>
        <v>18.400423846102949</v>
      </c>
      <c r="CB35" s="22">
        <f t="shared" si="10"/>
        <v>145.07460486529592</v>
      </c>
      <c r="CC35" s="62">
        <f t="shared" si="11"/>
        <v>438.40793819862927</v>
      </c>
      <c r="CD35" s="62">
        <f ca="1">AVERAGE(OFFSET($CC$3,0,0,'Données projet'!$E$12+1,1))-AVERAGE(OFFSET($H$3,0,0,'Données projet'!$E$12+1,1))</f>
        <v>360.32217613090035</v>
      </c>
      <c r="CE35" s="62">
        <f t="shared" si="40"/>
        <v>159.6134369231965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10.402930402930403</v>
      </c>
      <c r="CT35" s="13">
        <f>IF('Données projet'!$A$140&gt;35,CT34+CS35-DB34,IF(A35&lt;'Données projet'!$A$140,$CQ$205^A35,IF(A35='Données projet'!$A$140,'Données projet'!$B$140,CT34+CS35-DB34)))</f>
        <v>123.8827838827839</v>
      </c>
      <c r="CU35" s="18">
        <f>CT35*VLOOKUP('Données projet'!$B$13,Paramètres!$A$1:$I$89,3,0)*VLOOKUP('Données projet'!$B$13,Paramètres!$A$1:$I$89,5,0)</f>
        <v>57.977142857142866</v>
      </c>
      <c r="CV35" s="14">
        <f t="shared" si="41"/>
        <v>16.655810903261287</v>
      </c>
      <c r="CW35" s="22">
        <f t="shared" si="13"/>
        <v>129.98572779937055</v>
      </c>
      <c r="CX35" s="62">
        <f t="shared" si="14"/>
        <v>423.31906113270384</v>
      </c>
      <c r="CY35" s="62">
        <f ca="1">AVERAGE(OFFSET($CX$3,0,0,'Données projet'!$E$13+1,1))-AVERAGE(OFFSET($H$3,0,0,'Données projet'!$E$13+1,1))</f>
        <v>246.64907095367749</v>
      </c>
      <c r="CZ35" s="62">
        <f t="shared" si="42"/>
        <v>145.34368562171613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12.938699999999994</v>
      </c>
      <c r="N36" s="14">
        <f>IF('Données projet'!$A$36&gt;35,N35+M36-V35,IF(A36&lt;'Données projet'!$A$36,$K$205^A36,IF(A36='Données projet'!$A$36,'Données projet'!$B$36,N35+M36-V35)))</f>
        <v>193.57220000000004</v>
      </c>
      <c r="O36" s="14">
        <f>N36*VLOOKUP('Données projet'!$B$9,Paramètres!$A$1:$I$89,3,0)*VLOOKUP('Données projet'!$B$9,Paramètres!$A$1:$I$89,5,0)</f>
        <v>115.75617560000003</v>
      </c>
      <c r="P36" s="14">
        <f t="shared" si="33"/>
        <v>30.683132354258433</v>
      </c>
      <c r="Q36" s="22">
        <f t="shared" si="53"/>
        <v>255.0484613536668</v>
      </c>
      <c r="R36" s="62">
        <f t="shared" si="0"/>
        <v>548.38179468700014</v>
      </c>
      <c r="S36" s="62">
        <f ca="1">AVERAGE(OFFSET($R$3,0,0,'Données projet'!$E$9+1,1))-AVERAGE(OFFSET($H$3,0,0,'Données projet'!$E$9+1,1))</f>
        <v>207.03241199974599</v>
      </c>
      <c r="T36" s="62">
        <f t="shared" si="34"/>
        <v>314.188568589113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12.722181073485904</v>
      </c>
      <c r="AA36" s="23">
        <f>EXP(-LN(2)/25)*AA35+(1-EXP(-LN(2)/25))/(LN(2)/25)*Calculateur!V36*Calculateur!X36*VLOOKUP('Données projet'!$B$9,Paramètres!$A$1:$I$89,3,0)*0.475*44/12</f>
        <v>8.9712900245031442</v>
      </c>
      <c r="AB36" s="23">
        <f>EXP(-LN(2)/2)*AB35+(1-EXP(-LN(2)/2))/(LN(2)/2)*V36*Y36*VLOOKUP('Données projet'!$B$9,Paramètres!$A$1:$I$89,3,0)*0.475*44/12</f>
        <v>1.0339413277884024</v>
      </c>
      <c r="AC36" s="24">
        <f t="shared" si="3"/>
        <v>22.727412425777448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4.2</v>
      </c>
      <c r="AI36" s="14">
        <f>IF('Données projet'!$A$62&gt;35,AI35+AH36-AQ35,IF(A36&lt;'Données projet'!$A$62,$AF$205^A36,IF(A36='Données projet'!$A$62,'Données projet'!$B$62,AI35+AH36-AQ35)))</f>
        <v>160.59999999999991</v>
      </c>
      <c r="AJ36" s="14">
        <f>AI36*VLOOKUP('Données projet'!$B$10,Paramètres!$A$1:$I$89,3,0)*VLOOKUP('Données projet'!$B$10,Paramètres!$A$1:$I$89,5,0)</f>
        <v>145.31087999999991</v>
      </c>
      <c r="AK36" s="14">
        <f t="shared" si="35"/>
        <v>37.511004575106362</v>
      </c>
      <c r="AL36" s="22">
        <f t="shared" si="4"/>
        <v>318.41478230164341</v>
      </c>
      <c r="AM36" s="62">
        <f t="shared" si="5"/>
        <v>611.74811563497678</v>
      </c>
      <c r="AN36" s="62">
        <f ca="1">AVERAGE(OFFSET($AM$3,0,0,'Données projet'!$E$10+1,1))-AVERAGE(OFFSET($H$3,0,0,'Données projet'!$E$10+1,1))</f>
        <v>245.25496369542458</v>
      </c>
      <c r="AO36" s="62">
        <f t="shared" si="36"/>
        <v>342.30266518164211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5.1282051282051295</v>
      </c>
      <c r="BD36" s="13">
        <f>IF('Données projet'!$A$88&gt;35,BD35+BC36-BL35,IF(A36&lt;'Données projet'!$A$88,$BA$205^A36,IF(A36='Données projet'!$A$88,'Données projet'!$B$88,BD35+BC36-BL35)))</f>
        <v>83.333333333333329</v>
      </c>
      <c r="BE36" s="14">
        <f>BD36*VLOOKUP('Données projet'!$B$11,Paramètres!$A$1:$I$89,3,0)*VLOOKUP('Données projet'!$B$11,Paramètres!$A$1:$I$89,5,0)</f>
        <v>87.100000000000009</v>
      </c>
      <c r="BF36" s="14">
        <f t="shared" si="37"/>
        <v>23.864487197240759</v>
      </c>
      <c r="BG36" s="22">
        <f t="shared" si="7"/>
        <v>193.26314853519432</v>
      </c>
      <c r="BH36" s="62">
        <f t="shared" si="8"/>
        <v>486.59648186852763</v>
      </c>
      <c r="BI36" s="62">
        <f ca="1">AVERAGE(OFFSET($BH$3,0,0,'Données projet'!$E$11+1,1))-AVERAGE(OFFSET($H$3,0,0,'Données projet'!$E$11+1,1))</f>
        <v>377.78532142539677</v>
      </c>
      <c r="BJ36" s="62">
        <f t="shared" si="38"/>
        <v>234.27695813539111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69.965999999999994</v>
      </c>
      <c r="CA36" s="14">
        <f t="shared" si="39"/>
        <v>19.665013934342461</v>
      </c>
      <c r="CB36" s="22">
        <f t="shared" si="10"/>
        <v>156.10734926897979</v>
      </c>
      <c r="CC36" s="62">
        <f t="shared" si="11"/>
        <v>449.44068260231313</v>
      </c>
      <c r="CD36" s="62">
        <f ca="1">AVERAGE(OFFSET($CC$3,0,0,'Données projet'!$E$12+1,1))-AVERAGE(OFFSET($H$3,0,0,'Données projet'!$E$12+1,1))</f>
        <v>360.32217613090035</v>
      </c>
      <c r="CE36" s="62">
        <f t="shared" si="40"/>
        <v>159.6134369231965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10.402930402930403</v>
      </c>
      <c r="CT36" s="13">
        <f>IF('Données projet'!$A$140&gt;35,CT35+CS36-DB35,IF(A36&lt;'Données projet'!$A$140,$CQ$205^A36,IF(A36='Données projet'!$A$140,'Données projet'!$B$140,CT35+CS36-DB35)))</f>
        <v>134.28571428571431</v>
      </c>
      <c r="CU36" s="18">
        <f>CT36*VLOOKUP('Données projet'!$B$13,Paramètres!$A$1:$I$89,3,0)*VLOOKUP('Données projet'!$B$13,Paramètres!$A$1:$I$89,5,0)</f>
        <v>62.845714285714294</v>
      </c>
      <c r="CV36" s="14">
        <f t="shared" si="41"/>
        <v>17.885803038990584</v>
      </c>
      <c r="CW36" s="22">
        <f t="shared" si="13"/>
        <v>140.60739267386097</v>
      </c>
      <c r="CX36" s="62">
        <f t="shared" si="14"/>
        <v>433.94072600719426</v>
      </c>
      <c r="CY36" s="62">
        <f ca="1">AVERAGE(OFFSET($CX$3,0,0,'Données projet'!$E$13+1,1))-AVERAGE(OFFSET($H$3,0,0,'Données projet'!$E$13+1,1))</f>
        <v>246.64907095367749</v>
      </c>
      <c r="CZ36" s="62">
        <f t="shared" si="42"/>
        <v>145.34368562171613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12.938699999999994</v>
      </c>
      <c r="N37" s="14">
        <f>IF('Données projet'!$A$36&gt;35,N36+M37-V36,IF(A37&lt;'Données projet'!$A$36,$K$205^A37,IF(A37='Données projet'!$A$36,'Données projet'!$B$36,N36+M37-V36)))</f>
        <v>206.51090000000002</v>
      </c>
      <c r="O37" s="14">
        <f>N37*VLOOKUP('Données projet'!$B$9,Paramètres!$A$1:$I$89,3,0)*VLOOKUP('Données projet'!$B$9,Paramètres!$A$1:$I$89,5,0)</f>
        <v>123.49351820000003</v>
      </c>
      <c r="P37" s="14">
        <f t="shared" si="33"/>
        <v>32.488439203441445</v>
      </c>
      <c r="Q37" s="22">
        <f t="shared" si="53"/>
        <v>271.66857581099384</v>
      </c>
      <c r="R37" s="62">
        <f t="shared" si="0"/>
        <v>565.0019091443271</v>
      </c>
      <c r="S37" s="62">
        <f ca="1">AVERAGE(OFFSET($R$3,0,0,'Données projet'!$E$9+1,1))-AVERAGE(OFFSET($H$3,0,0,'Données projet'!$E$9+1,1))</f>
        <v>207.03241199974599</v>
      </c>
      <c r="T37" s="62">
        <f t="shared" si="34"/>
        <v>314.188568589113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12.472706862399088</v>
      </c>
      <c r="AA37" s="23">
        <f>EXP(-LN(2)/25)*AA36+(1-EXP(-LN(2)/25))/(LN(2)/25)*Calculateur!V37*Calculateur!X37*VLOOKUP('Données projet'!$B$9,Paramètres!$A$1:$I$89,3,0)*0.475*44/12</f>
        <v>8.725969627003467</v>
      </c>
      <c r="AB37" s="23">
        <f>EXP(-LN(2)/2)*AB36+(1-EXP(-LN(2)/2))/(LN(2)/2)*V37*Y37*VLOOKUP('Données projet'!$B$9,Paramètres!$A$1:$I$89,3,0)*0.475*44/12</f>
        <v>0.73110692422820234</v>
      </c>
      <c r="AC37" s="24">
        <f t="shared" si="3"/>
        <v>21.929783413630759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4.2</v>
      </c>
      <c r="AI37" s="14">
        <f>IF('Données projet'!$A$62&gt;35,AI36+AH37-AQ36,IF(A37&lt;'Données projet'!$A$62,$AF$205^A37,IF(A37='Données projet'!$A$62,'Données projet'!$B$62,AI36+AH37-AQ36)))</f>
        <v>164.7999999999999</v>
      </c>
      <c r="AJ37" s="14">
        <f>AI37*VLOOKUP('Données projet'!$B$10,Paramètres!$A$1:$I$89,3,0)*VLOOKUP('Données projet'!$B$10,Paramètres!$A$1:$I$89,5,0)</f>
        <v>149.11103999999989</v>
      </c>
      <c r="AK37" s="14">
        <f t="shared" si="35"/>
        <v>38.376496436982357</v>
      </c>
      <c r="AL37" s="22">
        <f t="shared" si="4"/>
        <v>326.54079262774405</v>
      </c>
      <c r="AM37" s="62">
        <f t="shared" si="5"/>
        <v>619.87412596107743</v>
      </c>
      <c r="AN37" s="62">
        <f ca="1">AVERAGE(OFFSET($AM$3,0,0,'Données projet'!$E$10+1,1))-AVERAGE(OFFSET($H$3,0,0,'Données projet'!$E$10+1,1))</f>
        <v>245.25496369542458</v>
      </c>
      <c r="AO37" s="62">
        <f t="shared" si="36"/>
        <v>342.30266518164211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5.1282051282051295</v>
      </c>
      <c r="BD37" s="13">
        <f>IF('Données projet'!$A$88&gt;35,BD36+BC37-BL36,IF(A37&lt;'Données projet'!$A$88,$BA$205^A37,IF(A37='Données projet'!$A$88,'Données projet'!$B$88,BD36+BC37-BL36)))</f>
        <v>88.461538461538453</v>
      </c>
      <c r="BE37" s="14">
        <f>BD37*VLOOKUP('Données projet'!$B$11,Paramètres!$A$1:$I$89,3,0)*VLOOKUP('Données projet'!$B$11,Paramètres!$A$1:$I$89,5,0)</f>
        <v>92.46</v>
      </c>
      <c r="BF37" s="14">
        <f t="shared" si="37"/>
        <v>25.157583410693299</v>
      </c>
      <c r="BG37" s="22">
        <f t="shared" si="7"/>
        <v>204.85062444029083</v>
      </c>
      <c r="BH37" s="62">
        <f t="shared" si="8"/>
        <v>498.18395777362412</v>
      </c>
      <c r="BI37" s="62">
        <f ca="1">AVERAGE(OFFSET($BH$3,0,0,'Données projet'!$E$11+1,1))-AVERAGE(OFFSET($H$3,0,0,'Données projet'!$E$11+1,1))</f>
        <v>377.78532142539677</v>
      </c>
      <c r="BJ37" s="62">
        <f t="shared" si="38"/>
        <v>234.27695813539111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75.035999999999987</v>
      </c>
      <c r="CA37" s="14">
        <f t="shared" si="39"/>
        <v>20.918972521981534</v>
      </c>
      <c r="CB37" s="22">
        <f t="shared" si="10"/>
        <v>167.12157714245114</v>
      </c>
      <c r="CC37" s="62">
        <f t="shared" si="11"/>
        <v>460.45491047578446</v>
      </c>
      <c r="CD37" s="62">
        <f ca="1">AVERAGE(OFFSET($CC$3,0,0,'Données projet'!$E$12+1,1))-AVERAGE(OFFSET($H$3,0,0,'Données projet'!$E$12+1,1))</f>
        <v>360.32217613090035</v>
      </c>
      <c r="CE37" s="62">
        <f t="shared" si="40"/>
        <v>159.6134369231965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10.402930402930403</v>
      </c>
      <c r="CT37" s="13">
        <f>IF('Données projet'!$A$140&gt;35,CT36+CS37-DB36,IF(A37&lt;'Données projet'!$A$140,$CQ$205^A37,IF(A37='Données projet'!$A$140,'Données projet'!$B$140,CT36+CS37-DB36)))</f>
        <v>144.6886446886447</v>
      </c>
      <c r="CU37" s="18">
        <f>CT37*VLOOKUP('Données projet'!$B$13,Paramètres!$A$1:$I$89,3,0)*VLOOKUP('Données projet'!$B$13,Paramètres!$A$1:$I$89,5,0)</f>
        <v>67.714285714285722</v>
      </c>
      <c r="CV37" s="14">
        <f t="shared" si="41"/>
        <v>19.104742100396511</v>
      </c>
      <c r="CW37" s="22">
        <f t="shared" si="13"/>
        <v>151.20980677723819</v>
      </c>
      <c r="CX37" s="62">
        <f t="shared" si="14"/>
        <v>444.54314011057147</v>
      </c>
      <c r="CY37" s="62">
        <f ca="1">AVERAGE(OFFSET($CX$3,0,0,'Données projet'!$E$13+1,1))-AVERAGE(OFFSET($H$3,0,0,'Données projet'!$E$13+1,1))</f>
        <v>246.64907095367749</v>
      </c>
      <c r="CZ37" s="62">
        <f t="shared" si="42"/>
        <v>145.34368562171613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12.938699999999994</v>
      </c>
      <c r="N38" s="14">
        <f>IF('Données projet'!$A$36&gt;35,N37+M38-V37,IF(A38&lt;'Données projet'!$A$36,$K$205^A38,IF(A38='Données projet'!$A$36,'Données projet'!$B$36,N37+M38-V37)))</f>
        <v>219.4496</v>
      </c>
      <c r="O38" s="14">
        <f>N38*VLOOKUP('Données projet'!$B$9,Paramètres!$A$1:$I$89,3,0)*VLOOKUP('Données projet'!$B$9,Paramètres!$A$1:$I$89,5,0)</f>
        <v>131.23086080000002</v>
      </c>
      <c r="P38" s="14">
        <f t="shared" si="33"/>
        <v>34.280618947286037</v>
      </c>
      <c r="Q38" s="22">
        <f t="shared" si="53"/>
        <v>288.26582722652319</v>
      </c>
      <c r="R38" s="62">
        <f t="shared" si="0"/>
        <v>581.5991605598565</v>
      </c>
      <c r="S38" s="62">
        <f ca="1">AVERAGE(OFFSET($R$3,0,0,'Données projet'!$E$9+1,1))-AVERAGE(OFFSET($H$3,0,0,'Données projet'!$E$9+1,1))</f>
        <v>207.03241199974599</v>
      </c>
      <c r="T38" s="62">
        <f t="shared" si="34"/>
        <v>314.188568589113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12.228124688427439</v>
      </c>
      <c r="AA38" s="23">
        <f>EXP(-LN(2)/25)*AA37+(1-EXP(-LN(2)/25))/(LN(2)/25)*Calculateur!V38*Calculateur!X38*VLOOKUP('Données projet'!$B$9,Paramètres!$A$1:$I$89,3,0)*0.475*44/12</f>
        <v>8.4873575286742575</v>
      </c>
      <c r="AB38" s="23">
        <f>EXP(-LN(2)/2)*AB37+(1-EXP(-LN(2)/2))/(LN(2)/2)*V38*Y38*VLOOKUP('Données projet'!$B$9,Paramètres!$A$1:$I$89,3,0)*0.475*44/12</f>
        <v>0.51697066389420132</v>
      </c>
      <c r="AC38" s="24">
        <f t="shared" si="3"/>
        <v>21.232452880995897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4.2</v>
      </c>
      <c r="AH38" s="13">
        <f t="array" ref="AH38">INDEX(AG:AG,MIN(IF(ISNUMBER(AG38:AG234),ROW(AG38:AG234),"")))</f>
        <v>4.2</v>
      </c>
      <c r="AI38" s="14">
        <f>IF('Données projet'!$A$62&gt;35,AI37+AH38-AQ37,IF(A38&lt;'Données projet'!$A$62,$AF$205^A38,IF(A38='Données projet'!$A$62,'Données projet'!$B$62,AI37+AH38-AQ37)))</f>
        <v>168.99999999999989</v>
      </c>
      <c r="AJ38" s="14">
        <f>AI38*VLOOKUP('Données projet'!$B$10,Paramètres!$A$1:$I$89,3,0)*VLOOKUP('Données projet'!$B$10,Paramètres!$A$1:$I$89,5,0)</f>
        <v>152.91119999999989</v>
      </c>
      <c r="AK38" s="14">
        <f t="shared" si="35"/>
        <v>39.239424324197508</v>
      </c>
      <c r="AL38" s="22">
        <f t="shared" si="4"/>
        <v>334.66233736464375</v>
      </c>
      <c r="AM38" s="62">
        <f t="shared" si="5"/>
        <v>627.99567069797706</v>
      </c>
      <c r="AN38" s="62">
        <f ca="1">AVERAGE(OFFSET($AM$3,0,0,'Données projet'!$E$10+1,1))-AVERAGE(OFFSET($H$3,0,0,'Données projet'!$E$10+1,1))</f>
        <v>245.25496369542458</v>
      </c>
      <c r="AO38" s="62">
        <f t="shared" si="36"/>
        <v>342.30266518164211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93.589743589743591</v>
      </c>
      <c r="BB38" s="13">
        <f>VLOOKUP(A38,'Données projet'!$A$87:$I$107,9,0)</f>
        <v>5.1282051282051295</v>
      </c>
      <c r="BC38" s="13">
        <f t="array" ref="BC38">INDEX(BB:BB,MIN(IF(ISNUMBER(BB38:BB234),ROW(BB38:BB234),"")))</f>
        <v>5.1282051282051295</v>
      </c>
      <c r="BD38" s="13">
        <f>IF('Données projet'!$A$88&gt;35,BD37+BC38-BL37,IF(A38&lt;'Données projet'!$A$88,$BA$205^A38,IF(A38='Données projet'!$A$88,'Données projet'!$B$88,BD37+BC38-BL37)))</f>
        <v>93.589743589743577</v>
      </c>
      <c r="BE38" s="14">
        <f>BD38*VLOOKUP('Données projet'!$B$11,Paramètres!$A$1:$I$89,3,0)*VLOOKUP('Données projet'!$B$11,Paramètres!$A$1:$I$89,5,0)</f>
        <v>97.82</v>
      </c>
      <c r="BF38" s="14">
        <f t="shared" si="37"/>
        <v>26.44197826490603</v>
      </c>
      <c r="BG38" s="22">
        <f t="shared" si="7"/>
        <v>216.42294547804465</v>
      </c>
      <c r="BH38" s="62">
        <f t="shared" si="8"/>
        <v>509.75627881137797</v>
      </c>
      <c r="BI38" s="62">
        <f ca="1">AVERAGE(OFFSET($BH$3,0,0,'Données projet'!$E$11+1,1))-AVERAGE(OFFSET($H$3,0,0,'Données projet'!$E$11+1,1))</f>
        <v>377.78532142539677</v>
      </c>
      <c r="BJ38" s="62">
        <f t="shared" si="38"/>
        <v>234.27695813539111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80.105999999999995</v>
      </c>
      <c r="CA38" s="14">
        <f t="shared" si="39"/>
        <v>22.163099682076496</v>
      </c>
      <c r="CB38" s="22">
        <f t="shared" si="10"/>
        <v>178.11868194628323</v>
      </c>
      <c r="CC38" s="62">
        <f t="shared" si="11"/>
        <v>471.45201527961655</v>
      </c>
      <c r="CD38" s="62">
        <f ca="1">AVERAGE(OFFSET($CC$3,0,0,'Données projet'!$E$12+1,1))-AVERAGE(OFFSET($H$3,0,0,'Données projet'!$E$12+1,1))</f>
        <v>360.32217613090035</v>
      </c>
      <c r="CE38" s="62">
        <f t="shared" si="40"/>
        <v>159.6134369231965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10.402930402930403</v>
      </c>
      <c r="CT38" s="13">
        <f>IF('Données projet'!$A$140&gt;35,CT37+CS38-DB37,IF(A38&lt;'Données projet'!$A$140,$CQ$205^A38,IF(A38='Données projet'!$A$140,'Données projet'!$B$140,CT37+CS38-DB37)))</f>
        <v>155.09157509157509</v>
      </c>
      <c r="CU38" s="18">
        <f>CT38*VLOOKUP('Données projet'!$B$13,Paramètres!$A$1:$I$89,3,0)*VLOOKUP('Données projet'!$B$13,Paramètres!$A$1:$I$89,5,0)</f>
        <v>72.582857142857151</v>
      </c>
      <c r="CV38" s="14">
        <f t="shared" si="41"/>
        <v>20.31351317084026</v>
      </c>
      <c r="CW38" s="22">
        <f t="shared" si="13"/>
        <v>161.79451162968965</v>
      </c>
      <c r="CX38" s="62">
        <f t="shared" si="14"/>
        <v>455.12784496302299</v>
      </c>
      <c r="CY38" s="62">
        <f ca="1">AVERAGE(OFFSET($CX$3,0,0,'Données projet'!$E$13+1,1))-AVERAGE(OFFSET($H$3,0,0,'Données projet'!$E$13+1,1))</f>
        <v>246.64907095367749</v>
      </c>
      <c r="CZ38" s="62">
        <f t="shared" si="42"/>
        <v>145.34368562171613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12.938699999999994</v>
      </c>
      <c r="N39" s="14">
        <f>IF('Données projet'!$A$36&gt;35,N38+M39-V38,IF(A39&lt;'Données projet'!$A$36,$K$205^A39,IF(A39='Données projet'!$A$36,'Données projet'!$B$36,N38+M39-V38)))</f>
        <v>232.38829999999999</v>
      </c>
      <c r="O39" s="14">
        <f>N39*VLOOKUP('Données projet'!$B$9,Paramètres!$A$1:$I$89,3,0)*VLOOKUP('Données projet'!$B$9,Paramètres!$A$1:$I$89,5,0)</f>
        <v>138.96820339999999</v>
      </c>
      <c r="P39" s="14">
        <f t="shared" si="33"/>
        <v>36.060533716914215</v>
      </c>
      <c r="Q39" s="22">
        <f t="shared" si="53"/>
        <v>304.84171714529225</v>
      </c>
      <c r="R39" s="62">
        <f t="shared" si="0"/>
        <v>598.17505047862551</v>
      </c>
      <c r="S39" s="62">
        <f ca="1">AVERAGE(OFFSET($R$3,0,0,'Données projet'!$E$9+1,1))-AVERAGE(OFFSET($H$3,0,0,'Données projet'!$E$9+1,1))</f>
        <v>207.03241199974599</v>
      </c>
      <c r="T39" s="62">
        <f t="shared" si="34"/>
        <v>314.188568589113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11.988338621706978</v>
      </c>
      <c r="AA39" s="23">
        <f>EXP(-LN(2)/25)*AA38+(1-EXP(-LN(2)/25))/(LN(2)/25)*Calculateur!V39*Calculateur!X39*VLOOKUP('Données projet'!$B$9,Paramètres!$A$1:$I$89,3,0)*0.475*44/12</f>
        <v>8.255270290721926</v>
      </c>
      <c r="AB39" s="23">
        <f>EXP(-LN(2)/2)*AB38+(1-EXP(-LN(2)/2))/(LN(2)/2)*V39*Y39*VLOOKUP('Données projet'!$B$9,Paramètres!$A$1:$I$89,3,0)*0.475*44/12</f>
        <v>0.36555346211410122</v>
      </c>
      <c r="AC39" s="24">
        <f t="shared" si="3"/>
        <v>20.609162374543004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3.8</v>
      </c>
      <c r="AI39" s="14">
        <f>IF('Données projet'!$A$62&gt;35,AI38+AH39-AQ38,IF(A39&lt;'Données projet'!$A$62,$AF$205^A39,IF(A39='Données projet'!$A$62,'Données projet'!$B$62,AI38+AH39-AQ38)))</f>
        <v>167.7999999999999</v>
      </c>
      <c r="AJ39" s="14">
        <f>AI39*VLOOKUP('Données projet'!$B$10,Paramètres!$A$1:$I$89,3,0)*VLOOKUP('Données projet'!$B$10,Paramètres!$A$1:$I$89,5,0)</f>
        <v>151.8254399999999</v>
      </c>
      <c r="AK39" s="14">
        <f t="shared" si="35"/>
        <v>38.993130915848106</v>
      </c>
      <c r="AL39" s="22">
        <f t="shared" si="4"/>
        <v>332.34234434510194</v>
      </c>
      <c r="AM39" s="62">
        <f t="shared" si="5"/>
        <v>625.67567767843525</v>
      </c>
      <c r="AN39" s="62">
        <f ca="1">AVERAGE(OFFSET($AM$3,0,0,'Données projet'!$E$10+1,1))-AVERAGE(OFFSET($H$3,0,0,'Données projet'!$E$10+1,1))</f>
        <v>245.25496369542458</v>
      </c>
      <c r="AO39" s="62">
        <f t="shared" si="36"/>
        <v>342.30266518164211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5.1282051282051269</v>
      </c>
      <c r="BD39" s="13">
        <f>IF('Données projet'!$A$88&gt;35,BD38+BC39-BL38,IF(A39&lt;'Données projet'!$A$88,$BA$205^A39,IF(A39='Données projet'!$A$88,'Données projet'!$B$88,BD38+BC39-BL38)))</f>
        <v>98.717948717948701</v>
      </c>
      <c r="BE39" s="14">
        <f>BD39*VLOOKUP('Données projet'!$B$11,Paramètres!$A$1:$I$89,3,0)*VLOOKUP('Données projet'!$B$11,Paramètres!$A$1:$I$89,5,0)</f>
        <v>103.17999999999999</v>
      </c>
      <c r="BF39" s="14">
        <f t="shared" si="37"/>
        <v>27.718202896526208</v>
      </c>
      <c r="BG39" s="22">
        <f t="shared" si="7"/>
        <v>227.98103671144975</v>
      </c>
      <c r="BH39" s="62">
        <f t="shared" si="8"/>
        <v>521.31437004478312</v>
      </c>
      <c r="BI39" s="62">
        <f ca="1">AVERAGE(OFFSET($BH$3,0,0,'Données projet'!$E$11+1,1))-AVERAGE(OFFSET($H$3,0,0,'Données projet'!$E$11+1,1))</f>
        <v>377.78532142539677</v>
      </c>
      <c r="BJ39" s="62">
        <f t="shared" si="38"/>
        <v>234.27695813539111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84.399999999999991</v>
      </c>
      <c r="BZ39" s="14">
        <f>BY39*VLOOKUP('Données projet'!$B$12,Paramètres!$A$1:$I$89,3,0)*VLOOKUP('Données projet'!$B$12,Paramètres!$A$1:$I$89,5,0)</f>
        <v>85.581600000000009</v>
      </c>
      <c r="CA39" s="14">
        <f t="shared" si="39"/>
        <v>23.496511493902304</v>
      </c>
      <c r="CB39" s="22">
        <f t="shared" si="10"/>
        <v>189.97771085187989</v>
      </c>
      <c r="CC39" s="62">
        <f t="shared" si="11"/>
        <v>483.31104418521318</v>
      </c>
      <c r="CD39" s="62">
        <f ca="1">AVERAGE(OFFSET($CC$3,0,0,'Données projet'!$E$12+1,1))-AVERAGE(OFFSET($H$3,0,0,'Données projet'!$E$12+1,1))</f>
        <v>360.32217613090035</v>
      </c>
      <c r="CE39" s="62">
        <f t="shared" si="40"/>
        <v>159.6134369231965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10.402930402930403</v>
      </c>
      <c r="CT39" s="13">
        <f>IF('Données projet'!$A$140&gt;35,CT38+CS39-DB38,IF(A39&lt;'Données projet'!$A$140,$CQ$205^A39,IF(A39='Données projet'!$A$140,'Données projet'!$B$140,CT38+CS39-DB38)))</f>
        <v>165.49450549450549</v>
      </c>
      <c r="CU39" s="18">
        <f>CT39*VLOOKUP('Données projet'!$B$13,Paramètres!$A$1:$I$89,3,0)*VLOOKUP('Données projet'!$B$13,Paramètres!$A$1:$I$89,5,0)</f>
        <v>77.451428571428565</v>
      </c>
      <c r="CV39" s="14">
        <f t="shared" si="41"/>
        <v>21.512875879677669</v>
      </c>
      <c r="CW39" s="22">
        <f t="shared" si="13"/>
        <v>172.36283025234334</v>
      </c>
      <c r="CX39" s="62">
        <f t="shared" si="14"/>
        <v>465.69616358567669</v>
      </c>
      <c r="CY39" s="62">
        <f ca="1">AVERAGE(OFFSET($CX$3,0,0,'Données projet'!$E$13+1,1))-AVERAGE(OFFSET($H$3,0,0,'Données projet'!$E$13+1,1))</f>
        <v>246.64907095367749</v>
      </c>
      <c r="CZ39" s="62">
        <f t="shared" si="42"/>
        <v>145.34368562171613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245.327</v>
      </c>
      <c r="L40" s="13">
        <f>VLOOKUP(A40,'Données projet'!$A$35:$I$55,9,0)</f>
        <v>12.938699999999994</v>
      </c>
      <c r="M40" s="13">
        <f t="array" ref="M40">INDEX(L:L,MIN(IF(ISNUMBER(L40:L236),ROW(L40:L236),"")))</f>
        <v>12.938699999999994</v>
      </c>
      <c r="N40" s="14">
        <f>IF('Données projet'!$A$36&gt;35,N39+M40-V39,IF(A40&lt;'Données projet'!$A$36,$K$205^A40,IF(A40='Données projet'!$A$36,'Données projet'!$B$36,N39+M40-V39)))</f>
        <v>245.32699999999997</v>
      </c>
      <c r="O40" s="14">
        <f>N40*VLOOKUP('Données projet'!$B$9,Paramètres!$A$1:$I$89,3,0)*VLOOKUP('Données projet'!$B$9,Paramètres!$A$1:$I$89,5,0)</f>
        <v>146.705546</v>
      </c>
      <c r="P40" s="14">
        <f t="shared" si="33"/>
        <v>37.828944219472127</v>
      </c>
      <c r="Q40" s="22">
        <f t="shared" si="53"/>
        <v>321.3975704655806</v>
      </c>
      <c r="R40" s="62">
        <f t="shared" si="0"/>
        <v>614.73090379891391</v>
      </c>
      <c r="S40" s="62">
        <f ca="1">AVERAGE(OFFSET($R$3,0,0,'Données projet'!$E$9+1,1))-AVERAGE(OFFSET($H$3,0,0,'Données projet'!$E$9+1,1))</f>
        <v>207.03241199974599</v>
      </c>
      <c r="T40" s="62">
        <f t="shared" si="34"/>
        <v>314.188568589113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11.753254613499847</v>
      </c>
      <c r="AA40" s="23">
        <f>EXP(-LN(2)/25)*AA39+(1-EXP(-LN(2)/25))/(LN(2)/25)*Calculateur!V40*Calculateur!X40*VLOOKUP('Données projet'!$B$9,Paramètres!$A$1:$I$89,3,0)*0.475*44/12</f>
        <v>8.0295294904963388</v>
      </c>
      <c r="AB40" s="23">
        <f>EXP(-LN(2)/2)*AB39+(1-EXP(-LN(2)/2))/(LN(2)/2)*V40*Y40*VLOOKUP('Données projet'!$B$9,Paramètres!$A$1:$I$89,3,0)*0.475*44/12</f>
        <v>0.25848533194710066</v>
      </c>
      <c r="AC40" s="24">
        <f t="shared" si="3"/>
        <v>20.041269435943285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3.8</v>
      </c>
      <c r="AI40" s="14">
        <f>IF('Données projet'!$A$62&gt;35,AI39+AH40-AQ39,IF(A40&lt;'Données projet'!$A$62,$AF$205^A40,IF(A40='Données projet'!$A$62,'Données projet'!$B$62,AI39+AH40-AQ39)))</f>
        <v>171.59999999999991</v>
      </c>
      <c r="AJ40" s="14">
        <f>AI40*VLOOKUP('Données projet'!$B$10,Paramètres!$A$1:$I$89,3,0)*VLOOKUP('Données projet'!$B$10,Paramètres!$A$1:$I$89,5,0)</f>
        <v>155.26367999999991</v>
      </c>
      <c r="AK40" s="14">
        <f t="shared" si="35"/>
        <v>39.77236412265178</v>
      </c>
      <c r="AL40" s="22">
        <f t="shared" si="4"/>
        <v>339.68777684695164</v>
      </c>
      <c r="AM40" s="62">
        <f t="shared" si="5"/>
        <v>633.02111018028495</v>
      </c>
      <c r="AN40" s="62">
        <f ca="1">AVERAGE(OFFSET($AM$3,0,0,'Données projet'!$E$10+1,1))-AVERAGE(OFFSET($H$3,0,0,'Données projet'!$E$10+1,1))</f>
        <v>245.25496369542458</v>
      </c>
      <c r="AO40" s="62">
        <f t="shared" si="36"/>
        <v>342.30266518164211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5.1282051282051269</v>
      </c>
      <c r="BD40" s="13">
        <f>IF('Données projet'!$A$88&gt;35,BD39+BC40-BL39,IF(A40&lt;'Données projet'!$A$88,$BA$205^A40,IF(A40='Données projet'!$A$88,'Données projet'!$B$88,BD39+BC40-BL39)))</f>
        <v>103.84615384615383</v>
      </c>
      <c r="BE40" s="14">
        <f>BD40*VLOOKUP('Données projet'!$B$11,Paramètres!$A$1:$I$89,3,0)*VLOOKUP('Données projet'!$B$11,Paramètres!$A$1:$I$89,5,0)</f>
        <v>108.53999999999999</v>
      </c>
      <c r="BF40" s="14">
        <f t="shared" si="37"/>
        <v>28.986730142355373</v>
      </c>
      <c r="BG40" s="22">
        <f t="shared" si="7"/>
        <v>239.52572166460229</v>
      </c>
      <c r="BH40" s="62">
        <f t="shared" si="8"/>
        <v>532.85905499793557</v>
      </c>
      <c r="BI40" s="62">
        <f ca="1">AVERAGE(OFFSET($BH$3,0,0,'Données projet'!$E$11+1,1))-AVERAGE(OFFSET($H$3,0,0,'Données projet'!$E$11+1,1))</f>
        <v>377.78532142539677</v>
      </c>
      <c r="BJ40" s="62">
        <f t="shared" si="38"/>
        <v>234.27695813539111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89.8</v>
      </c>
      <c r="BZ40" s="14">
        <f>BY40*VLOOKUP('Données projet'!$B$12,Paramètres!$A$1:$I$89,3,0)*VLOOKUP('Données projet'!$B$12,Paramètres!$A$1:$I$89,5,0)</f>
        <v>91.057199999999995</v>
      </c>
      <c r="CA40" s="14">
        <f t="shared" si="39"/>
        <v>24.820022621284554</v>
      </c>
      <c r="CB40" s="22">
        <f t="shared" si="10"/>
        <v>201.81949606540391</v>
      </c>
      <c r="CC40" s="62">
        <f t="shared" si="11"/>
        <v>495.15282939873725</v>
      </c>
      <c r="CD40" s="62">
        <f ca="1">AVERAGE(OFFSET($CC$3,0,0,'Données projet'!$E$12+1,1))-AVERAGE(OFFSET($H$3,0,0,'Données projet'!$E$12+1,1))</f>
        <v>360.32217613090035</v>
      </c>
      <c r="CE40" s="62">
        <f t="shared" si="40"/>
        <v>159.6134369231965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10.402930402930403</v>
      </c>
      <c r="CT40" s="13">
        <f>IF('Données projet'!$A$140&gt;35,CT39+CS40-DB39,IF(A40&lt;'Données projet'!$A$140,$CQ$205^A40,IF(A40='Données projet'!$A$140,'Données projet'!$B$140,CT39+CS40-DB39)))</f>
        <v>175.89743589743588</v>
      </c>
      <c r="CU40" s="18">
        <f>CT40*VLOOKUP('Données projet'!$B$13,Paramètres!$A$1:$I$89,3,0)*VLOOKUP('Données projet'!$B$13,Paramètres!$A$1:$I$89,5,0)</f>
        <v>82.32</v>
      </c>
      <c r="CV40" s="14">
        <f t="shared" si="41"/>
        <v>22.703488958112253</v>
      </c>
      <c r="CW40" s="22">
        <f t="shared" si="13"/>
        <v>182.91590993537883</v>
      </c>
      <c r="CX40" s="62">
        <f t="shared" si="14"/>
        <v>476.24924326871212</v>
      </c>
      <c r="CY40" s="62">
        <f ca="1">AVERAGE(OFFSET($CX$3,0,0,'Données projet'!$E$13+1,1))-AVERAGE(OFFSET($H$3,0,0,'Données projet'!$E$13+1,1))</f>
        <v>246.64907095367749</v>
      </c>
      <c r="CZ40" s="62">
        <f t="shared" si="42"/>
        <v>145.34368562171613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13.198800000000006</v>
      </c>
      <c r="N41" s="14">
        <f>IF('Données projet'!$A$36&gt;35,N40+M41-V40,IF(A41&lt;'Données projet'!$A$36,$K$205^A41,IF(A41='Données projet'!$A$36,'Données projet'!$B$36,N40+M41-V40)))</f>
        <v>258.5258</v>
      </c>
      <c r="O41" s="14">
        <f>N41*VLOOKUP('Données projet'!$B$9,Paramètres!$A$1:$I$89,3,0)*VLOOKUP('Données projet'!$B$9,Paramètres!$A$1:$I$89,5,0)</f>
        <v>154.59842840000002</v>
      </c>
      <c r="P41" s="14">
        <f t="shared" si="33"/>
        <v>39.621751412081764</v>
      </c>
      <c r="Q41" s="22">
        <f t="shared" si="53"/>
        <v>338.26681317270908</v>
      </c>
      <c r="R41" s="62">
        <f t="shared" si="0"/>
        <v>631.60014650604239</v>
      </c>
      <c r="S41" s="62">
        <f ca="1">AVERAGE(OFFSET($R$3,0,0,'Données projet'!$E$9+1,1))-AVERAGE(OFFSET($H$3,0,0,'Données projet'!$E$9+1,1))</f>
        <v>207.03241199974599</v>
      </c>
      <c r="T41" s="62">
        <f t="shared" si="34"/>
        <v>314.188568589113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11.522780459306571</v>
      </c>
      <c r="AA41" s="23">
        <f>EXP(-LN(2)/25)*AA40+(1-EXP(-LN(2)/25))/(LN(2)/25)*Calculateur!V41*Calculateur!X41*VLOOKUP('Données projet'!$B$9,Paramètres!$A$1:$I$89,3,0)*0.475*44/12</f>
        <v>7.8099615843241121</v>
      </c>
      <c r="AB41" s="23">
        <f>EXP(-LN(2)/2)*AB40+(1-EXP(-LN(2)/2))/(LN(2)/2)*V41*Y41*VLOOKUP('Données projet'!$B$9,Paramètres!$A$1:$I$89,3,0)*0.475*44/12</f>
        <v>0.18277673105705061</v>
      </c>
      <c r="AC41" s="24">
        <f t="shared" si="3"/>
        <v>19.515518774687731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3.8</v>
      </c>
      <c r="AI41" s="14">
        <f>IF('Données projet'!$A$62&gt;35,AI40+AH41-AQ40,IF(A41&lt;'Données projet'!$A$62,$AF$205^A41,IF(A41='Données projet'!$A$62,'Données projet'!$B$62,AI40+AH41-AQ40)))</f>
        <v>175.39999999999992</v>
      </c>
      <c r="AJ41" s="14">
        <f>AI41*VLOOKUP('Données projet'!$B$10,Paramètres!$A$1:$I$89,3,0)*VLOOKUP('Données projet'!$B$10,Paramètres!$A$1:$I$89,5,0)</f>
        <v>158.70191999999992</v>
      </c>
      <c r="AK41" s="14">
        <f t="shared" si="35"/>
        <v>40.549591173644728</v>
      </c>
      <c r="AL41" s="22">
        <f t="shared" si="4"/>
        <v>347.02971529409774</v>
      </c>
      <c r="AM41" s="62">
        <f t="shared" si="5"/>
        <v>640.363048627431</v>
      </c>
      <c r="AN41" s="62">
        <f ca="1">AVERAGE(OFFSET($AM$3,0,0,'Données projet'!$E$10+1,1))-AVERAGE(OFFSET($H$3,0,0,'Données projet'!$E$10+1,1))</f>
        <v>245.25496369542458</v>
      </c>
      <c r="AO41" s="62">
        <f t="shared" si="36"/>
        <v>342.30266518164211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5.1282051282051269</v>
      </c>
      <c r="BD41" s="13">
        <f>IF('Données projet'!$A$88&gt;35,BD40+BC41-BL40,IF(A41&lt;'Données projet'!$A$88,$BA$205^A41,IF(A41='Données projet'!$A$88,'Données projet'!$B$88,BD40+BC41-BL40)))</f>
        <v>108.97435897435895</v>
      </c>
      <c r="BE41" s="14">
        <f>BD41*VLOOKUP('Données projet'!$B$11,Paramètres!$A$1:$I$89,3,0)*VLOOKUP('Données projet'!$B$11,Paramètres!$A$1:$I$89,5,0)</f>
        <v>113.89999999999998</v>
      </c>
      <c r="BF41" s="14">
        <f t="shared" si="37"/>
        <v>30.247983501044125</v>
      </c>
      <c r="BG41" s="22">
        <f t="shared" si="7"/>
        <v>251.05773793098513</v>
      </c>
      <c r="BH41" s="62">
        <f t="shared" si="8"/>
        <v>544.3910712643185</v>
      </c>
      <c r="BI41" s="62">
        <f ca="1">AVERAGE(OFFSET($BH$3,0,0,'Données projet'!$E$11+1,1))-AVERAGE(OFFSET($H$3,0,0,'Données projet'!$E$11+1,1))</f>
        <v>377.78532142539677</v>
      </c>
      <c r="BJ41" s="62">
        <f t="shared" si="38"/>
        <v>234.27695813539111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95.2</v>
      </c>
      <c r="BZ41" s="14">
        <f>BY41*VLOOKUP('Données projet'!$B$12,Paramètres!$A$1:$I$89,3,0)*VLOOKUP('Données projet'!$B$12,Paramètres!$A$1:$I$89,5,0)</f>
        <v>96.532800000000009</v>
      </c>
      <c r="CA41" s="14">
        <f t="shared" si="39"/>
        <v>26.134296230894989</v>
      </c>
      <c r="CB41" s="22">
        <f t="shared" si="10"/>
        <v>213.64519260214215</v>
      </c>
      <c r="CC41" s="62">
        <f t="shared" si="11"/>
        <v>506.97852593547543</v>
      </c>
      <c r="CD41" s="62">
        <f ca="1">AVERAGE(OFFSET($CC$3,0,0,'Données projet'!$E$12+1,1))-AVERAGE(OFFSET($H$3,0,0,'Données projet'!$E$12+1,1))</f>
        <v>360.32217613090035</v>
      </c>
      <c r="CE41" s="62">
        <f t="shared" si="40"/>
        <v>159.6134369231965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10.402930402930403</v>
      </c>
      <c r="CT41" s="13">
        <f>IF('Données projet'!$A$140&gt;35,CT40+CS41-DB40,IF(A41&lt;'Données projet'!$A$140,$CQ$205^A41,IF(A41='Données projet'!$A$140,'Données projet'!$B$140,CT40+CS41-DB40)))</f>
        <v>186.30036630036628</v>
      </c>
      <c r="CU41" s="18">
        <f>CT41*VLOOKUP('Données projet'!$B$13,Paramètres!$A$1:$I$89,3,0)*VLOOKUP('Données projet'!$B$13,Paramètres!$A$1:$I$89,5,0)</f>
        <v>87.188571428571422</v>
      </c>
      <c r="CV41" s="14">
        <f t="shared" si="41"/>
        <v>23.885928818198035</v>
      </c>
      <c r="CW41" s="22">
        <f t="shared" si="13"/>
        <v>193.45475459645681</v>
      </c>
      <c r="CX41" s="62">
        <f t="shared" si="14"/>
        <v>486.78808792979009</v>
      </c>
      <c r="CY41" s="62">
        <f ca="1">AVERAGE(OFFSET($CX$3,0,0,'Données projet'!$E$13+1,1))-AVERAGE(OFFSET($H$3,0,0,'Données projet'!$E$13+1,1))</f>
        <v>246.64907095367749</v>
      </c>
      <c r="CZ41" s="62">
        <f t="shared" si="42"/>
        <v>145.34368562171613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13.198800000000006</v>
      </c>
      <c r="N42" s="14">
        <f>IF('Données projet'!$A$36&gt;35,N41+M42-V41,IF(A42&lt;'Données projet'!$A$36,$K$205^A42,IF(A42='Données projet'!$A$36,'Données projet'!$B$36,N41+M42-V41)))</f>
        <v>271.72460000000001</v>
      </c>
      <c r="O42" s="14">
        <f>N42*VLOOKUP('Données projet'!$B$9,Paramètres!$A$1:$I$89,3,0)*VLOOKUP('Données projet'!$B$9,Paramètres!$A$1:$I$89,5,0)</f>
        <v>162.49131080000001</v>
      </c>
      <c r="P42" s="14">
        <f t="shared" si="33"/>
        <v>41.403931216412602</v>
      </c>
      <c r="Q42" s="22">
        <f t="shared" si="53"/>
        <v>355.11754651191865</v>
      </c>
      <c r="R42" s="62">
        <f t="shared" si="0"/>
        <v>648.45087984525196</v>
      </c>
      <c r="S42" s="62">
        <f ca="1">AVERAGE(OFFSET($R$3,0,0,'Données projet'!$E$9+1,1))-AVERAGE(OFFSET($H$3,0,0,'Données projet'!$E$9+1,1))</f>
        <v>207.03241199974599</v>
      </c>
      <c r="T42" s="62">
        <f t="shared" si="34"/>
        <v>314.188568589113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11.296825762701671</v>
      </c>
      <c r="AA42" s="23">
        <f>EXP(-LN(2)/25)*AA41+(1-EXP(-LN(2)/25))/(LN(2)/25)*Calculateur!V42*Calculateur!X42*VLOOKUP('Données projet'!$B$9,Paramètres!$A$1:$I$89,3,0)*0.475*44/12</f>
        <v>7.5963977740927398</v>
      </c>
      <c r="AB42" s="23">
        <f>EXP(-LN(2)/2)*AB41+(1-EXP(-LN(2)/2))/(LN(2)/2)*V42*Y42*VLOOKUP('Données projet'!$B$9,Paramètres!$A$1:$I$89,3,0)*0.475*44/12</f>
        <v>0.12924266597355033</v>
      </c>
      <c r="AC42" s="24">
        <f t="shared" si="3"/>
        <v>19.022466202767959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3.8</v>
      </c>
      <c r="AI42" s="14">
        <f>IF('Données projet'!$A$62&gt;35,AI41+AH42-AQ41,IF(A42&lt;'Données projet'!$A$62,$AF$205^A42,IF(A42='Données projet'!$A$62,'Données projet'!$B$62,AI41+AH42-AQ41)))</f>
        <v>179.19999999999993</v>
      </c>
      <c r="AJ42" s="14">
        <f>AI42*VLOOKUP('Données projet'!$B$10,Paramètres!$A$1:$I$89,3,0)*VLOOKUP('Données projet'!$B$10,Paramètres!$A$1:$I$89,5,0)</f>
        <v>162.14015999999992</v>
      </c>
      <c r="AK42" s="14">
        <f t="shared" si="35"/>
        <v>41.324860537333677</v>
      </c>
      <c r="AL42" s="22">
        <f t="shared" si="4"/>
        <v>354.36824410252262</v>
      </c>
      <c r="AM42" s="62">
        <f t="shared" si="5"/>
        <v>647.70157743585594</v>
      </c>
      <c r="AN42" s="62">
        <f ca="1">AVERAGE(OFFSET($AM$3,0,0,'Données projet'!$E$10+1,1))-AVERAGE(OFFSET($H$3,0,0,'Données projet'!$E$10+1,1))</f>
        <v>245.25496369542458</v>
      </c>
      <c r="AO42" s="62">
        <f t="shared" si="36"/>
        <v>342.30266518164211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5.1282051282051269</v>
      </c>
      <c r="BD42" s="13">
        <f>IF('Données projet'!$A$88&gt;35,BD41+BC42-BL41,IF(A42&lt;'Données projet'!$A$88,$BA$205^A42,IF(A42='Données projet'!$A$88,'Données projet'!$B$88,BD41+BC42-BL41)))</f>
        <v>114.10256410256407</v>
      </c>
      <c r="BE42" s="14">
        <f>BD42*VLOOKUP('Données projet'!$B$11,Paramètres!$A$1:$I$89,3,0)*VLOOKUP('Données projet'!$B$11,Paramètres!$A$1:$I$89,5,0)</f>
        <v>119.25999999999998</v>
      </c>
      <c r="BF42" s="14">
        <f t="shared" si="37"/>
        <v>31.50234436011446</v>
      </c>
      <c r="BG42" s="22">
        <f t="shared" si="7"/>
        <v>262.57774976053264</v>
      </c>
      <c r="BH42" s="62">
        <f t="shared" si="8"/>
        <v>555.91108309386595</v>
      </c>
      <c r="BI42" s="62">
        <f ca="1">AVERAGE(OFFSET($BH$3,0,0,'Données projet'!$E$11+1,1))-AVERAGE(OFFSET($H$3,0,0,'Données projet'!$E$11+1,1))</f>
        <v>377.78532142539677</v>
      </c>
      <c r="BJ42" s="62">
        <f t="shared" si="38"/>
        <v>234.27695813539111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100.60000000000001</v>
      </c>
      <c r="BZ42" s="14">
        <f>BY42*VLOOKUP('Données projet'!$B$12,Paramètres!$A$1:$I$89,3,0)*VLOOKUP('Données projet'!$B$12,Paramètres!$A$1:$I$89,5,0)</f>
        <v>102.00840000000002</v>
      </c>
      <c r="CA42" s="14">
        <f t="shared" si="39"/>
        <v>27.439916006919535</v>
      </c>
      <c r="CB42" s="22">
        <f t="shared" si="10"/>
        <v>225.45581704538486</v>
      </c>
      <c r="CC42" s="62">
        <f t="shared" si="11"/>
        <v>518.7891503787182</v>
      </c>
      <c r="CD42" s="62">
        <f ca="1">AVERAGE(OFFSET($CC$3,0,0,'Données projet'!$E$12+1,1))-AVERAGE(OFFSET($H$3,0,0,'Données projet'!$E$12+1,1))</f>
        <v>360.32217613090035</v>
      </c>
      <c r="CE42" s="62">
        <f t="shared" si="40"/>
        <v>159.6134369231965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10.402930402930403</v>
      </c>
      <c r="CT42" s="13">
        <f>IF('Données projet'!$A$140&gt;35,CT41+CS42-DB41,IF(A42&lt;'Données projet'!$A$140,$CQ$205^A42,IF(A42='Données projet'!$A$140,'Données projet'!$B$140,CT41+CS42-DB41)))</f>
        <v>196.70329670329667</v>
      </c>
      <c r="CU42" s="18">
        <f>CT42*VLOOKUP('Données projet'!$B$13,Paramètres!$A$1:$I$89,3,0)*VLOOKUP('Données projet'!$B$13,Paramètres!$A$1:$I$89,5,0)</f>
        <v>92.05714285714285</v>
      </c>
      <c r="CV42" s="14">
        <f t="shared" si="41"/>
        <v>25.060703863036977</v>
      </c>
      <c r="CW42" s="22">
        <f t="shared" si="13"/>
        <v>203.9802497043132</v>
      </c>
      <c r="CX42" s="62">
        <f t="shared" si="14"/>
        <v>497.31358303764648</v>
      </c>
      <c r="CY42" s="62">
        <f ca="1">AVERAGE(OFFSET($CX$3,0,0,'Données projet'!$E$13+1,1))-AVERAGE(OFFSET($H$3,0,0,'Données projet'!$E$13+1,1))</f>
        <v>246.64907095367749</v>
      </c>
      <c r="CZ42" s="62">
        <f t="shared" si="42"/>
        <v>145.34368562171613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13.198800000000006</v>
      </c>
      <c r="N43" s="14">
        <f>IF('Données projet'!$A$36&gt;35,N42+M43-V42,IF(A43&lt;'Données projet'!$A$36,$K$205^A43,IF(A43='Données projet'!$A$36,'Données projet'!$B$36,N42+M43-V42)))</f>
        <v>284.92340000000002</v>
      </c>
      <c r="O43" s="14">
        <f>N43*VLOOKUP('Données projet'!$B$9,Paramètres!$A$1:$I$89,3,0)*VLOOKUP('Données projet'!$B$9,Paramètres!$A$1:$I$89,5,0)</f>
        <v>170.38419320000003</v>
      </c>
      <c r="P43" s="14">
        <f t="shared" si="33"/>
        <v>43.176058773516118</v>
      </c>
      <c r="Q43" s="22">
        <f t="shared" si="53"/>
        <v>371.95077218720718</v>
      </c>
      <c r="R43" s="62">
        <f t="shared" si="0"/>
        <v>665.28410552054049</v>
      </c>
      <c r="S43" s="62">
        <f ca="1">AVERAGE(OFFSET($R$3,0,0,'Données projet'!$E$9+1,1))-AVERAGE(OFFSET($H$3,0,0,'Données projet'!$E$9+1,1))</f>
        <v>207.03241199974599</v>
      </c>
      <c r="T43" s="62">
        <f t="shared" si="34"/>
        <v>314.188568589113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11.075301899878438</v>
      </c>
      <c r="AA43" s="23">
        <f>EXP(-LN(2)/25)*AA42+(1-EXP(-LN(2)/25))/(LN(2)/25)*Calculateur!V43*Calculateur!X43*VLOOKUP('Données projet'!$B$9,Paramètres!$A$1:$I$89,3,0)*0.475*44/12</f>
        <v>7.3886738774829768</v>
      </c>
      <c r="AB43" s="23">
        <f>EXP(-LN(2)/2)*AB42+(1-EXP(-LN(2)/2))/(LN(2)/2)*V43*Y43*VLOOKUP('Données projet'!$B$9,Paramètres!$A$1:$I$89,3,0)*0.475*44/12</f>
        <v>9.1388365528525306E-2</v>
      </c>
      <c r="AC43" s="24">
        <f t="shared" si="3"/>
        <v>18.555364142889943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183</v>
      </c>
      <c r="AG43" s="13">
        <f>VLOOKUP(A43,'Données projet'!$A$61:$I$81,9,0)</f>
        <v>3.8</v>
      </c>
      <c r="AH43" s="13">
        <f t="array" ref="AH43">INDEX(AG:AG,MIN(IF(ISNUMBER(AG43:AG239),ROW(AG43:AG239),"")))</f>
        <v>3.8</v>
      </c>
      <c r="AI43" s="14">
        <f>IF('Données projet'!$A$62&gt;35,AI42+AH43-AQ42,IF(A43&lt;'Données projet'!$A$62,$AF$205^A43,IF(A43='Données projet'!$A$62,'Données projet'!$B$62,AI42+AH43-AQ42)))</f>
        <v>182.99999999999994</v>
      </c>
      <c r="AJ43" s="14">
        <f>AI43*VLOOKUP('Données projet'!$B$10,Paramètres!$A$1:$I$89,3,0)*VLOOKUP('Données projet'!$B$10,Paramètres!$A$1:$I$89,5,0)</f>
        <v>165.57839999999993</v>
      </c>
      <c r="AK43" s="14">
        <f t="shared" si="35"/>
        <v>42.098218509199661</v>
      </c>
      <c r="AL43" s="22">
        <f t="shared" si="4"/>
        <v>361.70344390352261</v>
      </c>
      <c r="AM43" s="62">
        <f t="shared" si="5"/>
        <v>655.03677723685587</v>
      </c>
      <c r="AN43" s="62">
        <f ca="1">AVERAGE(OFFSET($AM$3,0,0,'Données projet'!$E$10+1,1))-AVERAGE(OFFSET($H$3,0,0,'Données projet'!$E$10+1,1))</f>
        <v>245.25496369542458</v>
      </c>
      <c r="AO43" s="62">
        <f t="shared" si="36"/>
        <v>342.30266518164211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119.23076923076923</v>
      </c>
      <c r="BB43" s="13">
        <f>VLOOKUP(A43,'Données projet'!$A$87:$I$107,9,0)</f>
        <v>5.1282051282051269</v>
      </c>
      <c r="BC43" s="13">
        <f t="array" ref="BC43">INDEX(BB:BB,MIN(IF(ISNUMBER(BB43:BB239),ROW(BB43:BB239),"")))</f>
        <v>5.1282051282051269</v>
      </c>
      <c r="BD43" s="13">
        <f>IF('Données projet'!$A$88&gt;35,BD42+BC43-BL42,IF(A43&lt;'Données projet'!$A$88,$BA$205^A43,IF(A43='Données projet'!$A$88,'Données projet'!$B$88,BD42+BC43-BL42)))</f>
        <v>119.2307692307692</v>
      </c>
      <c r="BE43" s="14">
        <f>BD43*VLOOKUP('Données projet'!$B$11,Paramètres!$A$1:$I$89,3,0)*VLOOKUP('Données projet'!$B$11,Paramètres!$A$1:$I$89,5,0)</f>
        <v>124.61999999999999</v>
      </c>
      <c r="BF43" s="14">
        <f t="shared" si="37"/>
        <v>32.750157887033581</v>
      </c>
      <c r="BG43" s="22">
        <f t="shared" si="7"/>
        <v>274.08635831991677</v>
      </c>
      <c r="BH43" s="62">
        <f t="shared" si="8"/>
        <v>567.41969165325008</v>
      </c>
      <c r="BI43" s="62">
        <f ca="1">AVERAGE(OFFSET($BH$3,0,0,'Données projet'!$E$11+1,1))-AVERAGE(OFFSET($H$3,0,0,'Données projet'!$E$11+1,1))</f>
        <v>377.78532142539677</v>
      </c>
      <c r="BJ43" s="62">
        <f t="shared" si="38"/>
        <v>234.27695813539111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17.307692307692307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106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106.00000000000001</v>
      </c>
      <c r="BZ43" s="14">
        <f>BY43*VLOOKUP('Données projet'!$B$12,Paramètres!$A$1:$I$89,3,0)*VLOOKUP('Données projet'!$B$12,Paramètres!$A$1:$I$89,5,0)</f>
        <v>107.48400000000001</v>
      </c>
      <c r="CA43" s="14">
        <f t="shared" si="39"/>
        <v>28.737399432589044</v>
      </c>
      <c r="CB43" s="22">
        <f t="shared" si="10"/>
        <v>237.25227067842596</v>
      </c>
      <c r="CC43" s="62">
        <f t="shared" si="11"/>
        <v>530.5856040117593</v>
      </c>
      <c r="CD43" s="62">
        <f ca="1">AVERAGE(OFFSET($CC$3,0,0,'Données projet'!$E$12+1,1))-AVERAGE(OFFSET($H$3,0,0,'Données projet'!$E$12+1,1))</f>
        <v>360.32217613090035</v>
      </c>
      <c r="CE43" s="62">
        <f t="shared" si="40"/>
        <v>159.6134369231965</v>
      </c>
      <c r="CF43" s="16">
        <f>IF(ISNA(VLOOKUP(A43,'Données projet'!$A$113:$I$133,3,0)),0,VLOOKUP(A43,'Données projet'!$A$113:$I$133,3,0))</f>
        <v>1</v>
      </c>
      <c r="CG43" s="16">
        <f>IF(ISNA(VLOOKUP(A43,'Données projet'!$A$113:$I$133,4,0)),0,VLOOKUP(A43,'Données projet'!$A$113:$I$133,4,0))</f>
        <v>27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10.402930402930403</v>
      </c>
      <c r="CT43" s="13">
        <f>IF('Données projet'!$A$140&gt;35,CT42+CS43-DB42,IF(A43&lt;'Données projet'!$A$140,$CQ$205^A43,IF(A43='Données projet'!$A$140,'Données projet'!$B$140,CT42+CS43-DB42)))</f>
        <v>207.10622710622707</v>
      </c>
      <c r="CU43" s="18">
        <f>CT43*VLOOKUP('Données projet'!$B$13,Paramètres!$A$1:$I$89,3,0)*VLOOKUP('Données projet'!$B$13,Paramètres!$A$1:$I$89,5,0)</f>
        <v>96.925714285714264</v>
      </c>
      <c r="CV43" s="14">
        <f t="shared" si="41"/>
        <v>26.228265683321183</v>
      </c>
      <c r="CW43" s="22">
        <f t="shared" si="13"/>
        <v>214.49318177940339</v>
      </c>
      <c r="CX43" s="62">
        <f t="shared" si="14"/>
        <v>507.82651511273673</v>
      </c>
      <c r="CY43" s="62">
        <f ca="1">AVERAGE(OFFSET($CX$3,0,0,'Données projet'!$E$13+1,1))-AVERAGE(OFFSET($H$3,0,0,'Données projet'!$E$13+1,1))</f>
        <v>246.64907095367749</v>
      </c>
      <c r="CZ43" s="62">
        <f t="shared" si="42"/>
        <v>145.34368562171613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13.198800000000006</v>
      </c>
      <c r="N44" s="14">
        <f>IF('Données projet'!$A$36&gt;35,N43+M44-V43,IF(A44&lt;'Données projet'!$A$36,$K$205^A44,IF(A44='Données projet'!$A$36,'Données projet'!$B$36,N43+M44-V43)))</f>
        <v>298.12220000000002</v>
      </c>
      <c r="O44" s="14">
        <f>N44*VLOOKUP('Données projet'!$B$9,Paramètres!$A$1:$I$89,3,0)*VLOOKUP('Données projet'!$B$9,Paramètres!$A$1:$I$89,5,0)</f>
        <v>178.27707560000005</v>
      </c>
      <c r="P44" s="14">
        <f t="shared" si="33"/>
        <v>44.938652927177529</v>
      </c>
      <c r="Q44" s="22">
        <f t="shared" si="53"/>
        <v>388.76739385150091</v>
      </c>
      <c r="R44" s="62">
        <f t="shared" si="0"/>
        <v>682.10072718483423</v>
      </c>
      <c r="S44" s="62">
        <f ca="1">AVERAGE(OFFSET($R$3,0,0,'Données projet'!$E$9+1,1))-AVERAGE(OFFSET($H$3,0,0,'Données projet'!$E$9+1,1))</f>
        <v>207.03241199974599</v>
      </c>
      <c r="T44" s="62">
        <f t="shared" si="34"/>
        <v>314.188568589113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10.858121984888953</v>
      </c>
      <c r="AA44" s="23">
        <f>EXP(-LN(2)/25)*AA43+(1-EXP(-LN(2)/25))/(LN(2)/25)*Calculateur!V44*Calculateur!X44*VLOOKUP('Données projet'!$B$9,Paramètres!$A$1:$I$89,3,0)*0.475*44/12</f>
        <v>7.1866302017497325</v>
      </c>
      <c r="AB44" s="23">
        <f>EXP(-LN(2)/2)*AB43+(1-EXP(-LN(2)/2))/(LN(2)/2)*V44*Y44*VLOOKUP('Données projet'!$B$9,Paramètres!$A$1:$I$89,3,0)*0.475*44/12</f>
        <v>6.4621332986775165E-2</v>
      </c>
      <c r="AC44" s="24">
        <f t="shared" si="3"/>
        <v>18.109373519625461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3.8</v>
      </c>
      <c r="AI44" s="14">
        <f>IF('Données projet'!$A$62&gt;35,AI43+AH44-AQ43,IF(A44&lt;'Données projet'!$A$62,$AF$205^A44,IF(A44='Données projet'!$A$62,'Données projet'!$B$62,AI43+AH44-AQ43)))</f>
        <v>182.79999999999995</v>
      </c>
      <c r="AJ44" s="14">
        <f>AI44*VLOOKUP('Données projet'!$B$10,Paramètres!$A$1:$I$89,3,0)*VLOOKUP('Données projet'!$B$10,Paramètres!$A$1:$I$89,5,0)</f>
        <v>165.39743999999996</v>
      </c>
      <c r="AK44" s="14">
        <f t="shared" si="35"/>
        <v>42.057562385840804</v>
      </c>
      <c r="AL44" s="22">
        <f t="shared" si="4"/>
        <v>361.31746248867267</v>
      </c>
      <c r="AM44" s="62">
        <f t="shared" si="5"/>
        <v>654.65079582200599</v>
      </c>
      <c r="AN44" s="62">
        <f ca="1">AVERAGE(OFFSET($AM$3,0,0,'Données projet'!$E$10+1,1))-AVERAGE(OFFSET($H$3,0,0,'Données projet'!$E$10+1,1))</f>
        <v>245.25496369542458</v>
      </c>
      <c r="AO44" s="62">
        <f t="shared" si="36"/>
        <v>342.30266518164211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4.8717948717948731</v>
      </c>
      <c r="BD44" s="13">
        <f>IF('Données projet'!$A$88&gt;35,BD43+BC44-BL43,IF(A44&lt;'Données projet'!$A$88,$BA$205^A44,IF(A44='Données projet'!$A$88,'Données projet'!$B$88,BD43+BC44-BL43)))</f>
        <v>106.79487179487177</v>
      </c>
      <c r="BE44" s="14">
        <f>BD44*VLOOKUP('Données projet'!$B$11,Paramètres!$A$1:$I$89,3,0)*VLOOKUP('Données projet'!$B$11,Paramètres!$A$1:$I$89,5,0)</f>
        <v>111.62199999999999</v>
      </c>
      <c r="BF44" s="14">
        <f t="shared" si="37"/>
        <v>29.712814248796512</v>
      </c>
      <c r="BG44" s="22">
        <f t="shared" si="7"/>
        <v>246.15813481665387</v>
      </c>
      <c r="BH44" s="62">
        <f t="shared" si="8"/>
        <v>539.49146814998721</v>
      </c>
      <c r="BI44" s="62">
        <f ca="1">AVERAGE(OFFSET($BH$3,0,0,'Données projet'!$E$11+1,1))-AVERAGE(OFFSET($H$3,0,0,'Données projet'!$E$11+1,1))</f>
        <v>377.78532142539677</v>
      </c>
      <c r="BJ44" s="62">
        <f t="shared" si="38"/>
        <v>234.27695813539111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85.784400000000019</v>
      </c>
      <c r="CA44" s="14">
        <f t="shared" si="39"/>
        <v>23.545702623664209</v>
      </c>
      <c r="CB44" s="22">
        <f t="shared" si="10"/>
        <v>190.41659540288185</v>
      </c>
      <c r="CC44" s="62">
        <f t="shared" si="11"/>
        <v>483.74992873621517</v>
      </c>
      <c r="CD44" s="62">
        <f ca="1">AVERAGE(OFFSET($CC$3,0,0,'Données projet'!$E$12+1,1))-AVERAGE(OFFSET($H$3,0,0,'Données projet'!$E$12+1,1))</f>
        <v>360.32217613090035</v>
      </c>
      <c r="CE44" s="62">
        <f t="shared" si="40"/>
        <v>159.6134369231965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10.402930402930403</v>
      </c>
      <c r="CT44" s="13">
        <f>IF('Données projet'!$A$140&gt;35,CT43+CS44-DB43,IF(A44&lt;'Données projet'!$A$140,$CQ$205^A44,IF(A44='Données projet'!$A$140,'Données projet'!$B$140,CT43+CS44-DB43)))</f>
        <v>217.50915750915746</v>
      </c>
      <c r="CU44" s="18">
        <f>CT44*VLOOKUP('Données projet'!$B$13,Paramètres!$A$1:$I$89,3,0)*VLOOKUP('Données projet'!$B$13,Paramètres!$A$1:$I$89,5,0)</f>
        <v>101.79428571428569</v>
      </c>
      <c r="CV44" s="14">
        <f t="shared" si="41"/>
        <v>27.389017940319118</v>
      </c>
      <c r="CW44" s="22">
        <f t="shared" si="13"/>
        <v>224.99425386510336</v>
      </c>
      <c r="CX44" s="62">
        <f t="shared" si="14"/>
        <v>518.32758719843673</v>
      </c>
      <c r="CY44" s="62">
        <f ca="1">AVERAGE(OFFSET($CX$3,0,0,'Données projet'!$E$13+1,1))-AVERAGE(OFFSET($H$3,0,0,'Données projet'!$E$13+1,1))</f>
        <v>246.64907095367749</v>
      </c>
      <c r="CZ44" s="62">
        <f t="shared" si="42"/>
        <v>145.34368562171613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311.32100000000003</v>
      </c>
      <c r="L45" s="13">
        <f>VLOOKUP(A45,'Données projet'!$A$35:$I$55,9,0)</f>
        <v>13.198800000000006</v>
      </c>
      <c r="M45" s="13">
        <f t="array" ref="M45">INDEX(L:L,MIN(IF(ISNUMBER(L45:L241),ROW(L45:L241),"")))</f>
        <v>13.198800000000006</v>
      </c>
      <c r="N45" s="14">
        <f>IF('Données projet'!$A$36&gt;35,N44+M45-V44,IF(A45&lt;'Données projet'!$A$36,$K$205^A45,IF(A45='Données projet'!$A$36,'Données projet'!$B$36,N44+M45-V44)))</f>
        <v>311.32100000000003</v>
      </c>
      <c r="O45" s="14">
        <f>N45*VLOOKUP('Données projet'!$B$9,Paramètres!$A$1:$I$89,3,0)*VLOOKUP('Données projet'!$B$9,Paramètres!$A$1:$I$89,5,0)</f>
        <v>186.16995800000001</v>
      </c>
      <c r="P45" s="14">
        <f t="shared" si="33"/>
        <v>46.692183981977394</v>
      </c>
      <c r="Q45" s="22">
        <f t="shared" si="53"/>
        <v>405.56823061861064</v>
      </c>
      <c r="R45" s="62">
        <f t="shared" si="0"/>
        <v>698.9015639519439</v>
      </c>
      <c r="S45" s="62">
        <f ca="1">AVERAGE(OFFSET($R$3,0,0,'Données projet'!$E$9+1,1))-AVERAGE(OFFSET($H$3,0,0,'Données projet'!$E$9+1,1))</f>
        <v>207.03241199974599</v>
      </c>
      <c r="T45" s="62">
        <f t="shared" si="34"/>
        <v>314.188568589113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10.645200835565744</v>
      </c>
      <c r="AA45" s="23">
        <f>EXP(-LN(2)/25)*AA44+(1-EXP(-LN(2)/25))/(LN(2)/25)*Calculateur!V45*Calculateur!X45*VLOOKUP('Données projet'!$B$9,Paramètres!$A$1:$I$89,3,0)*0.475*44/12</f>
        <v>6.9901114209544293</v>
      </c>
      <c r="AB45" s="23">
        <f>EXP(-LN(2)/2)*AB44+(1-EXP(-LN(2)/2))/(LN(2)/2)*V45*Y45*VLOOKUP('Données projet'!$B$9,Paramètres!$A$1:$I$89,3,0)*0.475*44/12</f>
        <v>4.5694182764262653E-2</v>
      </c>
      <c r="AC45" s="24">
        <f t="shared" si="3"/>
        <v>17.681006439284435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3.8</v>
      </c>
      <c r="AI45" s="14">
        <f>IF('Données projet'!$A$62&gt;35,AI44+AH45-AQ44,IF(A45&lt;'Données projet'!$A$62,$AF$205^A45,IF(A45='Données projet'!$A$62,'Données projet'!$B$62,AI44+AH45-AQ44)))</f>
        <v>186.59999999999997</v>
      </c>
      <c r="AJ45" s="14">
        <f>AI45*VLOOKUP('Données projet'!$B$10,Paramètres!$A$1:$I$89,3,0)*VLOOKUP('Données projet'!$B$10,Paramètres!$A$1:$I$89,5,0)</f>
        <v>168.83567999999994</v>
      </c>
      <c r="AK45" s="14">
        <f t="shared" si="35"/>
        <v>42.829150426593394</v>
      </c>
      <c r="AL45" s="22">
        <f t="shared" si="4"/>
        <v>368.64957965965004</v>
      </c>
      <c r="AM45" s="62">
        <f t="shared" si="5"/>
        <v>661.9829129929833</v>
      </c>
      <c r="AN45" s="62">
        <f ca="1">AVERAGE(OFFSET($AM$3,0,0,'Données projet'!$E$10+1,1))-AVERAGE(OFFSET($H$3,0,0,'Données projet'!$E$10+1,1))</f>
        <v>245.25496369542458</v>
      </c>
      <c r="AO45" s="62">
        <f t="shared" si="36"/>
        <v>342.30266518164211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4.8717948717948731</v>
      </c>
      <c r="BD45" s="13">
        <f>IF('Données projet'!$A$88&gt;35,BD44+BC45-BL44,IF(A45&lt;'Données projet'!$A$88,$BA$205^A45,IF(A45='Données projet'!$A$88,'Données projet'!$B$88,BD44+BC45-BL44)))</f>
        <v>111.66666666666664</v>
      </c>
      <c r="BE45" s="14">
        <f>BD45*VLOOKUP('Données projet'!$B$11,Paramètres!$A$1:$I$89,3,0)*VLOOKUP('Données projet'!$B$11,Paramètres!$A$1:$I$89,5,0)</f>
        <v>116.71399999999997</v>
      </c>
      <c r="BF45" s="14">
        <f t="shared" si="37"/>
        <v>30.907359698069175</v>
      </c>
      <c r="BG45" s="22">
        <f t="shared" si="7"/>
        <v>257.10720147413707</v>
      </c>
      <c r="BH45" s="62">
        <f t="shared" si="8"/>
        <v>550.44053480747039</v>
      </c>
      <c r="BI45" s="62">
        <f ca="1">AVERAGE(OFFSET($BH$3,0,0,'Données projet'!$E$11+1,1))-AVERAGE(OFFSET($H$3,0,0,'Données projet'!$E$11+1,1))</f>
        <v>377.78532142539677</v>
      </c>
      <c r="BJ45" s="62">
        <f t="shared" si="38"/>
        <v>234.27695813539111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91.462800000000001</v>
      </c>
      <c r="CA45" s="14">
        <f t="shared" si="39"/>
        <v>24.917685409456144</v>
      </c>
      <c r="CB45" s="22">
        <f t="shared" si="10"/>
        <v>202.69601208813609</v>
      </c>
      <c r="CC45" s="62">
        <f t="shared" si="11"/>
        <v>496.02934542146943</v>
      </c>
      <c r="CD45" s="62">
        <f ca="1">AVERAGE(OFFSET($CC$3,0,0,'Données projet'!$E$12+1,1))-AVERAGE(OFFSET($H$3,0,0,'Données projet'!$E$12+1,1))</f>
        <v>360.32217613090035</v>
      </c>
      <c r="CE45" s="62">
        <f t="shared" si="40"/>
        <v>159.6134369231965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10.402930402930403</v>
      </c>
      <c r="CT45" s="13">
        <f>IF('Données projet'!$A$140&gt;35,CT44+CS45-DB44,IF(A45&lt;'Données projet'!$A$140,$CQ$205^A45,IF(A45='Données projet'!$A$140,'Données projet'!$B$140,CT44+CS45-DB44)))</f>
        <v>227.91208791208786</v>
      </c>
      <c r="CU45" s="18">
        <f>CT45*VLOOKUP('Données projet'!$B$13,Paramètres!$A$1:$I$89,3,0)*VLOOKUP('Données projet'!$B$13,Paramètres!$A$1:$I$89,5,0)</f>
        <v>106.66285714285712</v>
      </c>
      <c r="CV45" s="14">
        <f t="shared" si="41"/>
        <v>28.543323501294243</v>
      </c>
      <c r="CW45" s="22">
        <f t="shared" si="13"/>
        <v>235.48409795523028</v>
      </c>
      <c r="CX45" s="62">
        <f t="shared" si="14"/>
        <v>528.81743128856363</v>
      </c>
      <c r="CY45" s="62">
        <f ca="1">AVERAGE(OFFSET($CX$3,0,0,'Données projet'!$E$13+1,1))-AVERAGE(OFFSET($H$3,0,0,'Données projet'!$E$13+1,1))</f>
        <v>246.64907095367749</v>
      </c>
      <c r="CZ45" s="62">
        <f t="shared" si="42"/>
        <v>145.34368562171613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13.234499999999969</v>
      </c>
      <c r="N46" s="14">
        <f>IF('Données projet'!$A$36&gt;35,N45+M46-V45,IF(A46&lt;'Données projet'!$A$36,$K$205^A46,IF(A46='Données projet'!$A$36,'Données projet'!$B$36,N45+M46-V45)))</f>
        <v>324.55549999999999</v>
      </c>
      <c r="O46" s="14">
        <f>N46*VLOOKUP('Données projet'!$B$9,Paramètres!$A$1:$I$89,3,0)*VLOOKUP('Données projet'!$B$9,Paramètres!$A$1:$I$89,5,0)</f>
        <v>194.08418900000004</v>
      </c>
      <c r="P46" s="14">
        <f t="shared" si="33"/>
        <v>48.441788341086252</v>
      </c>
      <c r="Q46" s="22">
        <f t="shared" si="53"/>
        <v>422.39941053572528</v>
      </c>
      <c r="R46" s="62">
        <f t="shared" si="0"/>
        <v>715.7327438690586</v>
      </c>
      <c r="S46" s="62">
        <f ca="1">AVERAGE(OFFSET($R$3,0,0,'Données projet'!$E$9+1,1))-AVERAGE(OFFSET($H$3,0,0,'Données projet'!$E$9+1,1))</f>
        <v>207.03241199974599</v>
      </c>
      <c r="T46" s="62">
        <f t="shared" si="34"/>
        <v>314.188568589113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10.436454940111686</v>
      </c>
      <c r="AA46" s="23">
        <f>EXP(-LN(2)/25)*AA45+(1-EXP(-LN(2)/25))/(LN(2)/25)*Calculateur!V46*Calculateur!X46*VLOOKUP('Données projet'!$B$9,Paramètres!$A$1:$I$89,3,0)*0.475*44/12</f>
        <v>6.7989664565544468</v>
      </c>
      <c r="AB46" s="23">
        <f>EXP(-LN(2)/2)*AB45+(1-EXP(-LN(2)/2))/(LN(2)/2)*V46*Y46*VLOOKUP('Données projet'!$B$9,Paramètres!$A$1:$I$89,3,0)*0.475*44/12</f>
        <v>3.2310666493387583E-2</v>
      </c>
      <c r="AC46" s="24">
        <f t="shared" si="3"/>
        <v>17.267732063159521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3.8</v>
      </c>
      <c r="AI46" s="14">
        <f>IF('Données projet'!$A$62&gt;35,AI45+AH46-AQ45,IF(A46&lt;'Données projet'!$A$62,$AF$205^A46,IF(A46='Données projet'!$A$62,'Données projet'!$B$62,AI45+AH46-AQ45)))</f>
        <v>190.39999999999998</v>
      </c>
      <c r="AJ46" s="14">
        <f>AI46*VLOOKUP('Données projet'!$B$10,Paramètres!$A$1:$I$89,3,0)*VLOOKUP('Données projet'!$B$10,Paramètres!$A$1:$I$89,5,0)</f>
        <v>172.27391999999998</v>
      </c>
      <c r="AK46" s="14">
        <f t="shared" si="35"/>
        <v>43.598911513699605</v>
      </c>
      <c r="AL46" s="22">
        <f t="shared" si="4"/>
        <v>375.97851488636002</v>
      </c>
      <c r="AM46" s="62">
        <f t="shared" si="5"/>
        <v>669.31184821969327</v>
      </c>
      <c r="AN46" s="62">
        <f ca="1">AVERAGE(OFFSET($AM$3,0,0,'Données projet'!$E$10+1,1))-AVERAGE(OFFSET($H$3,0,0,'Données projet'!$E$10+1,1))</f>
        <v>245.25496369542458</v>
      </c>
      <c r="AO46" s="62">
        <f t="shared" si="36"/>
        <v>342.30266518164211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4.8717948717948731</v>
      </c>
      <c r="BD46" s="13">
        <f>IF('Données projet'!$A$88&gt;35,BD45+BC46-BL45,IF(A46&lt;'Données projet'!$A$88,$BA$205^A46,IF(A46='Données projet'!$A$88,'Données projet'!$B$88,BD45+BC46-BL45)))</f>
        <v>116.53846153846152</v>
      </c>
      <c r="BE46" s="14">
        <f>BD46*VLOOKUP('Données projet'!$B$11,Paramètres!$A$1:$I$89,3,0)*VLOOKUP('Données projet'!$B$11,Paramètres!$A$1:$I$89,5,0)</f>
        <v>121.80599999999998</v>
      </c>
      <c r="BF46" s="14">
        <f t="shared" si="37"/>
        <v>32.09585223561038</v>
      </c>
      <c r="BG46" s="22">
        <f t="shared" si="7"/>
        <v>268.04572597702139</v>
      </c>
      <c r="BH46" s="62">
        <f t="shared" si="8"/>
        <v>561.37905931035471</v>
      </c>
      <c r="BI46" s="62">
        <f ca="1">AVERAGE(OFFSET($BH$3,0,0,'Données projet'!$E$11+1,1))-AVERAGE(OFFSET($H$3,0,0,'Données projet'!$E$11+1,1))</f>
        <v>377.78532142539677</v>
      </c>
      <c r="BJ46" s="62">
        <f t="shared" si="38"/>
        <v>234.27695813539111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97.141200000000012</v>
      </c>
      <c r="CA46" s="14">
        <f t="shared" si="39"/>
        <v>26.279782450761708</v>
      </c>
      <c r="CB46" s="22">
        <f t="shared" si="10"/>
        <v>214.95821110174333</v>
      </c>
      <c r="CC46" s="62">
        <f t="shared" si="11"/>
        <v>508.29154443507662</v>
      </c>
      <c r="CD46" s="62">
        <f ca="1">AVERAGE(OFFSET($CC$3,0,0,'Données projet'!$E$12+1,1))-AVERAGE(OFFSET($H$3,0,0,'Données projet'!$E$12+1,1))</f>
        <v>360.32217613090035</v>
      </c>
      <c r="CE46" s="62">
        <f t="shared" si="40"/>
        <v>159.6134369231965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10.402930402930403</v>
      </c>
      <c r="CT46" s="13">
        <f>IF('Données projet'!$A$140&gt;35,CT45+CS46-DB45,IF(A46&lt;'Données projet'!$A$140,$CQ$205^A46,IF(A46='Données projet'!$A$140,'Données projet'!$B$140,CT45+CS46-DB45)))</f>
        <v>238.31501831501825</v>
      </c>
      <c r="CU46" s="18">
        <f>CT46*VLOOKUP('Données projet'!$B$13,Paramètres!$A$1:$I$89,3,0)*VLOOKUP('Données projet'!$B$13,Paramètres!$A$1:$I$89,5,0)</f>
        <v>111.53142857142855</v>
      </c>
      <c r="CV46" s="14">
        <f t="shared" si="41"/>
        <v>29.691510235320177</v>
      </c>
      <c r="CW46" s="22">
        <f t="shared" si="13"/>
        <v>245.96328508842066</v>
      </c>
      <c r="CX46" s="62">
        <f t="shared" si="14"/>
        <v>539.29661842175392</v>
      </c>
      <c r="CY46" s="62">
        <f ca="1">AVERAGE(OFFSET($CX$3,0,0,'Données projet'!$E$13+1,1))-AVERAGE(OFFSET($H$3,0,0,'Données projet'!$E$13+1,1))</f>
        <v>246.64907095367749</v>
      </c>
      <c r="CZ46" s="62">
        <f t="shared" si="42"/>
        <v>145.34368562171613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337.78999999999996</v>
      </c>
      <c r="L47" s="13">
        <f>VLOOKUP(A47,'Données projet'!$A$35:$I$55,9,0)</f>
        <v>13.234499999999969</v>
      </c>
      <c r="M47" s="13">
        <f t="array" ref="M47">INDEX(L:L,MIN(IF(ISNUMBER(L47:L243),ROW(L47:L243),"")))</f>
        <v>13.234499999999969</v>
      </c>
      <c r="N47" s="14">
        <f>IF('Données projet'!$A$36&gt;35,N46+M47-V46,IF(A47&lt;'Données projet'!$A$36,$K$205^A47,IF(A47='Données projet'!$A$36,'Données projet'!$B$36,N46+M47-V46)))</f>
        <v>337.78999999999996</v>
      </c>
      <c r="O47" s="14">
        <f>N47*VLOOKUP('Données projet'!$B$9,Paramètres!$A$1:$I$89,3,0)*VLOOKUP('Données projet'!$B$9,Paramètres!$A$1:$I$89,5,0)</f>
        <v>201.99842000000001</v>
      </c>
      <c r="P47" s="14">
        <f t="shared" si="33"/>
        <v>50.183105491997878</v>
      </c>
      <c r="Q47" s="22">
        <f t="shared" si="53"/>
        <v>439.21615689856299</v>
      </c>
      <c r="R47" s="62">
        <f t="shared" si="0"/>
        <v>732.54949023189624</v>
      </c>
      <c r="S47" s="62">
        <f ca="1">AVERAGE(OFFSET($R$3,0,0,'Données projet'!$E$9+1,1))-AVERAGE(OFFSET($H$3,0,0,'Données projet'!$E$9+1,1))</f>
        <v>207.03241199974599</v>
      </c>
      <c r="T47" s="62">
        <f t="shared" si="34"/>
        <v>314.188568589113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337.78999999999996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10.231802424345057</v>
      </c>
      <c r="AA47" s="23">
        <f>EXP(-LN(2)/25)*AA46+(1-EXP(-LN(2)/25))/(LN(2)/25)*Calculateur!V47*Calculateur!X47*VLOOKUP('Données projet'!$B$9,Paramètres!$A$1:$I$89,3,0)*0.475*44/12</f>
        <v>6.6130483612578583</v>
      </c>
      <c r="AB47" s="23">
        <f>EXP(-LN(2)/2)*AB46+(1-EXP(-LN(2)/2))/(LN(2)/2)*V47*Y47*VLOOKUP('Données projet'!$B$9,Paramètres!$A$1:$I$89,3,0)*0.475*44/12</f>
        <v>2.2847091382131327E-2</v>
      </c>
      <c r="AC47" s="24">
        <f t="shared" si="3"/>
        <v>16.867697876985048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3.8</v>
      </c>
      <c r="AI47" s="14">
        <f>IF('Données projet'!$A$62&gt;35,AI46+AH47-AQ46,IF(A47&lt;'Données projet'!$A$62,$AF$205^A47,IF(A47='Données projet'!$A$62,'Données projet'!$B$62,AI46+AH47-AQ46)))</f>
        <v>194.2</v>
      </c>
      <c r="AJ47" s="14">
        <f>AI47*VLOOKUP('Données projet'!$B$10,Paramètres!$A$1:$I$89,3,0)*VLOOKUP('Données projet'!$B$10,Paramètres!$A$1:$I$89,5,0)</f>
        <v>175.71215999999998</v>
      </c>
      <c r="AK47" s="14">
        <f t="shared" si="35"/>
        <v>44.366886311884528</v>
      </c>
      <c r="AL47" s="22">
        <f t="shared" si="4"/>
        <v>383.30433899319883</v>
      </c>
      <c r="AM47" s="62">
        <f t="shared" si="5"/>
        <v>676.63767232653208</v>
      </c>
      <c r="AN47" s="62">
        <f ca="1">AVERAGE(OFFSET($AM$3,0,0,'Données projet'!$E$10+1,1))-AVERAGE(OFFSET($H$3,0,0,'Données projet'!$E$10+1,1))</f>
        <v>245.25496369542458</v>
      </c>
      <c r="AO47" s="62">
        <f t="shared" si="36"/>
        <v>342.30266518164211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4.8717948717948731</v>
      </c>
      <c r="BD47" s="13">
        <f>IF('Données projet'!$A$88&gt;35,BD46+BC47-BL46,IF(A47&lt;'Données projet'!$A$88,$BA$205^A47,IF(A47='Données projet'!$A$88,'Données projet'!$B$88,BD46+BC47-BL46)))</f>
        <v>121.41025641025639</v>
      </c>
      <c r="BE47" s="14">
        <f>BD47*VLOOKUP('Données projet'!$B$11,Paramètres!$A$1:$I$89,3,0)*VLOOKUP('Données projet'!$B$11,Paramètres!$A$1:$I$89,5,0)</f>
        <v>126.898</v>
      </c>
      <c r="BF47" s="14">
        <f t="shared" si="37"/>
        <v>33.27857383327229</v>
      </c>
      <c r="BG47" s="22">
        <f t="shared" si="7"/>
        <v>278.97419942628261</v>
      </c>
      <c r="BH47" s="62">
        <f t="shared" si="8"/>
        <v>572.30753275961592</v>
      </c>
      <c r="BI47" s="62">
        <f ca="1">AVERAGE(OFFSET($BH$3,0,0,'Données projet'!$E$11+1,1))-AVERAGE(OFFSET($H$3,0,0,'Données projet'!$E$11+1,1))</f>
        <v>377.78532142539677</v>
      </c>
      <c r="BJ47" s="62">
        <f t="shared" si="38"/>
        <v>234.27695813539111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102.81959999999999</v>
      </c>
      <c r="CA47" s="14">
        <f t="shared" si="39"/>
        <v>27.632637448562328</v>
      </c>
      <c r="CB47" s="22">
        <f t="shared" si="10"/>
        <v>227.20431355624603</v>
      </c>
      <c r="CC47" s="62">
        <f t="shared" si="11"/>
        <v>520.53764688957938</v>
      </c>
      <c r="CD47" s="62">
        <f ca="1">AVERAGE(OFFSET($CC$3,0,0,'Données projet'!$E$12+1,1))-AVERAGE(OFFSET($H$3,0,0,'Données projet'!$E$12+1,1))</f>
        <v>360.32217613090035</v>
      </c>
      <c r="CE47" s="62">
        <f t="shared" si="40"/>
        <v>159.6134369231965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10.402930402930403</v>
      </c>
      <c r="CT47" s="13">
        <f>IF('Données projet'!$A$140&gt;35,CT46+CS47-DB46,IF(A47&lt;'Données projet'!$A$140,$CQ$205^A47,IF(A47='Données projet'!$A$140,'Données projet'!$B$140,CT46+CS47-DB46)))</f>
        <v>248.71794871794864</v>
      </c>
      <c r="CU47" s="18">
        <f>CT47*VLOOKUP('Données projet'!$B$13,Paramètres!$A$1:$I$89,3,0)*VLOOKUP('Données projet'!$B$13,Paramètres!$A$1:$I$89,5,0)</f>
        <v>116.39999999999996</v>
      </c>
      <c r="CV47" s="14">
        <f t="shared" si="41"/>
        <v>30.833875768540434</v>
      </c>
      <c r="CW47" s="22">
        <f t="shared" si="13"/>
        <v>256.43233363020784</v>
      </c>
      <c r="CX47" s="62">
        <f t="shared" si="14"/>
        <v>549.76566696354121</v>
      </c>
      <c r="CY47" s="62">
        <f ca="1">AVERAGE(OFFSET($CX$3,0,0,'Données projet'!$E$13+1,1))-AVERAGE(OFFSET($H$3,0,0,'Données projet'!$E$13+1,1))</f>
        <v>246.64907095367749</v>
      </c>
      <c r="CZ47" s="62">
        <f t="shared" si="42"/>
        <v>145.34368562171613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207.03241199974599</v>
      </c>
      <c r="T48" s="62">
        <f t="shared" si="34"/>
        <v>314.188568589113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10.031163019586904</v>
      </c>
      <c r="AA48" s="23">
        <f>EXP(-LN(2)/25)*AA47+(1-EXP(-LN(2)/25))/(LN(2)/25)*Calculateur!V48*Calculateur!X48*VLOOKUP('Données projet'!$B$9,Paramètres!$A$1:$I$89,3,0)*0.475*44/12</f>
        <v>6.4322142060541632</v>
      </c>
      <c r="AB48" s="23">
        <f>EXP(-LN(2)/2)*AB47+(1-EXP(-LN(2)/2))/(LN(2)/2)*V48*Y48*VLOOKUP('Données projet'!$B$9,Paramètres!$A$1:$I$89,3,0)*0.475*44/12</f>
        <v>1.6155333246693791E-2</v>
      </c>
      <c r="AC48" s="24">
        <f t="shared" si="3"/>
        <v>16.479532558887762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198</v>
      </c>
      <c r="AG48" s="13">
        <f>VLOOKUP(A48,'Données projet'!$A$61:$I$81,9,0)</f>
        <v>3.8</v>
      </c>
      <c r="AH48" s="13">
        <f t="array" ref="AH48">INDEX(AG:AG,MIN(IF(ISNUMBER(AG48:AG244),ROW(AG48:AG244),"")))</f>
        <v>3.8</v>
      </c>
      <c r="AI48" s="14">
        <f>IF('Données projet'!$A$62&gt;35,AI47+AH48-AQ47,IF(A48&lt;'Données projet'!$A$62,$AF$205^A48,IF(A48='Données projet'!$A$62,'Données projet'!$B$62,AI47+AH48-AQ47)))</f>
        <v>198</v>
      </c>
      <c r="AJ48" s="14">
        <f>AI48*VLOOKUP('Données projet'!$B$10,Paramètres!$A$1:$I$89,3,0)*VLOOKUP('Données projet'!$B$10,Paramètres!$A$1:$I$89,5,0)</f>
        <v>179.15039999999999</v>
      </c>
      <c r="AK48" s="14">
        <f t="shared" si="35"/>
        <v>45.133113803437304</v>
      </c>
      <c r="AL48" s="22">
        <f t="shared" si="4"/>
        <v>390.62711987431993</v>
      </c>
      <c r="AM48" s="62">
        <f t="shared" si="5"/>
        <v>683.96045320765325</v>
      </c>
      <c r="AN48" s="62">
        <f ca="1">AVERAGE(OFFSET($AM$3,0,0,'Données projet'!$E$10+1,1))-AVERAGE(OFFSET($H$3,0,0,'Données projet'!$E$10+1,1))</f>
        <v>245.25496369542458</v>
      </c>
      <c r="AO48" s="62">
        <f t="shared" si="36"/>
        <v>342.30266518164211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198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126.28205128205128</v>
      </c>
      <c r="BB48" s="13">
        <f>VLOOKUP(A48,'Données projet'!$A$87:$I$107,9,0)</f>
        <v>4.8717948717948731</v>
      </c>
      <c r="BC48" s="13">
        <f t="array" ref="BC48">INDEX(BB:BB,MIN(IF(ISNUMBER(BB48:BB244),ROW(BB48:BB244),"")))</f>
        <v>4.8717948717948731</v>
      </c>
      <c r="BD48" s="13">
        <f>IF('Données projet'!$A$88&gt;35,BD47+BC48-BL47,IF(A48&lt;'Données projet'!$A$88,$BA$205^A48,IF(A48='Données projet'!$A$88,'Données projet'!$B$88,BD47+BC48-BL47)))</f>
        <v>126.28205128205127</v>
      </c>
      <c r="BE48" s="14">
        <f>BD48*VLOOKUP('Données projet'!$B$11,Paramètres!$A$1:$I$89,3,0)*VLOOKUP('Données projet'!$B$11,Paramètres!$A$1:$I$89,5,0)</f>
        <v>131.98999999999998</v>
      </c>
      <c r="BF48" s="14">
        <f t="shared" si="37"/>
        <v>34.455782552862125</v>
      </c>
      <c r="BG48" s="22">
        <f t="shared" si="7"/>
        <v>289.89307127956818</v>
      </c>
      <c r="BH48" s="62">
        <f t="shared" si="8"/>
        <v>583.22640461290143</v>
      </c>
      <c r="BI48" s="62">
        <f ca="1">AVERAGE(OFFSET($BH$3,0,0,'Données projet'!$E$11+1,1))-AVERAGE(OFFSET($H$3,0,0,'Données projet'!$E$11+1,1))</f>
        <v>377.78532142539677</v>
      </c>
      <c r="BJ48" s="62">
        <f t="shared" si="38"/>
        <v>234.27695813539111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108.498</v>
      </c>
      <c r="CA48" s="14">
        <f t="shared" si="39"/>
        <v>28.976818989145283</v>
      </c>
      <c r="CB48" s="22">
        <f t="shared" si="10"/>
        <v>239.43530973942802</v>
      </c>
      <c r="CC48" s="62">
        <f t="shared" si="11"/>
        <v>532.76864307276128</v>
      </c>
      <c r="CD48" s="62">
        <f ca="1">AVERAGE(OFFSET($CC$3,0,0,'Données projet'!$E$12+1,1))-AVERAGE(OFFSET($H$3,0,0,'Données projet'!$E$12+1,1))</f>
        <v>360.32217613090035</v>
      </c>
      <c r="CE48" s="62">
        <f t="shared" si="40"/>
        <v>159.6134369231965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10.402930402930403</v>
      </c>
      <c r="CT48" s="13">
        <f>IF('Données projet'!$A$140&gt;35,CT47+CS48-DB47,IF(A48&lt;'Données projet'!$A$140,$CQ$205^A48,IF(A48='Données projet'!$A$140,'Données projet'!$B$140,CT47+CS48-DB47)))</f>
        <v>259.12087912087907</v>
      </c>
      <c r="CU48" s="18">
        <f>CT48*VLOOKUP('Données projet'!$B$13,Paramètres!$A$1:$I$89,3,0)*VLOOKUP('Données projet'!$B$13,Paramètres!$A$1:$I$89,5,0)</f>
        <v>121.26857142857141</v>
      </c>
      <c r="CV48" s="14">
        <f t="shared" si="41"/>
        <v>31.970691421429557</v>
      </c>
      <c r="CW48" s="22">
        <f t="shared" si="13"/>
        <v>266.89171613041833</v>
      </c>
      <c r="CX48" s="62">
        <f t="shared" si="14"/>
        <v>560.2250494637517</v>
      </c>
      <c r="CY48" s="62">
        <f ca="1">AVERAGE(OFFSET($CX$3,0,0,'Données projet'!$E$13+1,1))-AVERAGE(OFFSET($H$3,0,0,'Données projet'!$E$13+1,1))</f>
        <v>246.64907095367749</v>
      </c>
      <c r="CZ48" s="62">
        <f t="shared" si="42"/>
        <v>145.34368562171613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207.03241199974599</v>
      </c>
      <c r="T49" s="62">
        <f t="shared" si="34"/>
        <v>314.188568589113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9.8344580311781051</v>
      </c>
      <c r="AA49" s="23">
        <f>EXP(-LN(2)/25)*AA48+(1-EXP(-LN(2)/25))/(LN(2)/25)*Calculateur!V49*Calculateur!X49*VLOOKUP('Données projet'!$B$9,Paramètres!$A$1:$I$89,3,0)*0.475*44/12</f>
        <v>6.2563249703341679</v>
      </c>
      <c r="AB49" s="23">
        <f>EXP(-LN(2)/2)*AB48+(1-EXP(-LN(2)/2))/(LN(2)/2)*V49*Y49*VLOOKUP('Données projet'!$B$9,Paramètres!$A$1:$I$89,3,0)*0.475*44/12</f>
        <v>1.1423545691065663E-2</v>
      </c>
      <c r="AC49" s="24">
        <f t="shared" si="3"/>
        <v>16.102206547203338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245.25496369542458</v>
      </c>
      <c r="AO49" s="62">
        <f t="shared" si="36"/>
        <v>342.30266518164211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4.6153846153846159</v>
      </c>
      <c r="BD49" s="13">
        <f>IF('Données projet'!$A$88&gt;35,BD48+BC49-BL48,IF(A49&lt;'Données projet'!$A$88,$BA$205^A49,IF(A49='Données projet'!$A$88,'Données projet'!$B$88,BD48+BC49-BL48)))</f>
        <v>130.89743589743588</v>
      </c>
      <c r="BE49" s="14">
        <f>BD49*VLOOKUP('Données projet'!$B$11,Paramètres!$A$1:$I$89,3,0)*VLOOKUP('Données projet'!$B$11,Paramètres!$A$1:$I$89,5,0)</f>
        <v>136.81399999999999</v>
      </c>
      <c r="BF49" s="14">
        <f t="shared" si="37"/>
        <v>35.566162662783157</v>
      </c>
      <c r="BG49" s="22">
        <f t="shared" si="7"/>
        <v>300.2287833043473</v>
      </c>
      <c r="BH49" s="62">
        <f t="shared" si="8"/>
        <v>593.56211663768067</v>
      </c>
      <c r="BI49" s="62">
        <f ca="1">AVERAGE(OFFSET($BH$3,0,0,'Données projet'!$E$11+1,1))-AVERAGE(OFFSET($H$3,0,0,'Données projet'!$E$11+1,1))</f>
        <v>377.78532142539677</v>
      </c>
      <c r="BJ49" s="62">
        <f t="shared" si="38"/>
        <v>234.27695813539111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112.59999999999998</v>
      </c>
      <c r="BZ49" s="14">
        <f>BY49*VLOOKUP('Données projet'!$B$12,Paramètres!$A$1:$I$89,3,0)*VLOOKUP('Données projet'!$B$12,Paramètres!$A$1:$I$89,5,0)</f>
        <v>114.17639999999997</v>
      </c>
      <c r="CA49" s="14">
        <f t="shared" si="39"/>
        <v>30.312832781759997</v>
      </c>
      <c r="CB49" s="22">
        <f t="shared" si="10"/>
        <v>251.65208042823193</v>
      </c>
      <c r="CC49" s="62">
        <f t="shared" si="11"/>
        <v>544.98541376156527</v>
      </c>
      <c r="CD49" s="62">
        <f ca="1">AVERAGE(OFFSET($CC$3,0,0,'Données projet'!$E$12+1,1))-AVERAGE(OFFSET($H$3,0,0,'Données projet'!$E$12+1,1))</f>
        <v>360.32217613090035</v>
      </c>
      <c r="CE49" s="62">
        <f t="shared" si="40"/>
        <v>159.6134369231965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10.402930402930403</v>
      </c>
      <c r="CT49" s="13">
        <f>IF('Données projet'!$A$140&gt;35,CT48+CS49-DB48,IF(A49&lt;'Données projet'!$A$140,$CQ$205^A49,IF(A49='Données projet'!$A$140,'Données projet'!$B$140,CT48+CS49-DB48)))</f>
        <v>269.52380952380946</v>
      </c>
      <c r="CU49" s="18">
        <f>CT49*VLOOKUP('Données projet'!$B$13,Paramètres!$A$1:$I$89,3,0)*VLOOKUP('Données projet'!$B$13,Paramètres!$A$1:$I$89,5,0)</f>
        <v>126.13714285714282</v>
      </c>
      <c r="CV49" s="14">
        <f t="shared" si="41"/>
        <v>33.102205495977692</v>
      </c>
      <c r="CW49" s="22">
        <f t="shared" si="13"/>
        <v>277.34186504835151</v>
      </c>
      <c r="CX49" s="62">
        <f t="shared" si="14"/>
        <v>570.67519838168482</v>
      </c>
      <c r="CY49" s="62">
        <f ca="1">AVERAGE(OFFSET($CX$3,0,0,'Données projet'!$E$13+1,1))-AVERAGE(OFFSET($H$3,0,0,'Données projet'!$E$13+1,1))</f>
        <v>246.64907095367749</v>
      </c>
      <c r="CZ49" s="62">
        <f t="shared" si="42"/>
        <v>145.34368562171613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207.03241199974599</v>
      </c>
      <c r="T50" s="62">
        <f t="shared" si="34"/>
        <v>314.188568589113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9.6416103076138064</v>
      </c>
      <c r="AA50" s="23">
        <f>EXP(-LN(2)/25)*AA49+(1-EXP(-LN(2)/25))/(LN(2)/25)*Calculateur!V50*Calculateur!X50*VLOOKUP('Données projet'!$B$9,Paramètres!$A$1:$I$89,3,0)*0.475*44/12</f>
        <v>6.0852454350145493</v>
      </c>
      <c r="AB50" s="23">
        <f>EXP(-LN(2)/2)*AB49+(1-EXP(-LN(2)/2))/(LN(2)/2)*V50*Y50*VLOOKUP('Données projet'!$B$9,Paramètres!$A$1:$I$89,3,0)*0.475*44/12</f>
        <v>8.0776666233468956E-3</v>
      </c>
      <c r="AC50" s="24">
        <f t="shared" si="3"/>
        <v>15.734933409251703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245.25496369542458</v>
      </c>
      <c r="AO50" s="62">
        <f t="shared" si="36"/>
        <v>342.30266518164211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4.6153846153846159</v>
      </c>
      <c r="BD50" s="13">
        <f>IF('Données projet'!$A$88&gt;35,BD49+BC50-BL49,IF(A50&lt;'Données projet'!$A$88,$BA$205^A50,IF(A50='Données projet'!$A$88,'Données projet'!$B$88,BD49+BC50-BL49)))</f>
        <v>135.5128205128205</v>
      </c>
      <c r="BE50" s="14">
        <f>BD50*VLOOKUP('Données projet'!$B$11,Paramètres!$A$1:$I$89,3,0)*VLOOKUP('Données projet'!$B$11,Paramètres!$A$1:$I$89,5,0)</f>
        <v>141.63799999999998</v>
      </c>
      <c r="BF50" s="14">
        <f t="shared" si="37"/>
        <v>36.671993881302122</v>
      </c>
      <c r="BG50" s="22">
        <f t="shared" si="7"/>
        <v>310.55657267660109</v>
      </c>
      <c r="BH50" s="62">
        <f t="shared" si="8"/>
        <v>603.88990600993441</v>
      </c>
      <c r="BI50" s="62">
        <f ca="1">AVERAGE(OFFSET($BH$3,0,0,'Données projet'!$E$11+1,1))-AVERAGE(OFFSET($H$3,0,0,'Données projet'!$E$11+1,1))</f>
        <v>377.78532142539677</v>
      </c>
      <c r="BJ50" s="62">
        <f t="shared" si="38"/>
        <v>234.27695813539111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118.19999999999997</v>
      </c>
      <c r="BZ50" s="14">
        <f>BY50*VLOOKUP('Données projet'!$B$12,Paramètres!$A$1:$I$89,3,0)*VLOOKUP('Données projet'!$B$12,Paramètres!$A$1:$I$89,5,0)</f>
        <v>119.85479999999998</v>
      </c>
      <c r="CA50" s="14">
        <f t="shared" si="39"/>
        <v>31.641131392625841</v>
      </c>
      <c r="CB50" s="22">
        <f t="shared" si="10"/>
        <v>263.85541384215662</v>
      </c>
      <c r="CC50" s="62">
        <f t="shared" si="11"/>
        <v>557.18874717548988</v>
      </c>
      <c r="CD50" s="62">
        <f ca="1">AVERAGE(OFFSET($CC$3,0,0,'Données projet'!$E$12+1,1))-AVERAGE(OFFSET($H$3,0,0,'Données projet'!$E$12+1,1))</f>
        <v>360.32217613090035</v>
      </c>
      <c r="CE50" s="62">
        <f t="shared" si="40"/>
        <v>159.6134369231965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10.402930402930403</v>
      </c>
      <c r="CT50" s="13">
        <f>IF('Données projet'!$A$140&gt;35,CT49+CS50-DB49,IF(A50&lt;'Données projet'!$A$140,$CQ$205^A50,IF(A50='Données projet'!$A$140,'Données projet'!$B$140,CT49+CS50-DB49)))</f>
        <v>279.92673992673986</v>
      </c>
      <c r="CU50" s="18">
        <f>CT50*VLOOKUP('Données projet'!$B$13,Paramètres!$A$1:$I$89,3,0)*VLOOKUP('Données projet'!$B$13,Paramètres!$A$1:$I$89,5,0)</f>
        <v>131.00571428571425</v>
      </c>
      <c r="CV50" s="14">
        <f t="shared" si="41"/>
        <v>34.228646041091935</v>
      </c>
      <c r="CW50" s="22">
        <f t="shared" si="13"/>
        <v>287.78317756918744</v>
      </c>
      <c r="CX50" s="62">
        <f t="shared" si="14"/>
        <v>581.11651090252076</v>
      </c>
      <c r="CY50" s="62">
        <f ca="1">AVERAGE(OFFSET($CX$3,0,0,'Données projet'!$E$13+1,1))-AVERAGE(OFFSET($H$3,0,0,'Données projet'!$E$13+1,1))</f>
        <v>246.64907095367749</v>
      </c>
      <c r="CZ50" s="62">
        <f t="shared" si="42"/>
        <v>145.34368562171613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207.03241199974599</v>
      </c>
      <c r="T51" s="62">
        <f t="shared" si="34"/>
        <v>314.188568589113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9.4525442102831061</v>
      </c>
      <c r="AA51" s="23">
        <f>EXP(-LN(2)/25)*AA50+(1-EXP(-LN(2)/25))/(LN(2)/25)*Calculateur!V51*Calculateur!X51*VLOOKUP('Données projet'!$B$9,Paramètres!$A$1:$I$89,3,0)*0.475*44/12</f>
        <v>5.918844078584927</v>
      </c>
      <c r="AB51" s="23">
        <f>EXP(-LN(2)/2)*AB50+(1-EXP(-LN(2)/2))/(LN(2)/2)*V51*Y51*VLOOKUP('Données projet'!$B$9,Paramètres!$A$1:$I$89,3,0)*0.475*44/12</f>
        <v>5.7117728455328316E-3</v>
      </c>
      <c r="AC51" s="24">
        <f t="shared" si="3"/>
        <v>15.377100061713566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245.25496369542458</v>
      </c>
      <c r="AO51" s="62">
        <f t="shared" si="36"/>
        <v>342.30266518164211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4.6153846153846159</v>
      </c>
      <c r="BD51" s="13">
        <f>IF('Données projet'!$A$88&gt;35,BD50+BC51-BL50,IF(A51&lt;'Données projet'!$A$88,$BA$205^A51,IF(A51='Données projet'!$A$88,'Données projet'!$B$88,BD50+BC51-BL50)))</f>
        <v>140.12820512820511</v>
      </c>
      <c r="BE51" s="14">
        <f>BD51*VLOOKUP('Données projet'!$B$11,Paramètres!$A$1:$I$89,3,0)*VLOOKUP('Données projet'!$B$11,Paramètres!$A$1:$I$89,5,0)</f>
        <v>146.46199999999999</v>
      </c>
      <c r="BF51" s="14">
        <f t="shared" si="37"/>
        <v>37.773448896739666</v>
      </c>
      <c r="BG51" s="22">
        <f t="shared" si="7"/>
        <v>320.8767401618216</v>
      </c>
      <c r="BH51" s="62">
        <f t="shared" si="8"/>
        <v>614.21007349515492</v>
      </c>
      <c r="BI51" s="62">
        <f ca="1">AVERAGE(OFFSET($BH$3,0,0,'Données projet'!$E$11+1,1))-AVERAGE(OFFSET($H$3,0,0,'Données projet'!$E$11+1,1))</f>
        <v>377.78532142539677</v>
      </c>
      <c r="BJ51" s="62">
        <f t="shared" si="38"/>
        <v>234.27695813539111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123.79999999999997</v>
      </c>
      <c r="BZ51" s="14">
        <f>BY51*VLOOKUP('Données projet'!$B$12,Paramètres!$A$1:$I$89,3,0)*VLOOKUP('Données projet'!$B$12,Paramètres!$A$1:$I$89,5,0)</f>
        <v>125.53319999999998</v>
      </c>
      <c r="CA51" s="14">
        <f t="shared" si="39"/>
        <v>32.962122082003134</v>
      </c>
      <c r="CB51" s="22">
        <f t="shared" si="10"/>
        <v>276.046019292822</v>
      </c>
      <c r="CC51" s="62">
        <f t="shared" si="11"/>
        <v>569.37935262615531</v>
      </c>
      <c r="CD51" s="62">
        <f ca="1">AVERAGE(OFFSET($CC$3,0,0,'Données projet'!$E$12+1,1))-AVERAGE(OFFSET($H$3,0,0,'Données projet'!$E$12+1,1))</f>
        <v>360.32217613090035</v>
      </c>
      <c r="CE51" s="62">
        <f t="shared" si="40"/>
        <v>159.6134369231965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10.402930402930403</v>
      </c>
      <c r="CT51" s="13">
        <f>IF('Données projet'!$A$140&gt;35,CT50+CS51-DB50,IF(A51&lt;'Données projet'!$A$140,$CQ$205^A51,IF(A51='Données projet'!$A$140,'Données projet'!$B$140,CT50+CS51-DB50)))</f>
        <v>290.32967032967025</v>
      </c>
      <c r="CU51" s="18">
        <f>CT51*VLOOKUP('Données projet'!$B$13,Paramètres!$A$1:$I$89,3,0)*VLOOKUP('Données projet'!$B$13,Paramètres!$A$1:$I$89,5,0)</f>
        <v>135.87428571428569</v>
      </c>
      <c r="CV51" s="14">
        <f t="shared" si="41"/>
        <v>35.350223195357941</v>
      </c>
      <c r="CW51" s="22">
        <f t="shared" si="13"/>
        <v>298.21601968429599</v>
      </c>
      <c r="CX51" s="62">
        <f t="shared" si="14"/>
        <v>591.5493530176293</v>
      </c>
      <c r="CY51" s="62">
        <f ca="1">AVERAGE(OFFSET($CX$3,0,0,'Données projet'!$E$13+1,1))-AVERAGE(OFFSET($H$3,0,0,'Données projet'!$E$13+1,1))</f>
        <v>246.64907095367749</v>
      </c>
      <c r="CZ51" s="62">
        <f t="shared" si="42"/>
        <v>145.34368562171613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207.03241199974599</v>
      </c>
      <c r="T52" s="62">
        <f t="shared" si="34"/>
        <v>314.188568589113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9.267185583802128</v>
      </c>
      <c r="AA52" s="23">
        <f>EXP(-LN(2)/25)*AA51+(1-EXP(-LN(2)/25))/(LN(2)/25)*Calculateur!V52*Calculateur!X52*VLOOKUP('Données projet'!$B$9,Paramètres!$A$1:$I$89,3,0)*0.475*44/12</f>
        <v>5.75699297599754</v>
      </c>
      <c r="AB52" s="23">
        <f>EXP(-LN(2)/2)*AB51+(1-EXP(-LN(2)/2))/(LN(2)/2)*V52*Y52*VLOOKUP('Données projet'!$B$9,Paramètres!$A$1:$I$89,3,0)*0.475*44/12</f>
        <v>4.0388333116734478E-3</v>
      </c>
      <c r="AC52" s="24">
        <f t="shared" si="3"/>
        <v>15.028217393111342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245.25496369542458</v>
      </c>
      <c r="AO52" s="62">
        <f t="shared" si="36"/>
        <v>342.30266518164211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4.6153846153846159</v>
      </c>
      <c r="BD52" s="13">
        <f>IF('Données projet'!$A$88&gt;35,BD51+BC52-BL51,IF(A52&lt;'Données projet'!$A$88,$BA$205^A52,IF(A52='Données projet'!$A$88,'Données projet'!$B$88,BD51+BC52-BL51)))</f>
        <v>144.74358974358972</v>
      </c>
      <c r="BE52" s="14">
        <f>BD52*VLOOKUP('Données projet'!$B$11,Paramètres!$A$1:$I$89,3,0)*VLOOKUP('Données projet'!$B$11,Paramètres!$A$1:$I$89,5,0)</f>
        <v>151.286</v>
      </c>
      <c r="BF52" s="14">
        <f t="shared" si="37"/>
        <v>38.870688376168573</v>
      </c>
      <c r="BG52" s="22">
        <f t="shared" si="7"/>
        <v>331.18956558849356</v>
      </c>
      <c r="BH52" s="62">
        <f t="shared" si="8"/>
        <v>624.52289892182694</v>
      </c>
      <c r="BI52" s="62">
        <f ca="1">AVERAGE(OFFSET($BH$3,0,0,'Données projet'!$E$11+1,1))-AVERAGE(OFFSET($H$3,0,0,'Données projet'!$E$11+1,1))</f>
        <v>377.78532142539677</v>
      </c>
      <c r="BJ52" s="62">
        <f t="shared" si="38"/>
        <v>234.27695813539111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129.39999999999998</v>
      </c>
      <c r="BZ52" s="14">
        <f>BY52*VLOOKUP('Données projet'!$B$12,Paramètres!$A$1:$I$89,3,0)*VLOOKUP('Données projet'!$B$12,Paramètres!$A$1:$I$89,5,0)</f>
        <v>131.21159999999998</v>
      </c>
      <c r="CA52" s="14">
        <f t="shared" si="39"/>
        <v>34.276173183172517</v>
      </c>
      <c r="CB52" s="22">
        <f t="shared" si="10"/>
        <v>288.22453829402542</v>
      </c>
      <c r="CC52" s="62">
        <f t="shared" si="11"/>
        <v>581.55787162735874</v>
      </c>
      <c r="CD52" s="62">
        <f ca="1">AVERAGE(OFFSET($CC$3,0,0,'Données projet'!$E$12+1,1))-AVERAGE(OFFSET($H$3,0,0,'Données projet'!$E$12+1,1))</f>
        <v>360.32217613090035</v>
      </c>
      <c r="CE52" s="62">
        <f t="shared" si="40"/>
        <v>159.6134369231965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10.402930402930403</v>
      </c>
      <c r="CT52" s="13">
        <f>IF('Données projet'!$A$140&gt;35,CT51+CS52-DB51,IF(A52&lt;'Données projet'!$A$140,$CQ$205^A52,IF(A52='Données projet'!$A$140,'Données projet'!$B$140,CT51+CS52-DB51)))</f>
        <v>300.73260073260064</v>
      </c>
      <c r="CU52" s="18">
        <f>CT52*VLOOKUP('Données projet'!$B$13,Paramètres!$A$1:$I$89,3,0)*VLOOKUP('Données projet'!$B$13,Paramètres!$A$1:$I$89,5,0)</f>
        <v>140.7428571428571</v>
      </c>
      <c r="CV52" s="14">
        <f t="shared" si="41"/>
        <v>36.467131184587252</v>
      </c>
      <c r="CW52" s="22">
        <f t="shared" si="13"/>
        <v>308.64072967029892</v>
      </c>
      <c r="CX52" s="62">
        <f t="shared" si="14"/>
        <v>601.97406300363218</v>
      </c>
      <c r="CY52" s="62">
        <f ca="1">AVERAGE(OFFSET($CX$3,0,0,'Données projet'!$E$13+1,1))-AVERAGE(OFFSET($H$3,0,0,'Données projet'!$E$13+1,1))</f>
        <v>246.64907095367749</v>
      </c>
      <c r="CZ52" s="62">
        <f t="shared" si="42"/>
        <v>145.34368562171613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207.03241199974599</v>
      </c>
      <c r="T53" s="62">
        <f t="shared" si="34"/>
        <v>314.188568589113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9.0854617269288429</v>
      </c>
      <c r="AA53" s="23">
        <f>EXP(-LN(2)/25)*AA52+(1-EXP(-LN(2)/25))/(LN(2)/25)*Calculateur!V53*Calculateur!X53*VLOOKUP('Données projet'!$B$9,Paramètres!$A$1:$I$89,3,0)*0.475*44/12</f>
        <v>5.5995677003217841</v>
      </c>
      <c r="AB53" s="23">
        <f>EXP(-LN(2)/2)*AB52+(1-EXP(-LN(2)/2))/(LN(2)/2)*V53*Y53*VLOOKUP('Données projet'!$B$9,Paramètres!$A$1:$I$89,3,0)*0.475*44/12</f>
        <v>2.8558864227664158E-3</v>
      </c>
      <c r="AC53" s="24">
        <f t="shared" si="3"/>
        <v>14.687885313673393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245.25496369542458</v>
      </c>
      <c r="AO53" s="62">
        <f t="shared" si="36"/>
        <v>342.30266518164211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149.35897435897436</v>
      </c>
      <c r="BB53" s="13">
        <f>VLOOKUP(A53,'Données projet'!$A$87:$I$107,9,0)</f>
        <v>4.6153846153846159</v>
      </c>
      <c r="BC53" s="13">
        <f t="array" ref="BC53">INDEX(BB:BB,MIN(IF(ISNUMBER(BB53:BB249),ROW(BB53:BB249),"")))</f>
        <v>4.6153846153846159</v>
      </c>
      <c r="BD53" s="13">
        <f>IF('Données projet'!$A$88&gt;35,BD52+BC53-BL52,IF(A53&lt;'Données projet'!$A$88,$BA$205^A53,IF(A53='Données projet'!$A$88,'Données projet'!$B$88,BD52+BC53-BL52)))</f>
        <v>149.35897435897434</v>
      </c>
      <c r="BE53" s="14">
        <f>BD53*VLOOKUP('Données projet'!$B$11,Paramètres!$A$1:$I$89,3,0)*VLOOKUP('Données projet'!$B$11,Paramètres!$A$1:$I$89,5,0)</f>
        <v>156.11000000000001</v>
      </c>
      <c r="BF53" s="14">
        <f t="shared" si="37"/>
        <v>39.963862158593372</v>
      </c>
      <c r="BG53" s="22">
        <f t="shared" si="7"/>
        <v>341.49530992621681</v>
      </c>
      <c r="BH53" s="62">
        <f t="shared" si="8"/>
        <v>634.82864325955006</v>
      </c>
      <c r="BI53" s="62">
        <f ca="1">AVERAGE(OFFSET($BH$3,0,0,'Données projet'!$E$11+1,1))-AVERAGE(OFFSET($H$3,0,0,'Données projet'!$E$11+1,1))</f>
        <v>377.78532142539677</v>
      </c>
      <c r="BJ53" s="62">
        <f t="shared" si="38"/>
        <v>234.27695813539111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18.589743589743588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135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134.99999999999997</v>
      </c>
      <c r="BZ53" s="14">
        <f>BY53*VLOOKUP('Données projet'!$B$12,Paramètres!$A$1:$I$89,3,0)*VLOOKUP('Données projet'!$B$12,Paramètres!$A$1:$I$89,5,0)</f>
        <v>136.88999999999999</v>
      </c>
      <c r="CA53" s="14">
        <f t="shared" si="39"/>
        <v>35.583619346017713</v>
      </c>
      <c r="CB53" s="22">
        <f t="shared" si="10"/>
        <v>300.39155369431415</v>
      </c>
      <c r="CC53" s="62">
        <f t="shared" si="11"/>
        <v>593.72488702764747</v>
      </c>
      <c r="CD53" s="62">
        <f ca="1">AVERAGE(OFFSET($CC$3,0,0,'Données projet'!$E$12+1,1))-AVERAGE(OFFSET($H$3,0,0,'Données projet'!$E$12+1,1))</f>
        <v>360.32217613090035</v>
      </c>
      <c r="CE53" s="62">
        <f t="shared" si="40"/>
        <v>159.6134369231965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10.402930402930403</v>
      </c>
      <c r="CT53" s="13">
        <f>IF('Données projet'!$A$140&gt;35,CT52+CS53-DB52,IF(A53&lt;'Données projet'!$A$140,$CQ$205^A53,IF(A53='Données projet'!$A$140,'Données projet'!$B$140,CT52+CS53-DB52)))</f>
        <v>311.13553113553104</v>
      </c>
      <c r="CU53" s="18">
        <f>CT53*VLOOKUP('Données projet'!$B$13,Paramètres!$A$1:$I$89,3,0)*VLOOKUP('Données projet'!$B$13,Paramètres!$A$1:$I$89,5,0)</f>
        <v>145.61142857142852</v>
      </c>
      <c r="CV53" s="14">
        <f t="shared" si="41"/>
        <v>37.579550035203404</v>
      </c>
      <c r="CW53" s="22">
        <f t="shared" si="13"/>
        <v>319.05762107321726</v>
      </c>
      <c r="CX53" s="62">
        <f t="shared" si="14"/>
        <v>612.39095440655058</v>
      </c>
      <c r="CY53" s="62">
        <f ca="1">AVERAGE(OFFSET($CX$3,0,0,'Données projet'!$E$13+1,1))-AVERAGE(OFFSET($H$3,0,0,'Données projet'!$E$13+1,1))</f>
        <v>246.64907095367749</v>
      </c>
      <c r="CZ53" s="62">
        <f t="shared" si="42"/>
        <v>145.34368562171613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207.03241199974599</v>
      </c>
      <c r="T54" s="62">
        <f t="shared" si="34"/>
        <v>314.188568589113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8.9073013640482355</v>
      </c>
      <c r="AA54" s="23">
        <f>EXP(-LN(2)/25)*AA53+(1-EXP(-LN(2)/25))/(LN(2)/25)*Calculateur!V54*Calculateur!X54*VLOOKUP('Données projet'!$B$9,Paramètres!$A$1:$I$89,3,0)*0.475*44/12</f>
        <v>5.4464472270880178</v>
      </c>
      <c r="AB54" s="23">
        <f>EXP(-LN(2)/2)*AB53+(1-EXP(-LN(2)/2))/(LN(2)/2)*V54*Y54*VLOOKUP('Données projet'!$B$9,Paramètres!$A$1:$I$89,3,0)*0.475*44/12</f>
        <v>2.0194166558367239E-3</v>
      </c>
      <c r="AC54" s="24">
        <f t="shared" si="3"/>
        <v>14.35576800779209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245.25496369542458</v>
      </c>
      <c r="AO54" s="62">
        <f t="shared" si="36"/>
        <v>342.30266518164211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4.4871794871794863</v>
      </c>
      <c r="BD54" s="13">
        <f>IF('Données projet'!$A$88&gt;35,BD53+BC54-BL53,IF(A54&lt;'Données projet'!$A$88,$BA$205^A54,IF(A54='Données projet'!$A$88,'Données projet'!$B$88,BD53+BC54-BL53)))</f>
        <v>135.25641025641022</v>
      </c>
      <c r="BE54" s="14">
        <f>BD54*VLOOKUP('Données projet'!$B$11,Paramètres!$A$1:$I$89,3,0)*VLOOKUP('Données projet'!$B$11,Paramètres!$A$1:$I$89,5,0)</f>
        <v>141.36999999999998</v>
      </c>
      <c r="BF54" s="14">
        <f t="shared" si="37"/>
        <v>36.610675159135589</v>
      </c>
      <c r="BG54" s="22">
        <f t="shared" si="7"/>
        <v>309.98300923549442</v>
      </c>
      <c r="BH54" s="62">
        <f t="shared" si="8"/>
        <v>603.31634256882774</v>
      </c>
      <c r="BI54" s="62">
        <f ca="1">AVERAGE(OFFSET($BH$3,0,0,'Données projet'!$E$11+1,1))-AVERAGE(OFFSET($H$3,0,0,'Données projet'!$E$11+1,1))</f>
        <v>377.78532142539677</v>
      </c>
      <c r="BJ54" s="62">
        <f t="shared" si="38"/>
        <v>234.27695813539111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112.59999999999997</v>
      </c>
      <c r="BZ54" s="14">
        <f>BY54*VLOOKUP('Données projet'!$B$12,Paramètres!$A$1:$I$89,3,0)*VLOOKUP('Données projet'!$B$12,Paramètres!$A$1:$I$89,5,0)</f>
        <v>114.17639999999997</v>
      </c>
      <c r="CA54" s="14">
        <f t="shared" si="39"/>
        <v>30.312832781759997</v>
      </c>
      <c r="CB54" s="22">
        <f t="shared" si="10"/>
        <v>251.65208042823193</v>
      </c>
      <c r="CC54" s="62">
        <f t="shared" si="11"/>
        <v>544.98541376156527</v>
      </c>
      <c r="CD54" s="62">
        <f ca="1">AVERAGE(OFFSET($CC$3,0,0,'Données projet'!$E$12+1,1))-AVERAGE(OFFSET($H$3,0,0,'Données projet'!$E$12+1,1))</f>
        <v>360.32217613090035</v>
      </c>
      <c r="CE54" s="62">
        <f t="shared" si="40"/>
        <v>159.6134369231965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321.53846153846155</v>
      </c>
      <c r="CR54" s="13">
        <f>VLOOKUP(A54,'Données projet'!$A$139:$I$159,9,0)</f>
        <v>10.402930402930403</v>
      </c>
      <c r="CS54" s="13">
        <f t="array" ref="CS54">INDEX(CR:CR,MIN(IF(ISNUMBER(CR54:CR250),ROW(CR54:CR250),"")))</f>
        <v>10.402930402930403</v>
      </c>
      <c r="CT54" s="13">
        <f>IF('Données projet'!$A$140&gt;35,CT53+CS54-DB53,IF(A54&lt;'Données projet'!$A$140,$CQ$205^A54,IF(A54='Données projet'!$A$140,'Données projet'!$B$140,CT53+CS54-DB53)))</f>
        <v>321.53846153846143</v>
      </c>
      <c r="CU54" s="18">
        <f>CT54*VLOOKUP('Données projet'!$B$13,Paramètres!$A$1:$I$89,3,0)*VLOOKUP('Données projet'!$B$13,Paramètres!$A$1:$I$89,5,0)</f>
        <v>150.47999999999996</v>
      </c>
      <c r="CV54" s="14">
        <f t="shared" si="41"/>
        <v>38.687647052039566</v>
      </c>
      <c r="CW54" s="22">
        <f t="shared" si="13"/>
        <v>329.46698528230218</v>
      </c>
      <c r="CX54" s="62">
        <f t="shared" si="14"/>
        <v>622.80031861563543</v>
      </c>
      <c r="CY54" s="62">
        <f ca="1">AVERAGE(OFFSET($CX$3,0,0,'Données projet'!$E$13+1,1))-AVERAGE(OFFSET($H$3,0,0,'Données projet'!$E$13+1,1))</f>
        <v>246.64907095367749</v>
      </c>
      <c r="CZ54" s="62">
        <f t="shared" si="42"/>
        <v>145.34368562171613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100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207.03241199974599</v>
      </c>
      <c r="T55" s="62">
        <f t="shared" si="34"/>
        <v>314.188568589113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8.7326346172166254</v>
      </c>
      <c r="AA55" s="23">
        <f>EXP(-LN(2)/25)*AA54+(1-EXP(-LN(2)/25))/(LN(2)/25)*Calculateur!V55*Calculateur!X55*VLOOKUP('Données projet'!$B$9,Paramètres!$A$1:$I$89,3,0)*0.475*44/12</f>
        <v>5.2975138412470839</v>
      </c>
      <c r="AB55" s="23">
        <f>EXP(-LN(2)/2)*AB54+(1-EXP(-LN(2)/2))/(LN(2)/2)*V55*Y55*VLOOKUP('Données projet'!$B$9,Paramètres!$A$1:$I$89,3,0)*0.475*44/12</f>
        <v>1.4279432113832079E-3</v>
      </c>
      <c r="AC55" s="24">
        <f t="shared" si="3"/>
        <v>14.031576401675093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245.25496369542458</v>
      </c>
      <c r="AO55" s="62">
        <f t="shared" si="36"/>
        <v>342.30266518164211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4.4871794871794863</v>
      </c>
      <c r="BD55" s="13">
        <f>IF('Données projet'!$A$88&gt;35,BD54+BC55-BL54,IF(A55&lt;'Données projet'!$A$88,$BA$205^A55,IF(A55='Données projet'!$A$88,'Données projet'!$B$88,BD54+BC55-BL54)))</f>
        <v>139.74358974358969</v>
      </c>
      <c r="BE55" s="14">
        <f>BD55*VLOOKUP('Données projet'!$B$11,Paramètres!$A$1:$I$89,3,0)*VLOOKUP('Données projet'!$B$11,Paramètres!$A$1:$I$89,5,0)</f>
        <v>146.05999999999995</v>
      </c>
      <c r="BF55" s="14">
        <f t="shared" si="37"/>
        <v>37.681824130204156</v>
      </c>
      <c r="BG55" s="22">
        <f t="shared" si="7"/>
        <v>320.01701036010542</v>
      </c>
      <c r="BH55" s="62">
        <f t="shared" si="8"/>
        <v>613.35034369343873</v>
      </c>
      <c r="BI55" s="62">
        <f ca="1">AVERAGE(OFFSET($BH$3,0,0,'Données projet'!$E$11+1,1))-AVERAGE(OFFSET($H$3,0,0,'Données projet'!$E$11+1,1))</f>
        <v>377.78532142539677</v>
      </c>
      <c r="BJ55" s="62">
        <f t="shared" si="38"/>
        <v>234.27695813539111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118.19999999999996</v>
      </c>
      <c r="BZ55" s="14">
        <f>BY55*VLOOKUP('Données projet'!$B$12,Paramètres!$A$1:$I$89,3,0)*VLOOKUP('Données projet'!$B$12,Paramètres!$A$1:$I$89,5,0)</f>
        <v>119.85479999999995</v>
      </c>
      <c r="CA55" s="14">
        <f t="shared" si="39"/>
        <v>31.641131392625841</v>
      </c>
      <c r="CB55" s="22">
        <f t="shared" si="10"/>
        <v>263.85541384215657</v>
      </c>
      <c r="CC55" s="62">
        <f t="shared" si="11"/>
        <v>557.18874717548988</v>
      </c>
      <c r="CD55" s="62">
        <f ca="1">AVERAGE(OFFSET($CC$3,0,0,'Données projet'!$E$12+1,1))-AVERAGE(OFFSET($H$3,0,0,'Données projet'!$E$12+1,1))</f>
        <v>360.32217613090035</v>
      </c>
      <c r="CE55" s="62">
        <f t="shared" si="40"/>
        <v>159.6134369231965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10.769230769230768</v>
      </c>
      <c r="CT55" s="13">
        <f>IF('Données projet'!$A$140&gt;35,CT54+CS55-DB54,IF(A55&lt;'Données projet'!$A$140,$CQ$205^A55,IF(A55='Données projet'!$A$140,'Données projet'!$B$140,CT54+CS55-DB54)))</f>
        <v>232.30769230769221</v>
      </c>
      <c r="CU55" s="18">
        <f>CT55*VLOOKUP('Données projet'!$B$13,Paramètres!$A$1:$I$89,3,0)*VLOOKUP('Données projet'!$B$13,Paramètres!$A$1:$I$89,5,0)</f>
        <v>108.71999999999996</v>
      </c>
      <c r="CV55" s="14">
        <f t="shared" si="41"/>
        <v>29.029201459451464</v>
      </c>
      <c r="CW55" s="22">
        <f t="shared" si="13"/>
        <v>239.91319254187792</v>
      </c>
      <c r="CX55" s="62">
        <f t="shared" si="14"/>
        <v>533.2465258752112</v>
      </c>
      <c r="CY55" s="62">
        <f ca="1">AVERAGE(OFFSET($CX$3,0,0,'Données projet'!$E$13+1,1))-AVERAGE(OFFSET($H$3,0,0,'Données projet'!$E$13+1,1))</f>
        <v>246.64907095367749</v>
      </c>
      <c r="CZ55" s="62">
        <f t="shared" si="42"/>
        <v>145.34368562171613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207.03241199974599</v>
      </c>
      <c r="T56" s="62">
        <f t="shared" si="34"/>
        <v>314.188568589113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8.5613929787541867</v>
      </c>
      <c r="AA56" s="23">
        <f>EXP(-LN(2)/25)*AA55+(1-EXP(-LN(2)/25))/(LN(2)/25)*Calculateur!V56*Calculateur!X56*VLOOKUP('Données projet'!$B$9,Paramètres!$A$1:$I$89,3,0)*0.475*44/12</f>
        <v>5.152653046674037</v>
      </c>
      <c r="AB56" s="23">
        <f>EXP(-LN(2)/2)*AB55+(1-EXP(-LN(2)/2))/(LN(2)/2)*V56*Y56*VLOOKUP('Données projet'!$B$9,Paramètres!$A$1:$I$89,3,0)*0.475*44/12</f>
        <v>1.009708327918362E-3</v>
      </c>
      <c r="AC56" s="24">
        <f t="shared" si="3"/>
        <v>13.715055733756143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245.25496369542458</v>
      </c>
      <c r="AO56" s="62">
        <f t="shared" si="36"/>
        <v>342.30266518164211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4.4871794871794863</v>
      </c>
      <c r="BD56" s="13">
        <f>IF('Données projet'!$A$88&gt;35,BD55+BC56-BL55,IF(A56&lt;'Données projet'!$A$88,$BA$205^A56,IF(A56='Données projet'!$A$88,'Données projet'!$B$88,BD55+BC56-BL55)))</f>
        <v>144.23076923076917</v>
      </c>
      <c r="BE56" s="14">
        <f>BD56*VLOOKUP('Données projet'!$B$11,Paramètres!$A$1:$I$89,3,0)*VLOOKUP('Données projet'!$B$11,Paramètres!$A$1:$I$89,5,0)</f>
        <v>150.74999999999994</v>
      </c>
      <c r="BF56" s="14">
        <f t="shared" si="37"/>
        <v>38.748976306073061</v>
      </c>
      <c r="BG56" s="22">
        <f t="shared" si="7"/>
        <v>330.04405039974381</v>
      </c>
      <c r="BH56" s="62">
        <f t="shared" si="8"/>
        <v>623.37738373307707</v>
      </c>
      <c r="BI56" s="62">
        <f ca="1">AVERAGE(OFFSET($BH$3,0,0,'Données projet'!$E$11+1,1))-AVERAGE(OFFSET($H$3,0,0,'Données projet'!$E$11+1,1))</f>
        <v>377.78532142539677</v>
      </c>
      <c r="BJ56" s="62">
        <f t="shared" si="38"/>
        <v>234.27695813539111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123.79999999999995</v>
      </c>
      <c r="BZ56" s="14">
        <f>BY56*VLOOKUP('Données projet'!$B$12,Paramètres!$A$1:$I$89,3,0)*VLOOKUP('Données projet'!$B$12,Paramètres!$A$1:$I$89,5,0)</f>
        <v>125.53319999999997</v>
      </c>
      <c r="CA56" s="14">
        <f t="shared" si="39"/>
        <v>32.962122082003134</v>
      </c>
      <c r="CB56" s="22">
        <f t="shared" si="10"/>
        <v>276.046019292822</v>
      </c>
      <c r="CC56" s="62">
        <f t="shared" si="11"/>
        <v>569.37935262615531</v>
      </c>
      <c r="CD56" s="62">
        <f ca="1">AVERAGE(OFFSET($CC$3,0,0,'Données projet'!$E$12+1,1))-AVERAGE(OFFSET($H$3,0,0,'Données projet'!$E$12+1,1))</f>
        <v>360.32217613090035</v>
      </c>
      <c r="CE56" s="62">
        <f t="shared" si="40"/>
        <v>159.6134369231965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10.769230769230768</v>
      </c>
      <c r="CT56" s="13">
        <f>IF('Données projet'!$A$140&gt;35,CT55+CS56-DB55,IF(A56&lt;'Données projet'!$A$140,$CQ$205^A56,IF(A56='Données projet'!$A$140,'Données projet'!$B$140,CT55+CS56-DB55)))</f>
        <v>243.07692307692298</v>
      </c>
      <c r="CU56" s="18">
        <f>CT56*VLOOKUP('Données projet'!$B$13,Paramètres!$A$1:$I$89,3,0)*VLOOKUP('Données projet'!$B$13,Paramètres!$A$1:$I$89,5,0)</f>
        <v>113.75999999999995</v>
      </c>
      <c r="CV56" s="14">
        <f t="shared" si="41"/>
        <v>30.215129555931622</v>
      </c>
      <c r="CW56" s="22">
        <f t="shared" si="13"/>
        <v>250.7566839765808</v>
      </c>
      <c r="CX56" s="62">
        <f t="shared" si="14"/>
        <v>544.09001730991417</v>
      </c>
      <c r="CY56" s="62">
        <f ca="1">AVERAGE(OFFSET($CX$3,0,0,'Données projet'!$E$13+1,1))-AVERAGE(OFFSET($H$3,0,0,'Données projet'!$E$13+1,1))</f>
        <v>246.64907095367749</v>
      </c>
      <c r="CZ56" s="62">
        <f t="shared" si="42"/>
        <v>145.34368562171613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207.03241199974599</v>
      </c>
      <c r="T57" s="62">
        <f t="shared" si="34"/>
        <v>314.188568589113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8.3935092843749111</v>
      </c>
      <c r="AA57" s="23">
        <f>EXP(-LN(2)/25)*AA56+(1-EXP(-LN(2)/25))/(LN(2)/25)*Calculateur!V57*Calculateur!X57*VLOOKUP('Données projet'!$B$9,Paramètres!$A$1:$I$89,3,0)*0.475*44/12</f>
        <v>5.0117534781464883</v>
      </c>
      <c r="AB57" s="23">
        <f>EXP(-LN(2)/2)*AB56+(1-EXP(-LN(2)/2))/(LN(2)/2)*V57*Y57*VLOOKUP('Données projet'!$B$9,Paramètres!$A$1:$I$89,3,0)*0.475*44/12</f>
        <v>7.1397160569160395E-4</v>
      </c>
      <c r="AC57" s="24">
        <f t="shared" si="3"/>
        <v>13.405976734127091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245.25496369542458</v>
      </c>
      <c r="AO57" s="62">
        <f t="shared" si="36"/>
        <v>342.30266518164211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4.4871794871794863</v>
      </c>
      <c r="BD57" s="13">
        <f>IF('Données projet'!$A$88&gt;35,BD56+BC57-BL56,IF(A57&lt;'Données projet'!$A$88,$BA$205^A57,IF(A57='Données projet'!$A$88,'Données projet'!$B$88,BD56+BC57-BL56)))</f>
        <v>148.71794871794864</v>
      </c>
      <c r="BE57" s="14">
        <f>BD57*VLOOKUP('Données projet'!$B$11,Paramètres!$A$1:$I$89,3,0)*VLOOKUP('Données projet'!$B$11,Paramètres!$A$1:$I$89,5,0)</f>
        <v>155.43999999999994</v>
      </c>
      <c r="BF57" s="14">
        <f t="shared" si="37"/>
        <v>39.81227029952759</v>
      </c>
      <c r="BG57" s="22">
        <f t="shared" si="7"/>
        <v>340.06437077167715</v>
      </c>
      <c r="BH57" s="62">
        <f t="shared" si="8"/>
        <v>633.39770410501046</v>
      </c>
      <c r="BI57" s="62">
        <f ca="1">AVERAGE(OFFSET($BH$3,0,0,'Données projet'!$E$11+1,1))-AVERAGE(OFFSET($H$3,0,0,'Données projet'!$E$11+1,1))</f>
        <v>377.78532142539677</v>
      </c>
      <c r="BJ57" s="62">
        <f t="shared" si="38"/>
        <v>234.27695813539111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131.21159999999995</v>
      </c>
      <c r="CA57" s="14">
        <f t="shared" si="39"/>
        <v>34.276173183172517</v>
      </c>
      <c r="CB57" s="22">
        <f t="shared" si="10"/>
        <v>288.22453829402536</v>
      </c>
      <c r="CC57" s="62">
        <f t="shared" si="11"/>
        <v>581.55787162735874</v>
      </c>
      <c r="CD57" s="62">
        <f ca="1">AVERAGE(OFFSET($CC$3,0,0,'Données projet'!$E$12+1,1))-AVERAGE(OFFSET($H$3,0,0,'Données projet'!$E$12+1,1))</f>
        <v>360.32217613090035</v>
      </c>
      <c r="CE57" s="62">
        <f t="shared" si="40"/>
        <v>159.6134369231965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10.769230769230768</v>
      </c>
      <c r="CT57" s="13">
        <f>IF('Données projet'!$A$140&gt;35,CT56+CS57-DB56,IF(A57&lt;'Données projet'!$A$140,$CQ$205^A57,IF(A57='Données projet'!$A$140,'Données projet'!$B$140,CT56+CS57-DB56)))</f>
        <v>253.84615384615375</v>
      </c>
      <c r="CU57" s="18">
        <f>CT57*VLOOKUP('Données projet'!$B$13,Paramètres!$A$1:$I$89,3,0)*VLOOKUP('Données projet'!$B$13,Paramètres!$A$1:$I$89,5,0)</f>
        <v>118.79999999999995</v>
      </c>
      <c r="CV57" s="14">
        <f t="shared" si="41"/>
        <v>31.394955500632594</v>
      </c>
      <c r="CW57" s="22">
        <f t="shared" si="13"/>
        <v>261.58954749693504</v>
      </c>
      <c r="CX57" s="62">
        <f t="shared" si="14"/>
        <v>554.92288083026835</v>
      </c>
      <c r="CY57" s="62">
        <f ca="1">AVERAGE(OFFSET($CX$3,0,0,'Données projet'!$E$13+1,1))-AVERAGE(OFFSET($H$3,0,0,'Données projet'!$E$13+1,1))</f>
        <v>246.64907095367749</v>
      </c>
      <c r="CZ57" s="62">
        <f t="shared" si="42"/>
        <v>145.34368562171613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207.03241199974599</v>
      </c>
      <c r="T58" s="62">
        <f t="shared" si="34"/>
        <v>314.188568589113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8.2289176868434701</v>
      </c>
      <c r="AA58" s="23">
        <f>EXP(-LN(2)/25)*AA57+(1-EXP(-LN(2)/25))/(LN(2)/25)*Calculateur!V58*Calculateur!X58*VLOOKUP('Données projet'!$B$9,Paramètres!$A$1:$I$89,3,0)*0.475*44/12</f>
        <v>4.8747068157299118</v>
      </c>
      <c r="AB58" s="23">
        <f>EXP(-LN(2)/2)*AB57+(1-EXP(-LN(2)/2))/(LN(2)/2)*V58*Y58*VLOOKUP('Données projet'!$B$9,Paramètres!$A$1:$I$89,3,0)*0.475*44/12</f>
        <v>5.0485416395918098E-4</v>
      </c>
      <c r="AC58" s="24">
        <f t="shared" si="3"/>
        <v>13.10412935673734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245.25496369542458</v>
      </c>
      <c r="AO58" s="62">
        <f t="shared" si="36"/>
        <v>342.30266518164211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153.2051282051282</v>
      </c>
      <c r="BB58" s="13">
        <f>VLOOKUP(A58,'Données projet'!$A$87:$I$107,9,0)</f>
        <v>4.4871794871794863</v>
      </c>
      <c r="BC58" s="13">
        <f t="array" ref="BC58">INDEX(BB:BB,MIN(IF(ISNUMBER(BB58:BB254),ROW(BB58:BB254),"")))</f>
        <v>4.4871794871794863</v>
      </c>
      <c r="BD58" s="13">
        <f>IF('Données projet'!$A$88&gt;35,BD57+BC58-BL57,IF(A58&lt;'Données projet'!$A$88,$BA$205^A58,IF(A58='Données projet'!$A$88,'Données projet'!$B$88,BD57+BC58-BL57)))</f>
        <v>153.20512820512812</v>
      </c>
      <c r="BE58" s="14">
        <f>BD58*VLOOKUP('Données projet'!$B$11,Paramètres!$A$1:$I$89,3,0)*VLOOKUP('Données projet'!$B$11,Paramètres!$A$1:$I$89,5,0)</f>
        <v>160.12999999999991</v>
      </c>
      <c r="BF58" s="14">
        <f t="shared" si="37"/>
        <v>40.871835883430627</v>
      </c>
      <c r="BG58" s="22">
        <f t="shared" si="7"/>
        <v>350.07819749697484</v>
      </c>
      <c r="BH58" s="62">
        <f t="shared" si="8"/>
        <v>643.41153083030815</v>
      </c>
      <c r="BI58" s="62">
        <f ca="1">AVERAGE(OFFSET($BH$3,0,0,'Données projet'!$E$11+1,1))-AVERAGE(OFFSET($H$3,0,0,'Données projet'!$E$11+1,1))</f>
        <v>377.78532142539677</v>
      </c>
      <c r="BJ58" s="62">
        <f t="shared" si="38"/>
        <v>234.27695813539111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136.88999999999996</v>
      </c>
      <c r="CA58" s="14">
        <f t="shared" si="39"/>
        <v>35.583619346017713</v>
      </c>
      <c r="CB58" s="22">
        <f t="shared" si="10"/>
        <v>300.3915536943141</v>
      </c>
      <c r="CC58" s="62">
        <f t="shared" si="11"/>
        <v>593.72488702764736</v>
      </c>
      <c r="CD58" s="62">
        <f ca="1">AVERAGE(OFFSET($CC$3,0,0,'Données projet'!$E$12+1,1))-AVERAGE(OFFSET($H$3,0,0,'Données projet'!$E$12+1,1))</f>
        <v>360.32217613090035</v>
      </c>
      <c r="CE58" s="62">
        <f t="shared" si="40"/>
        <v>159.6134369231965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10.769230769230768</v>
      </c>
      <c r="CT58" s="13">
        <f>IF('Données projet'!$A$140&gt;35,CT57+CS58-DB57,IF(A58&lt;'Données projet'!$A$140,$CQ$205^A58,IF(A58='Données projet'!$A$140,'Données projet'!$B$140,CT57+CS58-DB57)))</f>
        <v>264.61538461538453</v>
      </c>
      <c r="CU58" s="18">
        <f>CT58*VLOOKUP('Données projet'!$B$13,Paramètres!$A$1:$I$89,3,0)*VLOOKUP('Données projet'!$B$13,Paramètres!$A$1:$I$89,5,0)</f>
        <v>123.83999999999995</v>
      </c>
      <c r="CV58" s="14">
        <f t="shared" si="41"/>
        <v>32.56896777038807</v>
      </c>
      <c r="CW58" s="22">
        <f t="shared" si="13"/>
        <v>272.4122855334258</v>
      </c>
      <c r="CX58" s="62">
        <f t="shared" si="14"/>
        <v>565.74561886675906</v>
      </c>
      <c r="CY58" s="62">
        <f ca="1">AVERAGE(OFFSET($CX$3,0,0,'Données projet'!$E$13+1,1))-AVERAGE(OFFSET($H$3,0,0,'Données projet'!$E$13+1,1))</f>
        <v>246.64907095367749</v>
      </c>
      <c r="CZ58" s="62">
        <f t="shared" si="42"/>
        <v>145.34368562171613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207.03241199974599</v>
      </c>
      <c r="T59" s="62">
        <f t="shared" si="34"/>
        <v>314.188568589113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8.0675536301486588</v>
      </c>
      <c r="AA59" s="23">
        <f>EXP(-LN(2)/25)*AA58+(1-EXP(-LN(2)/25))/(LN(2)/25)*Calculateur!V59*Calculateur!X59*VLOOKUP('Données projet'!$B$9,Paramètres!$A$1:$I$89,3,0)*0.475*44/12</f>
        <v>4.7414077015040874</v>
      </c>
      <c r="AB59" s="23">
        <f>EXP(-LN(2)/2)*AB58+(1-EXP(-LN(2)/2))/(LN(2)/2)*V59*Y59*VLOOKUP('Données projet'!$B$9,Paramètres!$A$1:$I$89,3,0)*0.475*44/12</f>
        <v>3.5698580284580198E-4</v>
      </c>
      <c r="AC59" s="24">
        <f t="shared" si="3"/>
        <v>12.809318317455592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245.25496369542458</v>
      </c>
      <c r="AO59" s="62">
        <f t="shared" si="36"/>
        <v>342.30266518164211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4.2307692307692317</v>
      </c>
      <c r="BD59" s="13">
        <f>IF('Données projet'!$A$88&gt;35,BD58+BC59-BL58,IF(A59&lt;'Données projet'!$A$88,$BA$205^A59,IF(A59='Données projet'!$A$88,'Données projet'!$B$88,BD58+BC59-BL58)))</f>
        <v>157.43589743589735</v>
      </c>
      <c r="BE59" s="14">
        <f>BD59*VLOOKUP('Données projet'!$B$11,Paramètres!$A$1:$I$89,3,0)*VLOOKUP('Données projet'!$B$11,Paramètres!$A$1:$I$89,5,0)</f>
        <v>164.55199999999994</v>
      </c>
      <c r="BF59" s="14">
        <f t="shared" si="37"/>
        <v>41.867549418546126</v>
      </c>
      <c r="BG59" s="22">
        <f t="shared" si="7"/>
        <v>359.51404857063443</v>
      </c>
      <c r="BH59" s="62">
        <f t="shared" si="8"/>
        <v>652.84738190396774</v>
      </c>
      <c r="BI59" s="62">
        <f ca="1">AVERAGE(OFFSET($BH$3,0,0,'Données projet'!$E$11+1,1))-AVERAGE(OFFSET($H$3,0,0,'Données projet'!$E$11+1,1))</f>
        <v>377.78532142539677</v>
      </c>
      <c r="BJ59" s="62">
        <f t="shared" si="38"/>
        <v>234.27695813539111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140.39999999999995</v>
      </c>
      <c r="BZ59" s="14">
        <f>BY59*VLOOKUP('Données projet'!$B$12,Paramètres!$A$1:$I$89,3,0)*VLOOKUP('Données projet'!$B$12,Paramètres!$A$1:$I$89,5,0)</f>
        <v>142.36559999999997</v>
      </c>
      <c r="CA59" s="14">
        <f t="shared" si="39"/>
        <v>36.838401620411084</v>
      </c>
      <c r="CB59" s="22">
        <f t="shared" si="10"/>
        <v>312.11363615554922</v>
      </c>
      <c r="CC59" s="62">
        <f t="shared" si="11"/>
        <v>605.44696948888259</v>
      </c>
      <c r="CD59" s="62">
        <f ca="1">AVERAGE(OFFSET($CC$3,0,0,'Données projet'!$E$12+1,1))-AVERAGE(OFFSET($H$3,0,0,'Données projet'!$E$12+1,1))</f>
        <v>360.32217613090035</v>
      </c>
      <c r="CE59" s="62">
        <f t="shared" si="40"/>
        <v>159.6134369231965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10.769230769230768</v>
      </c>
      <c r="CT59" s="13">
        <f>IF('Données projet'!$A$140&gt;35,CT58+CS59-DB58,IF(A59&lt;'Données projet'!$A$140,$CQ$205^A59,IF(A59='Données projet'!$A$140,'Données projet'!$B$140,CT58+CS59-DB58)))</f>
        <v>275.3846153846153</v>
      </c>
      <c r="CU59" s="18">
        <f>CT59*VLOOKUP('Données projet'!$B$13,Paramètres!$A$1:$I$89,3,0)*VLOOKUP('Données projet'!$B$13,Paramètres!$A$1:$I$89,5,0)</f>
        <v>128.87999999999997</v>
      </c>
      <c r="CV59" s="14">
        <f t="shared" si="41"/>
        <v>33.73743003255538</v>
      </c>
      <c r="CW59" s="22">
        <f t="shared" si="13"/>
        <v>283.22535730670057</v>
      </c>
      <c r="CX59" s="62">
        <f t="shared" si="14"/>
        <v>576.55869064003389</v>
      </c>
      <c r="CY59" s="62">
        <f ca="1">AVERAGE(OFFSET($CX$3,0,0,'Données projet'!$E$13+1,1))-AVERAGE(OFFSET($H$3,0,0,'Données projet'!$E$13+1,1))</f>
        <v>246.64907095367749</v>
      </c>
      <c r="CZ59" s="62">
        <f t="shared" si="42"/>
        <v>145.34368562171613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207.03241199974599</v>
      </c>
      <c r="T60" s="62">
        <f t="shared" si="34"/>
        <v>314.188568589113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7.9093538241832775</v>
      </c>
      <c r="AA60" s="23">
        <f>EXP(-LN(2)/25)*AA59+(1-EXP(-LN(2)/25))/(LN(2)/25)*Calculateur!V60*Calculateur!X60*VLOOKUP('Données projet'!$B$9,Paramètres!$A$1:$I$89,3,0)*0.475*44/12</f>
        <v>4.6117536585666636</v>
      </c>
      <c r="AB60" s="23">
        <f>EXP(-LN(2)/2)*AB59+(1-EXP(-LN(2)/2))/(LN(2)/2)*V60*Y60*VLOOKUP('Données projet'!$B$9,Paramètres!$A$1:$I$89,3,0)*0.475*44/12</f>
        <v>2.5242708197959049E-4</v>
      </c>
      <c r="AC60" s="24">
        <f t="shared" si="3"/>
        <v>12.52135990983192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245.25496369542458</v>
      </c>
      <c r="AO60" s="62">
        <f t="shared" si="36"/>
        <v>342.30266518164211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4.2307692307692317</v>
      </c>
      <c r="BD60" s="13">
        <f>IF('Données projet'!$A$88&gt;35,BD59+BC60-BL59,IF(A60&lt;'Données projet'!$A$88,$BA$205^A60,IF(A60='Données projet'!$A$88,'Données projet'!$B$88,BD59+BC60-BL59)))</f>
        <v>161.66666666666657</v>
      </c>
      <c r="BE60" s="14">
        <f>BD60*VLOOKUP('Données projet'!$B$11,Paramètres!$A$1:$I$89,3,0)*VLOOKUP('Données projet'!$B$11,Paramètres!$A$1:$I$89,5,0)</f>
        <v>168.9739999999999</v>
      </c>
      <c r="BF60" s="14">
        <f t="shared" si="37"/>
        <v>42.860152819367428</v>
      </c>
      <c r="BG60" s="22">
        <f t="shared" si="7"/>
        <v>368.94448282706475</v>
      </c>
      <c r="BH60" s="62">
        <f t="shared" si="8"/>
        <v>662.27781616039806</v>
      </c>
      <c r="BI60" s="62">
        <f ca="1">AVERAGE(OFFSET($BH$3,0,0,'Données projet'!$E$11+1,1))-AVERAGE(OFFSET($H$3,0,0,'Données projet'!$E$11+1,1))</f>
        <v>377.78532142539677</v>
      </c>
      <c r="BJ60" s="62">
        <f t="shared" si="38"/>
        <v>234.27695813539111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145.79999999999995</v>
      </c>
      <c r="BZ60" s="14">
        <f>BY60*VLOOKUP('Données projet'!$B$12,Paramètres!$A$1:$I$89,3,0)*VLOOKUP('Données projet'!$B$12,Paramètres!$A$1:$I$89,5,0)</f>
        <v>147.84119999999996</v>
      </c>
      <c r="CA60" s="14">
        <f t="shared" si="39"/>
        <v>38.087577427074699</v>
      </c>
      <c r="CB60" s="22">
        <f t="shared" si="10"/>
        <v>323.82595401882173</v>
      </c>
      <c r="CC60" s="62">
        <f t="shared" si="11"/>
        <v>617.15928735215505</v>
      </c>
      <c r="CD60" s="62">
        <f ca="1">AVERAGE(OFFSET($CC$3,0,0,'Données projet'!$E$12+1,1))-AVERAGE(OFFSET($H$3,0,0,'Données projet'!$E$12+1,1))</f>
        <v>360.32217613090035</v>
      </c>
      <c r="CE60" s="62">
        <f t="shared" si="40"/>
        <v>159.6134369231965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10.769230769230768</v>
      </c>
      <c r="CT60" s="13">
        <f>IF('Données projet'!$A$140&gt;35,CT59+CS60-DB59,IF(A60&lt;'Données projet'!$A$140,$CQ$205^A60,IF(A60='Données projet'!$A$140,'Données projet'!$B$140,CT59+CS60-DB59)))</f>
        <v>286.15384615384608</v>
      </c>
      <c r="CU60" s="18">
        <f>CT60*VLOOKUP('Données projet'!$B$13,Paramètres!$A$1:$I$89,3,0)*VLOOKUP('Données projet'!$B$13,Paramètres!$A$1:$I$89,5,0)</f>
        <v>133.91999999999996</v>
      </c>
      <c r="CV60" s="14">
        <f t="shared" si="41"/>
        <v>34.900584164862018</v>
      </c>
      <c r="CW60" s="22">
        <f t="shared" si="13"/>
        <v>294.02918408713464</v>
      </c>
      <c r="CX60" s="62">
        <f t="shared" si="14"/>
        <v>587.36251742046795</v>
      </c>
      <c r="CY60" s="62">
        <f ca="1">AVERAGE(OFFSET($CX$3,0,0,'Données projet'!$E$13+1,1))-AVERAGE(OFFSET($H$3,0,0,'Données projet'!$E$13+1,1))</f>
        <v>246.64907095367749</v>
      </c>
      <c r="CZ60" s="62">
        <f t="shared" si="42"/>
        <v>145.34368562171613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207.03241199974599</v>
      </c>
      <c r="T61" s="62">
        <f t="shared" si="34"/>
        <v>314.188568589113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7.7542562199205234</v>
      </c>
      <c r="AA61" s="23">
        <f>EXP(-LN(2)/25)*AA60+(1-EXP(-LN(2)/25))/(LN(2)/25)*Calculateur!V61*Calculateur!X61*VLOOKUP('Données projet'!$B$9,Paramètres!$A$1:$I$89,3,0)*0.475*44/12</f>
        <v>4.4856450122515739</v>
      </c>
      <c r="AB61" s="23">
        <f>EXP(-LN(2)/2)*AB60+(1-EXP(-LN(2)/2))/(LN(2)/2)*V61*Y61*VLOOKUP('Données projet'!$B$9,Paramètres!$A$1:$I$89,3,0)*0.475*44/12</f>
        <v>1.7849290142290099E-4</v>
      </c>
      <c r="AC61" s="24">
        <f t="shared" si="3"/>
        <v>12.240079725073521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245.25496369542458</v>
      </c>
      <c r="AO61" s="62">
        <f t="shared" si="36"/>
        <v>342.30266518164211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4.2307692307692317</v>
      </c>
      <c r="BD61" s="13">
        <f>IF('Données projet'!$A$88&gt;35,BD60+BC61-BL60,IF(A61&lt;'Données projet'!$A$88,$BA$205^A61,IF(A61='Données projet'!$A$88,'Données projet'!$B$88,BD60+BC61-BL60)))</f>
        <v>165.8974358974358</v>
      </c>
      <c r="BE61" s="14">
        <f>BD61*VLOOKUP('Données projet'!$B$11,Paramètres!$A$1:$I$89,3,0)*VLOOKUP('Données projet'!$B$11,Paramètres!$A$1:$I$89,5,0)</f>
        <v>173.39599999999993</v>
      </c>
      <c r="BF61" s="14">
        <f t="shared" si="37"/>
        <v>43.849736833856177</v>
      </c>
      <c r="BG61" s="22">
        <f t="shared" si="7"/>
        <v>378.369658318966</v>
      </c>
      <c r="BH61" s="62">
        <f t="shared" si="8"/>
        <v>671.70299165229926</v>
      </c>
      <c r="BI61" s="62">
        <f ca="1">AVERAGE(OFFSET($BH$3,0,0,'Données projet'!$E$11+1,1))-AVERAGE(OFFSET($H$3,0,0,'Données projet'!$E$11+1,1))</f>
        <v>377.78532142539677</v>
      </c>
      <c r="BJ61" s="62">
        <f t="shared" si="38"/>
        <v>234.27695813539111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151.19999999999996</v>
      </c>
      <c r="BZ61" s="14">
        <f>BY61*VLOOKUP('Données projet'!$B$12,Paramètres!$A$1:$I$89,3,0)*VLOOKUP('Données projet'!$B$12,Paramètres!$A$1:$I$89,5,0)</f>
        <v>153.31679999999997</v>
      </c>
      <c r="CA61" s="14">
        <f t="shared" si="39"/>
        <v>39.331378191752755</v>
      </c>
      <c r="CB61" s="22">
        <f t="shared" si="10"/>
        <v>335.52891035063595</v>
      </c>
      <c r="CC61" s="62">
        <f t="shared" si="11"/>
        <v>628.86224368396927</v>
      </c>
      <c r="CD61" s="62">
        <f ca="1">AVERAGE(OFFSET($CC$3,0,0,'Données projet'!$E$12+1,1))-AVERAGE(OFFSET($H$3,0,0,'Données projet'!$E$12+1,1))</f>
        <v>360.32217613090035</v>
      </c>
      <c r="CE61" s="62">
        <f t="shared" si="40"/>
        <v>159.6134369231965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10.769230769230768</v>
      </c>
      <c r="CT61" s="13">
        <f>IF('Données projet'!$A$140&gt;35,CT60+CS61-DB60,IF(A61&lt;'Données projet'!$A$140,$CQ$205^A61,IF(A61='Données projet'!$A$140,'Données projet'!$B$140,CT60+CS61-DB60)))</f>
        <v>296.92307692307685</v>
      </c>
      <c r="CU61" s="18">
        <f>CT61*VLOOKUP('Données projet'!$B$13,Paramètres!$A$1:$I$89,3,0)*VLOOKUP('Données projet'!$B$13,Paramètres!$A$1:$I$89,5,0)</f>
        <v>138.95999999999998</v>
      </c>
      <c r="CV61" s="14">
        <f t="shared" si="41"/>
        <v>36.058652807868881</v>
      </c>
      <c r="CW61" s="22">
        <f t="shared" si="13"/>
        <v>304.82415364037161</v>
      </c>
      <c r="CX61" s="62">
        <f t="shared" si="14"/>
        <v>598.15748697370486</v>
      </c>
      <c r="CY61" s="62">
        <f ca="1">AVERAGE(OFFSET($CX$3,0,0,'Données projet'!$E$13+1,1))-AVERAGE(OFFSET($H$3,0,0,'Données projet'!$E$13+1,1))</f>
        <v>246.64907095367749</v>
      </c>
      <c r="CZ61" s="62">
        <f t="shared" si="42"/>
        <v>145.34368562171613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207.03241199974599</v>
      </c>
      <c r="T62" s="62">
        <f t="shared" si="34"/>
        <v>314.188568589113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7.6021999850771635</v>
      </c>
      <c r="AA62" s="23">
        <f>EXP(-LN(2)/25)*AA61+(1-EXP(-LN(2)/25))/(LN(2)/25)*Calculateur!V62*Calculateur!X62*VLOOKUP('Données projet'!$B$9,Paramètres!$A$1:$I$89,3,0)*0.475*44/12</f>
        <v>4.3629848135017353</v>
      </c>
      <c r="AB62" s="23">
        <f>EXP(-LN(2)/2)*AB61+(1-EXP(-LN(2)/2))/(LN(2)/2)*V62*Y62*VLOOKUP('Données projet'!$B$9,Paramètres!$A$1:$I$89,3,0)*0.475*44/12</f>
        <v>1.2621354098979524E-4</v>
      </c>
      <c r="AC62" s="24">
        <f t="shared" si="3"/>
        <v>11.965311012119889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245.25496369542458</v>
      </c>
      <c r="AO62" s="62">
        <f t="shared" si="36"/>
        <v>342.30266518164211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4.2307692307692317</v>
      </c>
      <c r="BD62" s="13">
        <f>IF('Données projet'!$A$88&gt;35,BD61+BC62-BL61,IF(A62&lt;'Données projet'!$A$88,$BA$205^A62,IF(A62='Données projet'!$A$88,'Données projet'!$B$88,BD61+BC62-BL61)))</f>
        <v>170.12820512820502</v>
      </c>
      <c r="BE62" s="14">
        <f>BD62*VLOOKUP('Données projet'!$B$11,Paramètres!$A$1:$I$89,3,0)*VLOOKUP('Données projet'!$B$11,Paramètres!$A$1:$I$89,5,0)</f>
        <v>177.8179999999999</v>
      </c>
      <c r="BF62" s="14">
        <f t="shared" si="37"/>
        <v>44.836387317687525</v>
      </c>
      <c r="BG62" s="22">
        <f t="shared" si="7"/>
        <v>387.7897245783056</v>
      </c>
      <c r="BH62" s="62">
        <f t="shared" si="8"/>
        <v>681.12305791163885</v>
      </c>
      <c r="BI62" s="62">
        <f ca="1">AVERAGE(OFFSET($BH$3,0,0,'Données projet'!$E$11+1,1))-AVERAGE(OFFSET($H$3,0,0,'Données projet'!$E$11+1,1))</f>
        <v>377.78532142539677</v>
      </c>
      <c r="BJ62" s="62">
        <f t="shared" si="38"/>
        <v>234.27695813539111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156.59999999999997</v>
      </c>
      <c r="BZ62" s="14">
        <f>BY62*VLOOKUP('Données projet'!$B$12,Paramètres!$A$1:$I$89,3,0)*VLOOKUP('Données projet'!$B$12,Paramètres!$A$1:$I$89,5,0)</f>
        <v>158.79239999999996</v>
      </c>
      <c r="CA62" s="14">
        <f t="shared" si="39"/>
        <v>40.570017872698209</v>
      </c>
      <c r="CB62" s="22">
        <f t="shared" si="10"/>
        <v>347.22287779494928</v>
      </c>
      <c r="CC62" s="62">
        <f t="shared" si="11"/>
        <v>640.5562111282826</v>
      </c>
      <c r="CD62" s="62">
        <f ca="1">AVERAGE(OFFSET($CC$3,0,0,'Données projet'!$E$12+1,1))-AVERAGE(OFFSET($H$3,0,0,'Données projet'!$E$12+1,1))</f>
        <v>360.32217613090035</v>
      </c>
      <c r="CE62" s="62">
        <f t="shared" si="40"/>
        <v>159.6134369231965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10.769230769230768</v>
      </c>
      <c r="CT62" s="13">
        <f>IF('Données projet'!$A$140&gt;35,CT61+CS62-DB61,IF(A62&lt;'Données projet'!$A$140,$CQ$205^A62,IF(A62='Données projet'!$A$140,'Données projet'!$B$140,CT61+CS62-DB61)))</f>
        <v>307.69230769230762</v>
      </c>
      <c r="CU62" s="18">
        <f>CT62*VLOOKUP('Données projet'!$B$13,Paramètres!$A$1:$I$89,3,0)*VLOOKUP('Données projet'!$B$13,Paramètres!$A$1:$I$89,5,0)</f>
        <v>143.99999999999997</v>
      </c>
      <c r="CV62" s="14">
        <f t="shared" si="41"/>
        <v>37.211841536720947</v>
      </c>
      <c r="CW62" s="22">
        <f t="shared" si="13"/>
        <v>315.61062400978892</v>
      </c>
      <c r="CX62" s="62">
        <f t="shared" si="14"/>
        <v>608.94395734312229</v>
      </c>
      <c r="CY62" s="62">
        <f ca="1">AVERAGE(OFFSET($CX$3,0,0,'Données projet'!$E$13+1,1))-AVERAGE(OFFSET($H$3,0,0,'Données projet'!$E$13+1,1))</f>
        <v>246.64907095367749</v>
      </c>
      <c r="CZ62" s="62">
        <f t="shared" si="42"/>
        <v>145.34368562171613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207.03241199974599</v>
      </c>
      <c r="T63" s="62">
        <f t="shared" si="34"/>
        <v>314.188568589113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7.4531254802539371</v>
      </c>
      <c r="AA63" s="23">
        <f>EXP(-LN(2)/25)*AA62+(1-EXP(-LN(2)/25))/(LN(2)/25)*Calculateur!V63*Calculateur!X63*VLOOKUP('Données projet'!$B$9,Paramètres!$A$1:$I$89,3,0)*0.475*44/12</f>
        <v>4.2436787643371305</v>
      </c>
      <c r="AB63" s="23">
        <f>EXP(-LN(2)/2)*AB62+(1-EXP(-LN(2)/2))/(LN(2)/2)*V63*Y63*VLOOKUP('Données projet'!$B$9,Paramètres!$A$1:$I$89,3,0)*0.475*44/12</f>
        <v>8.9246450711450494E-5</v>
      </c>
      <c r="AC63" s="24">
        <f t="shared" si="3"/>
        <v>11.696893491041779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245.25496369542458</v>
      </c>
      <c r="AO63" s="62">
        <f t="shared" si="36"/>
        <v>342.30266518164211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174.35897435897436</v>
      </c>
      <c r="BB63" s="13">
        <f>VLOOKUP(A63,'Données projet'!$A$87:$I$107,9,0)</f>
        <v>4.2307692307692317</v>
      </c>
      <c r="BC63" s="13">
        <f t="array" ref="BC63">INDEX(BB:BB,MIN(IF(ISNUMBER(BB63:BB259),ROW(BB63:BB259),"")))</f>
        <v>4.2307692307692317</v>
      </c>
      <c r="BD63" s="13">
        <f>IF('Données projet'!$A$88&gt;35,BD62+BC63-BL62,IF(A63&lt;'Données projet'!$A$88,$BA$205^A63,IF(A63='Données projet'!$A$88,'Données projet'!$B$88,BD62+BC63-BL62)))</f>
        <v>174.35897435897425</v>
      </c>
      <c r="BE63" s="14">
        <f>BD63*VLOOKUP('Données projet'!$B$11,Paramètres!$A$1:$I$89,3,0)*VLOOKUP('Données projet'!$B$11,Paramètres!$A$1:$I$89,5,0)</f>
        <v>182.23999999999992</v>
      </c>
      <c r="BF63" s="14">
        <f t="shared" si="37"/>
        <v>45.820185613006778</v>
      </c>
      <c r="BG63" s="22">
        <f t="shared" si="7"/>
        <v>397.20482327598666</v>
      </c>
      <c r="BH63" s="62">
        <f t="shared" si="8"/>
        <v>690.53815660931991</v>
      </c>
      <c r="BI63" s="62">
        <f ca="1">AVERAGE(OFFSET($BH$3,0,0,'Données projet'!$E$11+1,1))-AVERAGE(OFFSET($H$3,0,0,'Données projet'!$E$11+1,1))</f>
        <v>377.78532142539677</v>
      </c>
      <c r="BJ63" s="62">
        <f t="shared" si="38"/>
        <v>234.27695813539111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19.23076923076923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162</v>
      </c>
      <c r="BW63" s="13">
        <f>VLOOKUP(A63,'Données projet'!$A$113:$I$133,9,0)</f>
        <v>5.4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161.99999999999997</v>
      </c>
      <c r="BZ63" s="14">
        <f>BY63*VLOOKUP('Données projet'!$B$12,Paramètres!$A$1:$I$89,3,0)*VLOOKUP('Données projet'!$B$12,Paramètres!$A$1:$I$89,5,0)</f>
        <v>164.26799999999997</v>
      </c>
      <c r="CA63" s="14">
        <f t="shared" si="39"/>
        <v>41.803694835525619</v>
      </c>
      <c r="CB63" s="22">
        <f t="shared" si="10"/>
        <v>358.90820183854038</v>
      </c>
      <c r="CC63" s="62">
        <f t="shared" si="11"/>
        <v>652.24153517187369</v>
      </c>
      <c r="CD63" s="62">
        <f ca="1">AVERAGE(OFFSET($CC$3,0,0,'Données projet'!$E$12+1,1))-AVERAGE(OFFSET($H$3,0,0,'Données projet'!$E$12+1,1))</f>
        <v>360.32217613090035</v>
      </c>
      <c r="CE63" s="62">
        <f t="shared" si="40"/>
        <v>159.6134369231965</v>
      </c>
      <c r="CF63" s="16">
        <f>IF(ISNA(VLOOKUP(A63,'Données projet'!$A$113:$I$133,3,0)),0,VLOOKUP(A63,'Données projet'!$A$113:$I$133,3,0))</f>
        <v>3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10.769230769230768</v>
      </c>
      <c r="CT63" s="13">
        <f>IF('Données projet'!$A$140&gt;35,CT62+CS63-DB62,IF(A63&lt;'Données projet'!$A$140,$CQ$205^A63,IF(A63='Données projet'!$A$140,'Données projet'!$B$140,CT62+CS63-DB62)))</f>
        <v>318.4615384615384</v>
      </c>
      <c r="CU63" s="18">
        <f>CT63*VLOOKUP('Données projet'!$B$13,Paramètres!$A$1:$I$89,3,0)*VLOOKUP('Données projet'!$B$13,Paramètres!$A$1:$I$89,5,0)</f>
        <v>149.03999999999996</v>
      </c>
      <c r="CV63" s="14">
        <f t="shared" si="41"/>
        <v>38.360340720309644</v>
      </c>
      <c r="CW63" s="22">
        <f t="shared" si="13"/>
        <v>326.38892675453917</v>
      </c>
      <c r="CX63" s="62">
        <f t="shared" si="14"/>
        <v>619.72226008787243</v>
      </c>
      <c r="CY63" s="62">
        <f ca="1">AVERAGE(OFFSET($CX$3,0,0,'Données projet'!$E$13+1,1))-AVERAGE(OFFSET($H$3,0,0,'Données projet'!$E$13+1,1))</f>
        <v>246.64907095367749</v>
      </c>
      <c r="CZ63" s="62">
        <f t="shared" si="42"/>
        <v>145.34368562171613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207.03241199974599</v>
      </c>
      <c r="T64" s="62">
        <f t="shared" si="34"/>
        <v>314.188568589113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7.3069742355438239</v>
      </c>
      <c r="AA64" s="23">
        <f>EXP(-LN(2)/25)*AA63+(1-EXP(-LN(2)/25))/(LN(2)/25)*Calculateur!V64*Calculateur!X64*VLOOKUP('Données projet'!$B$9,Paramètres!$A$1:$I$89,3,0)*0.475*44/12</f>
        <v>4.1276351453609648</v>
      </c>
      <c r="AB64" s="23">
        <f>EXP(-LN(2)/2)*AB63+(1-EXP(-LN(2)/2))/(LN(2)/2)*V64*Y64*VLOOKUP('Données projet'!$B$9,Paramètres!$A$1:$I$89,3,0)*0.475*44/12</f>
        <v>6.3106770494897622E-5</v>
      </c>
      <c r="AC64" s="24">
        <f t="shared" si="3"/>
        <v>11.434672487675284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245.25496369542458</v>
      </c>
      <c r="AO64" s="62">
        <f t="shared" si="36"/>
        <v>342.30266518164211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3.9743589743589722</v>
      </c>
      <c r="BD64" s="13">
        <f>IF('Données projet'!$A$88&gt;35,BD63+BC64-BL63,IF(A64&lt;'Données projet'!$A$88,$BA$205^A64,IF(A64='Données projet'!$A$88,'Données projet'!$B$88,BD63+BC64-BL63)))</f>
        <v>159.102564102564</v>
      </c>
      <c r="BE64" s="14">
        <f>BD64*VLOOKUP('Données projet'!$B$11,Paramètres!$A$1:$I$89,3,0)*VLOOKUP('Données projet'!$B$11,Paramètres!$A$1:$I$89,5,0)</f>
        <v>166.29399999999993</v>
      </c>
      <c r="BF64" s="14">
        <f t="shared" si="37"/>
        <v>42.258941127557407</v>
      </c>
      <c r="BG64" s="22">
        <f t="shared" si="7"/>
        <v>363.22970579716235</v>
      </c>
      <c r="BH64" s="62">
        <f t="shared" si="8"/>
        <v>656.56303913049567</v>
      </c>
      <c r="BI64" s="62">
        <f ca="1">AVERAGE(OFFSET($BH$3,0,0,'Données projet'!$E$11+1,1))-AVERAGE(OFFSET($H$3,0,0,'Données projet'!$E$11+1,1))</f>
        <v>377.78532142539677</v>
      </c>
      <c r="BJ64" s="62">
        <f t="shared" si="38"/>
        <v>234.27695813539111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5.4</v>
      </c>
      <c r="BY64" s="13">
        <f>IF('Données projet'!$A$114&gt;35,BY63+BX64-CG63,IF(A64&lt;'Données projet'!$A$114,$BV$205^A64,IF(A64='Données projet'!$A$114,'Données projet'!$B$114,BY63+BX64-CG63)))</f>
        <v>139.39999999999998</v>
      </c>
      <c r="BZ64" s="14">
        <f>BY64*VLOOKUP('Données projet'!$B$12,Paramètres!$A$1:$I$89,3,0)*VLOOKUP('Données projet'!$B$12,Paramètres!$A$1:$I$89,5,0)</f>
        <v>141.35159999999999</v>
      </c>
      <c r="CA64" s="14">
        <f t="shared" si="39"/>
        <v>36.606464720907098</v>
      </c>
      <c r="CB64" s="22">
        <f t="shared" si="10"/>
        <v>309.94362938891317</v>
      </c>
      <c r="CC64" s="62">
        <f t="shared" si="11"/>
        <v>603.27696272224648</v>
      </c>
      <c r="CD64" s="62">
        <f ca="1">AVERAGE(OFFSET($CC$3,0,0,'Données projet'!$E$12+1,1))-AVERAGE(OFFSET($H$3,0,0,'Données projet'!$E$12+1,1))</f>
        <v>360.32217613090035</v>
      </c>
      <c r="CE64" s="62">
        <f t="shared" si="40"/>
        <v>159.6134369231965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10.769230769230768</v>
      </c>
      <c r="CT64" s="13">
        <f>IF('Données projet'!$A$140&gt;35,CT63+CS64-DB63,IF(A64&lt;'Données projet'!$A$140,$CQ$205^A64,IF(A64='Données projet'!$A$140,'Données projet'!$B$140,CT63+CS64-DB63)))</f>
        <v>329.23076923076917</v>
      </c>
      <c r="CU64" s="18">
        <f>CT64*VLOOKUP('Données projet'!$B$13,Paramètres!$A$1:$I$89,3,0)*VLOOKUP('Données projet'!$B$13,Paramètres!$A$1:$I$89,5,0)</f>
        <v>154.07999999999998</v>
      </c>
      <c r="CV64" s="14">
        <f t="shared" si="41"/>
        <v>39.504327121889922</v>
      </c>
      <c r="CW64" s="22">
        <f t="shared" si="13"/>
        <v>337.15936973729157</v>
      </c>
      <c r="CX64" s="62">
        <f t="shared" si="14"/>
        <v>630.49270307062488</v>
      </c>
      <c r="CY64" s="62">
        <f ca="1">AVERAGE(OFFSET($CX$3,0,0,'Données projet'!$E$13+1,1))-AVERAGE(OFFSET($H$3,0,0,'Données projet'!$E$13+1,1))</f>
        <v>246.64907095367749</v>
      </c>
      <c r="CZ64" s="62">
        <f t="shared" si="42"/>
        <v>145.34368562171613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207.03241199974599</v>
      </c>
      <c r="T65" s="62">
        <f t="shared" si="34"/>
        <v>314.188568589113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7.1636889275990194</v>
      </c>
      <c r="AA65" s="23">
        <f>EXP(-LN(2)/25)*AA64+(1-EXP(-LN(2)/25))/(LN(2)/25)*Calculateur!V65*Calculateur!X65*VLOOKUP('Données projet'!$B$9,Paramètres!$A$1:$I$89,3,0)*0.475*44/12</f>
        <v>4.0147647452481703</v>
      </c>
      <c r="AB65" s="23">
        <f>EXP(-LN(2)/2)*AB64+(1-EXP(-LN(2)/2))/(LN(2)/2)*V65*Y65*VLOOKUP('Données projet'!$B$9,Paramètres!$A$1:$I$89,3,0)*0.475*44/12</f>
        <v>4.4623225355725247E-5</v>
      </c>
      <c r="AC65" s="24">
        <f t="shared" si="3"/>
        <v>11.178498296072547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245.25496369542458</v>
      </c>
      <c r="AO65" s="62">
        <f t="shared" si="36"/>
        <v>342.30266518164211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3.9743589743589722</v>
      </c>
      <c r="BD65" s="13">
        <f>IF('Données projet'!$A$88&gt;35,BD64+BC65-BL64,IF(A65&lt;'Données projet'!$A$88,$BA$205^A65,IF(A65='Données projet'!$A$88,'Données projet'!$B$88,BD64+BC65-BL64)))</f>
        <v>163.07692307692298</v>
      </c>
      <c r="BE65" s="14">
        <f>BD65*VLOOKUP('Données projet'!$B$11,Paramètres!$A$1:$I$89,3,0)*VLOOKUP('Données projet'!$B$11,Paramètres!$A$1:$I$89,5,0)</f>
        <v>170.44799999999992</v>
      </c>
      <c r="BF65" s="14">
        <f t="shared" si="37"/>
        <v>43.190345308259261</v>
      </c>
      <c r="BG65" s="22">
        <f t="shared" si="7"/>
        <v>372.08678474521804</v>
      </c>
      <c r="BH65" s="62">
        <f t="shared" si="8"/>
        <v>665.42011807855135</v>
      </c>
      <c r="BI65" s="62">
        <f ca="1">AVERAGE(OFFSET($BH$3,0,0,'Données projet'!$E$11+1,1))-AVERAGE(OFFSET($H$3,0,0,'Données projet'!$E$11+1,1))</f>
        <v>377.78532142539677</v>
      </c>
      <c r="BJ65" s="62">
        <f t="shared" si="38"/>
        <v>234.27695813539111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5.4</v>
      </c>
      <c r="BY65" s="13">
        <f>IF('Données projet'!$A$114&gt;35,BY64+BX65-CG64,IF(A65&lt;'Données projet'!$A$114,$BV$205^A65,IF(A65='Données projet'!$A$114,'Données projet'!$B$114,BY64+BX65-CG64)))</f>
        <v>144.79999999999998</v>
      </c>
      <c r="BZ65" s="14">
        <f>BY65*VLOOKUP('Données projet'!$B$12,Paramètres!$A$1:$I$89,3,0)*VLOOKUP('Données projet'!$B$12,Paramètres!$A$1:$I$89,5,0)</f>
        <v>146.82719999999998</v>
      </c>
      <c r="CA65" s="14">
        <f t="shared" si="39"/>
        <v>37.856660748046984</v>
      </c>
      <c r="CB65" s="22">
        <f t="shared" si="10"/>
        <v>321.6577241361818</v>
      </c>
      <c r="CC65" s="62">
        <f t="shared" si="11"/>
        <v>614.99105746951511</v>
      </c>
      <c r="CD65" s="62">
        <f ca="1">AVERAGE(OFFSET($CC$3,0,0,'Données projet'!$E$12+1,1))-AVERAGE(OFFSET($H$3,0,0,'Données projet'!$E$12+1,1))</f>
        <v>360.32217613090035</v>
      </c>
      <c r="CE65" s="62">
        <f t="shared" si="40"/>
        <v>159.6134369231965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10.769230769230768</v>
      </c>
      <c r="CT65" s="13">
        <f>IF('Données projet'!$A$140&gt;35,CT64+CS65-DB64,IF(A65&lt;'Données projet'!$A$140,$CQ$205^A65,IF(A65='Données projet'!$A$140,'Données projet'!$B$140,CT64+CS65-DB64)))</f>
        <v>339.99999999999994</v>
      </c>
      <c r="CU65" s="18">
        <f>CT65*VLOOKUP('Données projet'!$B$13,Paramètres!$A$1:$I$89,3,0)*VLOOKUP('Données projet'!$B$13,Paramètres!$A$1:$I$89,5,0)</f>
        <v>159.11999999999998</v>
      </c>
      <c r="CV65" s="14">
        <f t="shared" si="41"/>
        <v>40.643965284387697</v>
      </c>
      <c r="CW65" s="22">
        <f t="shared" si="13"/>
        <v>347.92223953697516</v>
      </c>
      <c r="CX65" s="62">
        <f t="shared" si="14"/>
        <v>641.25557287030847</v>
      </c>
      <c r="CY65" s="62">
        <f ca="1">AVERAGE(OFFSET($CX$3,0,0,'Données projet'!$E$13+1,1))-AVERAGE(OFFSET($H$3,0,0,'Données projet'!$E$13+1,1))</f>
        <v>246.64907095367749</v>
      </c>
      <c r="CZ65" s="62">
        <f t="shared" si="42"/>
        <v>145.34368562171613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207.03241199974599</v>
      </c>
      <c r="T66" s="62">
        <f t="shared" si="34"/>
        <v>314.188568589113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7.0232133571476041</v>
      </c>
      <c r="AA66" s="23">
        <f>EXP(-LN(2)/25)*AA65+(1-EXP(-LN(2)/25))/(LN(2)/25)*Calculateur!V66*Calculateur!X66*VLOOKUP('Données projet'!$B$9,Paramètres!$A$1:$I$89,3,0)*0.475*44/12</f>
        <v>3.904980792162057</v>
      </c>
      <c r="AB66" s="23">
        <f>EXP(-LN(2)/2)*AB65+(1-EXP(-LN(2)/2))/(LN(2)/2)*V66*Y66*VLOOKUP('Données projet'!$B$9,Paramètres!$A$1:$I$89,3,0)*0.475*44/12</f>
        <v>3.1553385247448811E-5</v>
      </c>
      <c r="AC66" s="24">
        <f t="shared" si="3"/>
        <v>10.928225702694908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245.25496369542458</v>
      </c>
      <c r="AO66" s="62">
        <f t="shared" si="36"/>
        <v>342.30266518164211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3.9743589743589722</v>
      </c>
      <c r="BD66" s="13">
        <f>IF('Données projet'!$A$88&gt;35,BD65+BC66-BL65,IF(A66&lt;'Données projet'!$A$88,$BA$205^A66,IF(A66='Données projet'!$A$88,'Données projet'!$B$88,BD65+BC66-BL65)))</f>
        <v>167.05128205128196</v>
      </c>
      <c r="BE66" s="14">
        <f>BD66*VLOOKUP('Données projet'!$B$11,Paramètres!$A$1:$I$89,3,0)*VLOOKUP('Données projet'!$B$11,Paramètres!$A$1:$I$89,5,0)</f>
        <v>174.60199999999992</v>
      </c>
      <c r="BF66" s="14">
        <f t="shared" si="37"/>
        <v>44.119110756694013</v>
      </c>
      <c r="BG66" s="22">
        <f t="shared" si="7"/>
        <v>380.93926790124192</v>
      </c>
      <c r="BH66" s="62">
        <f t="shared" si="8"/>
        <v>674.27260123457518</v>
      </c>
      <c r="BI66" s="62">
        <f ca="1">AVERAGE(OFFSET($BH$3,0,0,'Données projet'!$E$11+1,1))-AVERAGE(OFFSET($H$3,0,0,'Données projet'!$E$11+1,1))</f>
        <v>377.78532142539677</v>
      </c>
      <c r="BJ66" s="62">
        <f t="shared" si="38"/>
        <v>234.27695813539111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5.4</v>
      </c>
      <c r="BY66" s="13">
        <f>IF('Données projet'!$A$114&gt;35,BY65+BX66-CG65,IF(A66&lt;'Données projet'!$A$114,$BV$205^A66,IF(A66='Données projet'!$A$114,'Données projet'!$B$114,BY65+BX66-CG65)))</f>
        <v>150.19999999999999</v>
      </c>
      <c r="BZ66" s="14">
        <f>BY66*VLOOKUP('Données projet'!$B$12,Paramètres!$A$1:$I$89,3,0)*VLOOKUP('Données projet'!$B$12,Paramètres!$A$1:$I$89,5,0)</f>
        <v>152.30279999999999</v>
      </c>
      <c r="CA66" s="14">
        <f t="shared" si="39"/>
        <v>39.101440255006928</v>
      </c>
      <c r="CB66" s="22">
        <f t="shared" si="10"/>
        <v>333.3623851108037</v>
      </c>
      <c r="CC66" s="62">
        <f t="shared" si="11"/>
        <v>626.69571844413701</v>
      </c>
      <c r="CD66" s="62">
        <f ca="1">AVERAGE(OFFSET($CC$3,0,0,'Données projet'!$E$12+1,1))-AVERAGE(OFFSET($H$3,0,0,'Données projet'!$E$12+1,1))</f>
        <v>360.32217613090035</v>
      </c>
      <c r="CE66" s="62">
        <f t="shared" si="40"/>
        <v>159.6134369231965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350.76923076923077</v>
      </c>
      <c r="CR66" s="13">
        <f>VLOOKUP(A66,'Données projet'!$A$139:$I$159,9,0)</f>
        <v>10.769230769230768</v>
      </c>
      <c r="CS66" s="13">
        <f t="array" ref="CS66">INDEX(CR:CR,MIN(IF(ISNUMBER(CR66:CR262),ROW(CR66:CR262),"")))</f>
        <v>10.769230769230768</v>
      </c>
      <c r="CT66" s="13">
        <f>IF('Données projet'!$A$140&gt;35,CT65+CS66-DB65,IF(A66&lt;'Données projet'!$A$140,$CQ$205^A66,IF(A66='Données projet'!$A$140,'Données projet'!$B$140,CT65+CS66-DB65)))</f>
        <v>350.76923076923072</v>
      </c>
      <c r="CU66" s="18">
        <f>CT66*VLOOKUP('Données projet'!$B$13,Paramètres!$A$1:$I$89,3,0)*VLOOKUP('Données projet'!$B$13,Paramètres!$A$1:$I$89,5,0)</f>
        <v>164.15999999999997</v>
      </c>
      <c r="CV66" s="14">
        <f t="shared" si="41"/>
        <v>41.779408735262933</v>
      </c>
      <c r="CW66" s="22">
        <f t="shared" si="13"/>
        <v>358.67780354724954</v>
      </c>
      <c r="CX66" s="62">
        <f t="shared" si="14"/>
        <v>652.01113688058285</v>
      </c>
      <c r="CY66" s="62">
        <f ca="1">AVERAGE(OFFSET($CX$3,0,0,'Données projet'!$E$13+1,1))-AVERAGE(OFFSET($H$3,0,0,'Données projet'!$E$13+1,1))</f>
        <v>246.64907095367749</v>
      </c>
      <c r="CZ66" s="62">
        <f t="shared" si="42"/>
        <v>145.34368562171613</v>
      </c>
      <c r="DA66" s="16">
        <f>IF(ISNA(VLOOKUP(A66,'Données projet'!$A$139:$I$159,3,0)),0,VLOOKUP(A66,'Données projet'!$A$139:$I$159,3,0))</f>
        <v>2</v>
      </c>
      <c r="DB66" s="16">
        <f>IF(ISNA(VLOOKUP(A66,'Données projet'!$A$139:$I$159,4,0)),0,VLOOKUP(A66,'Données projet'!$A$139:$I$159,4,0))</f>
        <v>108.46153846153845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207.03241199974599</v>
      </c>
      <c r="T67" s="62">
        <f t="shared" si="34"/>
        <v>314.188568589113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6.8854924269511031</v>
      </c>
      <c r="AA67" s="23">
        <f>EXP(-LN(2)/25)*AA66+(1-EXP(-LN(2)/25))/(LN(2)/25)*Calculateur!V67*Calculateur!X67*VLOOKUP('Données projet'!$B$9,Paramètres!$A$1:$I$89,3,0)*0.475*44/12</f>
        <v>3.7981988870463708</v>
      </c>
      <c r="AB67" s="23">
        <f>EXP(-LN(2)/2)*AB66+(1-EXP(-LN(2)/2))/(LN(2)/2)*V67*Y67*VLOOKUP('Données projet'!$B$9,Paramètres!$A$1:$I$89,3,0)*0.475*44/12</f>
        <v>2.2311612677862624E-5</v>
      </c>
      <c r="AC67" s="24">
        <f t="shared" si="3"/>
        <v>10.683713625610153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245.25496369542458</v>
      </c>
      <c r="AO67" s="62">
        <f t="shared" si="36"/>
        <v>342.30266518164211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3.9743589743589722</v>
      </c>
      <c r="BD67" s="13">
        <f>IF('Données projet'!$A$88&gt;35,BD66+BC67-BL66,IF(A67&lt;'Données projet'!$A$88,$BA$205^A67,IF(A67='Données projet'!$A$88,'Données projet'!$B$88,BD66+BC67-BL66)))</f>
        <v>171.02564102564094</v>
      </c>
      <c r="BE67" s="14">
        <f>BD67*VLOOKUP('Données projet'!$B$11,Paramètres!$A$1:$I$89,3,0)*VLOOKUP('Données projet'!$B$11,Paramètres!$A$1:$I$89,5,0)</f>
        <v>178.75599999999994</v>
      </c>
      <c r="BF67" s="14">
        <f t="shared" si="37"/>
        <v>45.045307475445441</v>
      </c>
      <c r="BG67" s="22">
        <f t="shared" si="7"/>
        <v>389.78727718640067</v>
      </c>
      <c r="BH67" s="62">
        <f t="shared" si="8"/>
        <v>683.12061051973399</v>
      </c>
      <c r="BI67" s="62">
        <f ca="1">AVERAGE(OFFSET($BH$3,0,0,'Données projet'!$E$11+1,1))-AVERAGE(OFFSET($H$3,0,0,'Données projet'!$E$11+1,1))</f>
        <v>377.78532142539677</v>
      </c>
      <c r="BJ67" s="62">
        <f t="shared" si="38"/>
        <v>234.27695813539111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5.4</v>
      </c>
      <c r="BY67" s="13">
        <f>IF('Données projet'!$A$114&gt;35,BY66+BX67-CG66,IF(A67&lt;'Données projet'!$A$114,$BV$205^A67,IF(A67='Données projet'!$A$114,'Données projet'!$B$114,BY66+BX67-CG66)))</f>
        <v>155.6</v>
      </c>
      <c r="BZ67" s="14">
        <f>BY67*VLOOKUP('Données projet'!$B$12,Paramètres!$A$1:$I$89,3,0)*VLOOKUP('Données projet'!$B$12,Paramètres!$A$1:$I$89,5,0)</f>
        <v>157.7784</v>
      </c>
      <c r="CA67" s="14">
        <f t="shared" si="39"/>
        <v>40.341020284861102</v>
      </c>
      <c r="CB67" s="22">
        <f t="shared" si="10"/>
        <v>345.05799032946646</v>
      </c>
      <c r="CC67" s="62">
        <f t="shared" si="11"/>
        <v>638.39132366279978</v>
      </c>
      <c r="CD67" s="62">
        <f ca="1">AVERAGE(OFFSET($CC$3,0,0,'Données projet'!$E$12+1,1))-AVERAGE(OFFSET($H$3,0,0,'Données projet'!$E$12+1,1))</f>
        <v>360.32217613090035</v>
      </c>
      <c r="CE67" s="62">
        <f t="shared" si="40"/>
        <v>159.6134369231965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9.8717948717948705</v>
      </c>
      <c r="CT67" s="13">
        <f>IF('Données projet'!$A$140&gt;35,CT66+CS67-DB66,IF(A67&lt;'Données projet'!$A$140,$CQ$205^A67,IF(A67='Données projet'!$A$140,'Données projet'!$B$140,CT66+CS67-DB66)))</f>
        <v>252.17948717948713</v>
      </c>
      <c r="CU67" s="18">
        <f>CT67*VLOOKUP('Données projet'!$B$13,Paramètres!$A$1:$I$89,3,0)*VLOOKUP('Données projet'!$B$13,Paramètres!$A$1:$I$89,5,0)</f>
        <v>118.01999999999998</v>
      </c>
      <c r="CV67" s="14">
        <f t="shared" si="41"/>
        <v>31.212750593480965</v>
      </c>
      <c r="CW67" s="22">
        <f t="shared" si="13"/>
        <v>259.91370728364598</v>
      </c>
      <c r="CX67" s="62">
        <f t="shared" si="14"/>
        <v>553.24704061697935</v>
      </c>
      <c r="CY67" s="62">
        <f ca="1">AVERAGE(OFFSET($CX$3,0,0,'Données projet'!$E$13+1,1))-AVERAGE(OFFSET($H$3,0,0,'Données projet'!$E$13+1,1))</f>
        <v>246.64907095367749</v>
      </c>
      <c r="CZ67" s="62">
        <f t="shared" si="42"/>
        <v>145.34368562171613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207.03241199974599</v>
      </c>
      <c r="T68" s="62">
        <f t="shared" si="34"/>
        <v>314.188568589113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6.7504721201942832</v>
      </c>
      <c r="AA68" s="23">
        <f>EXP(-LN(2)/25)*AA67+(1-EXP(-LN(2)/25))/(LN(2)/25)*Calculateur!V68*Calculateur!X68*VLOOKUP('Données projet'!$B$9,Paramètres!$A$1:$I$89,3,0)*0.475*44/12</f>
        <v>3.6943369387414893</v>
      </c>
      <c r="AB68" s="23">
        <f>EXP(-LN(2)/2)*AB67+(1-EXP(-LN(2)/2))/(LN(2)/2)*V68*Y68*VLOOKUP('Données projet'!$B$9,Paramètres!$A$1:$I$89,3,0)*0.475*44/12</f>
        <v>1.5776692623724406E-5</v>
      </c>
      <c r="AC68" s="24">
        <f t="shared" ref="AC68:AC131" si="57">SUM(Z68:AB68)</f>
        <v>10.444824835628397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245.25496369542458</v>
      </c>
      <c r="AO68" s="62">
        <f t="shared" si="36"/>
        <v>342.30266518164211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175</v>
      </c>
      <c r="BB68" s="13">
        <f>VLOOKUP(A68,'Données projet'!$A$87:$I$107,9,0)</f>
        <v>3.9743589743589722</v>
      </c>
      <c r="BC68" s="13">
        <f t="array" ref="BC68">INDEX(BB:BB,MIN(IF(ISNUMBER(BB68:BB264),ROW(BB68:BB264),"")))</f>
        <v>3.9743589743589722</v>
      </c>
      <c r="BD68" s="13">
        <f>IF('Données projet'!$A$88&gt;35,BD67+BC68-BL67,IF(A68&lt;'Données projet'!$A$88,$BA$205^A68,IF(A68='Données projet'!$A$88,'Données projet'!$B$88,BD67+BC68-BL67)))</f>
        <v>174.99999999999991</v>
      </c>
      <c r="BE68" s="14">
        <f>BD68*VLOOKUP('Données projet'!$B$11,Paramètres!$A$1:$I$89,3,0)*VLOOKUP('Données projet'!$B$11,Paramètres!$A$1:$I$89,5,0)</f>
        <v>182.90999999999991</v>
      </c>
      <c r="BF68" s="14">
        <f t="shared" si="37"/>
        <v>45.969002027971243</v>
      </c>
      <c r="BG68" s="22">
        <f t="shared" ref="BG68:BG131" si="61">(BE68+BF68)*0.475*44/12</f>
        <v>398.63092853204972</v>
      </c>
      <c r="BH68" s="62">
        <f t="shared" ref="BH68:BH131" si="62">BG68+(AY68+AZ68)*44/12</f>
        <v>691.96426186538304</v>
      </c>
      <c r="BI68" s="62">
        <f ca="1">AVERAGE(OFFSET($BH$3,0,0,'Données projet'!$E$11+1,1))-AVERAGE(OFFSET($H$3,0,0,'Données projet'!$E$11+1,1))</f>
        <v>377.78532142539677</v>
      </c>
      <c r="BJ68" s="62">
        <f t="shared" si="38"/>
        <v>234.27695813539111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5.4</v>
      </c>
      <c r="BX68" s="13">
        <f t="array" ref="BX68">INDEX(BW:BW,MIN(IF(ISNUMBER(BW68:BW264),ROW(BW68:BW264),"")))</f>
        <v>5.4</v>
      </c>
      <c r="BY68" s="13">
        <f>IF('Données projet'!$A$114&gt;35,BY67+BX68-CG67,IF(A68&lt;'Données projet'!$A$114,$BV$205^A68,IF(A68='Données projet'!$A$114,'Données projet'!$B$114,BY67+BX68-CG67)))</f>
        <v>161</v>
      </c>
      <c r="BZ68" s="14">
        <f>BY68*VLOOKUP('Données projet'!$B$12,Paramètres!$A$1:$I$89,3,0)*VLOOKUP('Données projet'!$B$12,Paramètres!$A$1:$I$89,5,0)</f>
        <v>163.25400000000002</v>
      </c>
      <c r="CA68" s="14">
        <f t="shared" si="39"/>
        <v>41.575601961656915</v>
      </c>
      <c r="CB68" s="22">
        <f t="shared" ref="CB68:CB131" si="64">(BZ68+CA68)*0.475*44/12</f>
        <v>356.7448900832191</v>
      </c>
      <c r="CC68" s="62">
        <f t="shared" ref="CC68:CC131" si="65">CB68+(BT68+BU68)*44/12</f>
        <v>650.07822341655242</v>
      </c>
      <c r="CD68" s="62">
        <f ca="1">AVERAGE(OFFSET($CC$3,0,0,'Données projet'!$E$12+1,1))-AVERAGE(OFFSET($H$3,0,0,'Données projet'!$E$12+1,1))</f>
        <v>360.32217613090035</v>
      </c>
      <c r="CE68" s="62">
        <f t="shared" si="40"/>
        <v>159.6134369231965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9.8717948717948705</v>
      </c>
      <c r="CT68" s="13">
        <f>IF('Données projet'!$A$140&gt;35,CT67+CS68-DB67,IF(A68&lt;'Données projet'!$A$140,$CQ$205^A68,IF(A68='Données projet'!$A$140,'Données projet'!$B$140,CT67+CS68-DB67)))</f>
        <v>262.05128205128199</v>
      </c>
      <c r="CU68" s="18">
        <f>CT68*VLOOKUP('Données projet'!$B$13,Paramètres!$A$1:$I$89,3,0)*VLOOKUP('Données projet'!$B$13,Paramètres!$A$1:$I$89,5,0)</f>
        <v>122.63999999999997</v>
      </c>
      <c r="CV68" s="14">
        <f t="shared" si="41"/>
        <v>32.289953931572668</v>
      </c>
      <c r="CW68" s="22">
        <f t="shared" ref="CW68:CW131" si="67">(CU68+CV68)*0.475*44/12</f>
        <v>269.83633643082231</v>
      </c>
      <c r="CX68" s="62">
        <f t="shared" ref="CX68:CX131" si="68">CW68+(CO68+CP68)*44/12</f>
        <v>563.16966976415563</v>
      </c>
      <c r="CY68" s="62">
        <f ca="1">AVERAGE(OFFSET($CX$3,0,0,'Données projet'!$E$13+1,1))-AVERAGE(OFFSET($H$3,0,0,'Données projet'!$E$13+1,1))</f>
        <v>246.64907095367749</v>
      </c>
      <c r="CZ68" s="62">
        <f t="shared" si="42"/>
        <v>145.34368562171613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207.03241199974599</v>
      </c>
      <c r="T69" s="62">
        <f t="shared" ref="T69:T132" si="88">$T$3</f>
        <v>314.188568589113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6.6180994792987091</v>
      </c>
      <c r="AA69" s="23">
        <f>EXP(-LN(2)/25)*AA68+(1-EXP(-LN(2)/25))/(LN(2)/25)*Calculateur!V69*Calculateur!X69*VLOOKUP('Données projet'!$B$9,Paramètres!$A$1:$I$89,3,0)*0.475*44/12</f>
        <v>3.5933151008748672</v>
      </c>
      <c r="AB69" s="23">
        <f>EXP(-LN(2)/2)*AB68+(1-EXP(-LN(2)/2))/(LN(2)/2)*V69*Y69*VLOOKUP('Données projet'!$B$9,Paramètres!$A$1:$I$89,3,0)*0.475*44/12</f>
        <v>1.1155806338931312E-5</v>
      </c>
      <c r="AC69" s="24">
        <f t="shared" si="57"/>
        <v>10.211425735979915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245.25496369542458</v>
      </c>
      <c r="AO69" s="62">
        <f t="shared" ref="AO69:AO132" si="90">$AO$3</f>
        <v>342.30266518164211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3.8461538461538454</v>
      </c>
      <c r="BD69" s="13">
        <f>IF('Données projet'!$A$88&gt;35,BD68+BC69-BL68,IF(A69&lt;'Données projet'!$A$88,$BA$205^A69,IF(A69='Données projet'!$A$88,'Données projet'!$B$88,BD68+BC69-BL68)))</f>
        <v>178.84615384615375</v>
      </c>
      <c r="BE69" s="14">
        <f>BD69*VLOOKUP('Données projet'!$B$11,Paramètres!$A$1:$I$89,3,0)*VLOOKUP('Données projet'!$B$11,Paramètres!$A$1:$I$89,5,0)</f>
        <v>186.92999999999992</v>
      </c>
      <c r="BF69" s="14">
        <f t="shared" ref="BF69:BF132" si="91">EXP(-1.0587+0.8836*LN(BE69)+0.284)</f>
        <v>46.860577294974036</v>
      </c>
      <c r="BG69" s="22">
        <f t="shared" si="61"/>
        <v>407.18525545541297</v>
      </c>
      <c r="BH69" s="62">
        <f t="shared" si="62"/>
        <v>700.51858878874623</v>
      </c>
      <c r="BI69" s="62">
        <f ca="1">AVERAGE(OFFSET($BH$3,0,0,'Données projet'!$E$11+1,1))-AVERAGE(OFFSET($H$3,0,0,'Données projet'!$E$11+1,1))</f>
        <v>377.78532142539677</v>
      </c>
      <c r="BJ69" s="62">
        <f t="shared" ref="BJ69:BJ132" si="92">$BJ$3</f>
        <v>234.27695813539111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</v>
      </c>
      <c r="BY69" s="13">
        <f>IF('Données projet'!$A$114&gt;35,BY68+BX69-CG68,IF(A69&lt;'Données projet'!$A$114,$BV$205^A69,IF(A69='Données projet'!$A$114,'Données projet'!$B$114,BY68+BX69-CG68)))</f>
        <v>166</v>
      </c>
      <c r="BZ69" s="14">
        <f>BY69*VLOOKUP('Données projet'!$B$12,Paramètres!$A$1:$I$89,3,0)*VLOOKUP('Données projet'!$B$12,Paramètres!$A$1:$I$89,5,0)</f>
        <v>168.32400000000001</v>
      </c>
      <c r="CA69" s="14">
        <f t="shared" ref="CA69:CA132" si="93">EXP(-1.0587+0.8836*LN(BZ69)+0.284)</f>
        <v>42.71443916408608</v>
      </c>
      <c r="CB69" s="22">
        <f t="shared" si="64"/>
        <v>367.55861487745</v>
      </c>
      <c r="CC69" s="62">
        <f t="shared" si="65"/>
        <v>660.89194821078331</v>
      </c>
      <c r="CD69" s="62">
        <f ca="1">AVERAGE(OFFSET($CC$3,0,0,'Données projet'!$E$12+1,1))-AVERAGE(OFFSET($H$3,0,0,'Données projet'!$E$12+1,1))</f>
        <v>360.32217613090035</v>
      </c>
      <c r="CE69" s="62">
        <f t="shared" ref="CE69:CE132" si="94">$CE$3</f>
        <v>159.6134369231965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9.8717948717948705</v>
      </c>
      <c r="CT69" s="13">
        <f>IF('Données projet'!$A$140&gt;35,CT68+CS69-DB68,IF(A69&lt;'Données projet'!$A$140,$CQ$205^A69,IF(A69='Données projet'!$A$140,'Données projet'!$B$140,CT68+CS69-DB68)))</f>
        <v>271.92307692307685</v>
      </c>
      <c r="CU69" s="18">
        <f>CT69*VLOOKUP('Données projet'!$B$13,Paramètres!$A$1:$I$89,3,0)*VLOOKUP('Données projet'!$B$13,Paramètres!$A$1:$I$89,5,0)</f>
        <v>127.25999999999998</v>
      </c>
      <c r="CV69" s="14">
        <f t="shared" ref="CV69:CV132" si="95">EXP(-1.0587+0.8836*LN(CU69)+0.284)</f>
        <v>33.362442969975817</v>
      </c>
      <c r="CW69" s="22">
        <f t="shared" si="67"/>
        <v>279.75075483937445</v>
      </c>
      <c r="CX69" s="62">
        <f t="shared" si="68"/>
        <v>573.08408817270777</v>
      </c>
      <c r="CY69" s="62">
        <f ca="1">AVERAGE(OFFSET($CX$3,0,0,'Données projet'!$E$13+1,1))-AVERAGE(OFFSET($H$3,0,0,'Données projet'!$E$13+1,1))</f>
        <v>246.64907095367749</v>
      </c>
      <c r="CZ69" s="62">
        <f t="shared" ref="CZ69:CZ132" si="96">$CZ$3</f>
        <v>145.34368562171613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207.03241199974599</v>
      </c>
      <c r="T70" s="62">
        <f t="shared" si="88"/>
        <v>314.188568589113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6.4883225851517583</v>
      </c>
      <c r="AA70" s="23">
        <f>EXP(-LN(2)/25)*AA69+(1-EXP(-LN(2)/25))/(LN(2)/25)*Calculateur!V70*Calculateur!X70*VLOOKUP('Données projet'!$B$9,Paramètres!$A$1:$I$89,3,0)*0.475*44/12</f>
        <v>3.4950557104772155</v>
      </c>
      <c r="AB70" s="23">
        <f>EXP(-LN(2)/2)*AB69+(1-EXP(-LN(2)/2))/(LN(2)/2)*V70*Y70*VLOOKUP('Données projet'!$B$9,Paramètres!$A$1:$I$89,3,0)*0.475*44/12</f>
        <v>7.8883463118622028E-6</v>
      </c>
      <c r="AC70" s="24">
        <f t="shared" si="57"/>
        <v>9.983386183975286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245.25496369542458</v>
      </c>
      <c r="AO70" s="62">
        <f t="shared" si="90"/>
        <v>342.30266518164211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3.8461538461538454</v>
      </c>
      <c r="BD70" s="13">
        <f>IF('Données projet'!$A$88&gt;35,BD69+BC70-BL69,IF(A70&lt;'Données projet'!$A$88,$BA$205^A70,IF(A70='Données projet'!$A$88,'Données projet'!$B$88,BD69+BC70-BL69)))</f>
        <v>182.69230769230759</v>
      </c>
      <c r="BE70" s="14">
        <f>BD70*VLOOKUP('Données projet'!$B$11,Paramètres!$A$1:$I$89,3,0)*VLOOKUP('Données projet'!$B$11,Paramètres!$A$1:$I$89,5,0)</f>
        <v>190.9499999999999</v>
      </c>
      <c r="BF70" s="14">
        <f t="shared" si="91"/>
        <v>47.749923357177302</v>
      </c>
      <c r="BG70" s="22">
        <f t="shared" si="61"/>
        <v>415.73569984708359</v>
      </c>
      <c r="BH70" s="62">
        <f t="shared" si="62"/>
        <v>709.06903318041691</v>
      </c>
      <c r="BI70" s="62">
        <f ca="1">AVERAGE(OFFSET($BH$3,0,0,'Données projet'!$E$11+1,1))-AVERAGE(OFFSET($H$3,0,0,'Données projet'!$E$11+1,1))</f>
        <v>377.78532142539677</v>
      </c>
      <c r="BJ70" s="62">
        <f t="shared" si="92"/>
        <v>234.27695813539111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</v>
      </c>
      <c r="BY70" s="13">
        <f>IF('Données projet'!$A$114&gt;35,BY69+BX70-CG69,IF(A70&lt;'Données projet'!$A$114,$BV$205^A70,IF(A70='Données projet'!$A$114,'Données projet'!$B$114,BY69+BX70-CG69)))</f>
        <v>171</v>
      </c>
      <c r="BZ70" s="14">
        <f>BY70*VLOOKUP('Données projet'!$B$12,Paramètres!$A$1:$I$89,3,0)*VLOOKUP('Données projet'!$B$12,Paramètres!$A$1:$I$89,5,0)</f>
        <v>173.39400000000001</v>
      </c>
      <c r="CA70" s="14">
        <f t="shared" si="93"/>
        <v>43.849289930196633</v>
      </c>
      <c r="CB70" s="22">
        <f t="shared" si="64"/>
        <v>378.36539662842574</v>
      </c>
      <c r="CC70" s="62">
        <f t="shared" si="65"/>
        <v>671.698729961759</v>
      </c>
      <c r="CD70" s="62">
        <f ca="1">AVERAGE(OFFSET($CC$3,0,0,'Données projet'!$E$12+1,1))-AVERAGE(OFFSET($H$3,0,0,'Données projet'!$E$12+1,1))</f>
        <v>360.32217613090035</v>
      </c>
      <c r="CE70" s="62">
        <f t="shared" si="94"/>
        <v>159.6134369231965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9.8717948717948705</v>
      </c>
      <c r="CT70" s="13">
        <f>IF('Données projet'!$A$140&gt;35,CT69+CS70-DB69,IF(A70&lt;'Données projet'!$A$140,$CQ$205^A70,IF(A70='Données projet'!$A$140,'Données projet'!$B$140,CT69+CS70-DB69)))</f>
        <v>281.79487179487171</v>
      </c>
      <c r="CU70" s="18">
        <f>CT70*VLOOKUP('Données projet'!$B$13,Paramètres!$A$1:$I$89,3,0)*VLOOKUP('Données projet'!$B$13,Paramètres!$A$1:$I$89,5,0)</f>
        <v>131.87999999999994</v>
      </c>
      <c r="CV70" s="14">
        <f t="shared" si="95"/>
        <v>34.430408458396784</v>
      </c>
      <c r="CW70" s="22">
        <f t="shared" si="67"/>
        <v>289.65729473170762</v>
      </c>
      <c r="CX70" s="62">
        <f t="shared" si="68"/>
        <v>582.99062806504094</v>
      </c>
      <c r="CY70" s="62">
        <f ca="1">AVERAGE(OFFSET($CX$3,0,0,'Données projet'!$E$13+1,1))-AVERAGE(OFFSET($H$3,0,0,'Données projet'!$E$13+1,1))</f>
        <v>246.64907095367749</v>
      </c>
      <c r="CZ70" s="62">
        <f t="shared" si="96"/>
        <v>145.34368562171613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207.03241199974599</v>
      </c>
      <c r="T71" s="62">
        <f t="shared" si="88"/>
        <v>314.188568589113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6.3610905367429398</v>
      </c>
      <c r="AA71" s="23">
        <f>EXP(-LN(2)/25)*AA70+(1-EXP(-LN(2)/25))/(LN(2)/25)*Calculateur!V71*Calculateur!X71*VLOOKUP('Données projet'!$B$9,Paramètres!$A$1:$I$89,3,0)*0.475*44/12</f>
        <v>3.3994832282772243</v>
      </c>
      <c r="AB71" s="23">
        <f>EXP(-LN(2)/2)*AB70+(1-EXP(-LN(2)/2))/(LN(2)/2)*V71*Y71*VLOOKUP('Données projet'!$B$9,Paramètres!$A$1:$I$89,3,0)*0.475*44/12</f>
        <v>5.5779031694656559E-6</v>
      </c>
      <c r="AC71" s="24">
        <f t="shared" si="57"/>
        <v>9.7605793429233323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245.25496369542458</v>
      </c>
      <c r="AO71" s="62">
        <f t="shared" si="90"/>
        <v>342.30266518164211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3.8461538461538454</v>
      </c>
      <c r="BD71" s="13">
        <f>IF('Données projet'!$A$88&gt;35,BD70+BC71-BL70,IF(A71&lt;'Données projet'!$A$88,$BA$205^A71,IF(A71='Données projet'!$A$88,'Données projet'!$B$88,BD70+BC71-BL70)))</f>
        <v>186.53846153846143</v>
      </c>
      <c r="BE71" s="14">
        <f>BD71*VLOOKUP('Données projet'!$B$11,Paramètres!$A$1:$I$89,3,0)*VLOOKUP('Données projet'!$B$11,Paramètres!$A$1:$I$89,5,0)</f>
        <v>194.96999999999991</v>
      </c>
      <c r="BF71" s="14">
        <f t="shared" si="91"/>
        <v>48.637092551596893</v>
      </c>
      <c r="BG71" s="22">
        <f t="shared" si="61"/>
        <v>424.28235286069776</v>
      </c>
      <c r="BH71" s="62">
        <f t="shared" si="62"/>
        <v>717.61568619403101</v>
      </c>
      <c r="BI71" s="62">
        <f ca="1">AVERAGE(OFFSET($BH$3,0,0,'Données projet'!$E$11+1,1))-AVERAGE(OFFSET($H$3,0,0,'Données projet'!$E$11+1,1))</f>
        <v>377.78532142539677</v>
      </c>
      <c r="BJ71" s="62">
        <f t="shared" si="92"/>
        <v>234.27695813539111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</v>
      </c>
      <c r="BY71" s="13">
        <f>IF('Données projet'!$A$114&gt;35,BY70+BX71-CG70,IF(A71&lt;'Données projet'!$A$114,$BV$205^A71,IF(A71='Données projet'!$A$114,'Données projet'!$B$114,BY70+BX71-CG70)))</f>
        <v>176</v>
      </c>
      <c r="BZ71" s="14">
        <f>BY71*VLOOKUP('Données projet'!$B$12,Paramètres!$A$1:$I$89,3,0)*VLOOKUP('Données projet'!$B$12,Paramètres!$A$1:$I$89,5,0)</f>
        <v>178.46400000000003</v>
      </c>
      <c r="CA71" s="14">
        <f t="shared" si="93"/>
        <v>44.980284206661857</v>
      </c>
      <c r="CB71" s="22">
        <f t="shared" si="64"/>
        <v>389.16546165993606</v>
      </c>
      <c r="CC71" s="62">
        <f t="shared" si="65"/>
        <v>682.49879499326937</v>
      </c>
      <c r="CD71" s="62">
        <f ca="1">AVERAGE(OFFSET($CC$3,0,0,'Données projet'!$E$12+1,1))-AVERAGE(OFFSET($H$3,0,0,'Données projet'!$E$12+1,1))</f>
        <v>360.32217613090035</v>
      </c>
      <c r="CE71" s="62">
        <f t="shared" si="94"/>
        <v>159.6134369231965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9.8717948717948705</v>
      </c>
      <c r="CT71" s="13">
        <f>IF('Données projet'!$A$140&gt;35,CT70+CS71-DB70,IF(A71&lt;'Données projet'!$A$140,$CQ$205^A71,IF(A71='Données projet'!$A$140,'Données projet'!$B$140,CT70+CS71-DB70)))</f>
        <v>291.66666666666657</v>
      </c>
      <c r="CU71" s="18">
        <f>CT71*VLOOKUP('Données projet'!$B$13,Paramètres!$A$1:$I$89,3,0)*VLOOKUP('Données projet'!$B$13,Paramètres!$A$1:$I$89,5,0)</f>
        <v>136.49999999999994</v>
      </c>
      <c r="CV71" s="14">
        <f t="shared" si="95"/>
        <v>35.494027024087352</v>
      </c>
      <c r="CW71" s="22">
        <f t="shared" si="67"/>
        <v>299.55626373361866</v>
      </c>
      <c r="CX71" s="62">
        <f t="shared" si="68"/>
        <v>592.88959706695198</v>
      </c>
      <c r="CY71" s="62">
        <f ca="1">AVERAGE(OFFSET($CX$3,0,0,'Données projet'!$E$13+1,1))-AVERAGE(OFFSET($H$3,0,0,'Données projet'!$E$13+1,1))</f>
        <v>246.64907095367749</v>
      </c>
      <c r="CZ71" s="62">
        <f t="shared" si="96"/>
        <v>145.34368562171613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207.03241199974599</v>
      </c>
      <c r="T72" s="62">
        <f t="shared" si="88"/>
        <v>314.188568589113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6.2363534311995314</v>
      </c>
      <c r="AA72" s="23">
        <f>EXP(-LN(2)/25)*AA71+(1-EXP(-LN(2)/25))/(LN(2)/25)*Calculateur!V72*Calculateur!X72*VLOOKUP('Données projet'!$B$9,Paramètres!$A$1:$I$89,3,0)*0.475*44/12</f>
        <v>3.3065241806289301</v>
      </c>
      <c r="AB72" s="23">
        <f>EXP(-LN(2)/2)*AB71+(1-EXP(-LN(2)/2))/(LN(2)/2)*V72*Y72*VLOOKUP('Données projet'!$B$9,Paramètres!$A$1:$I$89,3,0)*0.475*44/12</f>
        <v>3.9441731559311014E-6</v>
      </c>
      <c r="AC72" s="24">
        <f t="shared" si="57"/>
        <v>9.5428815560016176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245.25496369542458</v>
      </c>
      <c r="AO72" s="62">
        <f t="shared" si="90"/>
        <v>342.30266518164211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3.8461538461538454</v>
      </c>
      <c r="BD72" s="13">
        <f>IF('Données projet'!$A$88&gt;35,BD71+BC72-BL71,IF(A72&lt;'Données projet'!$A$88,$BA$205^A72,IF(A72='Données projet'!$A$88,'Données projet'!$B$88,BD71+BC72-BL71)))</f>
        <v>190.38461538461527</v>
      </c>
      <c r="BE72" s="14">
        <f>BD72*VLOOKUP('Données projet'!$B$11,Paramètres!$A$1:$I$89,3,0)*VLOOKUP('Données projet'!$B$11,Paramètres!$A$1:$I$89,5,0)</f>
        <v>198.9899999999999</v>
      </c>
      <c r="BF72" s="14">
        <f t="shared" si="91"/>
        <v>49.522134933665335</v>
      </c>
      <c r="BG72" s="22">
        <f t="shared" si="61"/>
        <v>432.82530167613362</v>
      </c>
      <c r="BH72" s="62">
        <f t="shared" si="62"/>
        <v>726.15863500946693</v>
      </c>
      <c r="BI72" s="62">
        <f ca="1">AVERAGE(OFFSET($BH$3,0,0,'Données projet'!$E$11+1,1))-AVERAGE(OFFSET($H$3,0,0,'Données projet'!$E$11+1,1))</f>
        <v>377.78532142539677</v>
      </c>
      <c r="BJ72" s="62">
        <f t="shared" si="92"/>
        <v>234.27695813539111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</v>
      </c>
      <c r="BY72" s="13">
        <f>IF('Données projet'!$A$114&gt;35,BY71+BX72-CG71,IF(A72&lt;'Données projet'!$A$114,$BV$205^A72,IF(A72='Données projet'!$A$114,'Données projet'!$B$114,BY71+BX72-CG71)))</f>
        <v>181</v>
      </c>
      <c r="BZ72" s="14">
        <f>BY72*VLOOKUP('Données projet'!$B$12,Paramètres!$A$1:$I$89,3,0)*VLOOKUP('Données projet'!$B$12,Paramètres!$A$1:$I$89,5,0)</f>
        <v>183.53400000000002</v>
      </c>
      <c r="CA72" s="14">
        <f t="shared" si="93"/>
        <v>46.107544136839593</v>
      </c>
      <c r="CB72" s="22">
        <f t="shared" si="64"/>
        <v>399.95902270499568</v>
      </c>
      <c r="CC72" s="62">
        <f t="shared" si="65"/>
        <v>693.29235603832899</v>
      </c>
      <c r="CD72" s="62">
        <f ca="1">AVERAGE(OFFSET($CC$3,0,0,'Données projet'!$E$12+1,1))-AVERAGE(OFFSET($H$3,0,0,'Données projet'!$E$12+1,1))</f>
        <v>360.32217613090035</v>
      </c>
      <c r="CE72" s="62">
        <f t="shared" si="94"/>
        <v>159.6134369231965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9.8717948717948705</v>
      </c>
      <c r="CT72" s="13">
        <f>IF('Données projet'!$A$140&gt;35,CT71+CS72-DB71,IF(A72&lt;'Données projet'!$A$140,$CQ$205^A72,IF(A72='Données projet'!$A$140,'Données projet'!$B$140,CT71+CS72-DB71)))</f>
        <v>301.53846153846143</v>
      </c>
      <c r="CU72" s="18">
        <f>CT72*VLOOKUP('Données projet'!$B$13,Paramètres!$A$1:$I$89,3,0)*VLOOKUP('Données projet'!$B$13,Paramètres!$A$1:$I$89,5,0)</f>
        <v>141.11999999999995</v>
      </c>
      <c r="CV72" s="14">
        <f t="shared" si="95"/>
        <v>36.553462659686843</v>
      </c>
      <c r="CW72" s="22">
        <f t="shared" si="67"/>
        <v>309.4479474656211</v>
      </c>
      <c r="CX72" s="62">
        <f t="shared" si="68"/>
        <v>602.78128079895441</v>
      </c>
      <c r="CY72" s="62">
        <f ca="1">AVERAGE(OFFSET($CX$3,0,0,'Données projet'!$E$13+1,1))-AVERAGE(OFFSET($H$3,0,0,'Données projet'!$E$13+1,1))</f>
        <v>246.64907095367749</v>
      </c>
      <c r="CZ72" s="62">
        <f t="shared" si="96"/>
        <v>145.34368562171613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207.03241199974599</v>
      </c>
      <c r="T73" s="62">
        <f t="shared" si="88"/>
        <v>314.188568589113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6.1140623442137079</v>
      </c>
      <c r="AA73" s="23">
        <f>EXP(-LN(2)/25)*AA72+(1-EXP(-LN(2)/25))/(LN(2)/25)*Calculateur!V73*Calculateur!X73*VLOOKUP('Données projet'!$B$9,Paramètres!$A$1:$I$89,3,0)*0.475*44/12</f>
        <v>3.2161071030270825</v>
      </c>
      <c r="AB73" s="23">
        <f>EXP(-LN(2)/2)*AB72+(1-EXP(-LN(2)/2))/(LN(2)/2)*V73*Y73*VLOOKUP('Données projet'!$B$9,Paramètres!$A$1:$I$89,3,0)*0.475*44/12</f>
        <v>2.7889515847328279E-6</v>
      </c>
      <c r="AC73" s="24">
        <f t="shared" si="57"/>
        <v>9.3301722361923751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245.25496369542458</v>
      </c>
      <c r="AO73" s="62">
        <f t="shared" si="90"/>
        <v>342.30266518164211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194.23076923076923</v>
      </c>
      <c r="BB73" s="13">
        <f>VLOOKUP(A73,'Données projet'!$A$87:$I$107,9,0)</f>
        <v>3.8461538461538454</v>
      </c>
      <c r="BC73" s="13">
        <f t="array" ref="BC73">INDEX(BB:BB,MIN(IF(ISNUMBER(BB73:BB269),ROW(BB73:BB269),"")))</f>
        <v>3.8461538461538454</v>
      </c>
      <c r="BD73" s="13">
        <f>IF('Données projet'!$A$88&gt;35,BD72+BC73-BL72,IF(A73&lt;'Données projet'!$A$88,$BA$205^A73,IF(A73='Données projet'!$A$88,'Données projet'!$B$88,BD72+BC73-BL72)))</f>
        <v>194.23076923076911</v>
      </c>
      <c r="BE73" s="14">
        <f>BD73*VLOOKUP('Données projet'!$B$11,Paramètres!$A$1:$I$89,3,0)*VLOOKUP('Données projet'!$B$11,Paramètres!$A$1:$I$89,5,0)</f>
        <v>203.00999999999988</v>
      </c>
      <c r="BF73" s="14">
        <f t="shared" si="91"/>
        <v>50.405098420745524</v>
      </c>
      <c r="BG73" s="22">
        <f t="shared" si="61"/>
        <v>441.36462974946488</v>
      </c>
      <c r="BH73" s="62">
        <f t="shared" si="62"/>
        <v>734.6979630827982</v>
      </c>
      <c r="BI73" s="62">
        <f ca="1">AVERAGE(OFFSET($BH$3,0,0,'Données projet'!$E$11+1,1))-AVERAGE(OFFSET($H$3,0,0,'Données projet'!$E$11+1,1))</f>
        <v>377.78532142539677</v>
      </c>
      <c r="BJ73" s="62">
        <f t="shared" si="92"/>
        <v>234.27695813539111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18.589743589743588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186</v>
      </c>
      <c r="BW73" s="13">
        <f>VLOOKUP(A73,'Données projet'!$A$113:$I$133,9,0)</f>
        <v>5</v>
      </c>
      <c r="BX73" s="13">
        <f t="array" ref="BX73">INDEX(BW:BW,MIN(IF(ISNUMBER(BW73:BW269),ROW(BW73:BW269),"")))</f>
        <v>5</v>
      </c>
      <c r="BY73" s="13">
        <f>IF('Données projet'!$A$114&gt;35,BY72+BX73-CG72,IF(A73&lt;'Données projet'!$A$114,$BV$205^A73,IF(A73='Données projet'!$A$114,'Données projet'!$B$114,BY72+BX73-CG72)))</f>
        <v>186</v>
      </c>
      <c r="BZ73" s="14">
        <f>BY73*VLOOKUP('Données projet'!$B$12,Paramètres!$A$1:$I$89,3,0)*VLOOKUP('Données projet'!$B$12,Paramètres!$A$1:$I$89,5,0)</f>
        <v>188.60400000000001</v>
      </c>
      <c r="CA73" s="14">
        <f t="shared" si="93"/>
        <v>47.231184731814224</v>
      </c>
      <c r="CB73" s="22">
        <f t="shared" si="64"/>
        <v>410.74628007457642</v>
      </c>
      <c r="CC73" s="62">
        <f t="shared" si="65"/>
        <v>704.07961340790973</v>
      </c>
      <c r="CD73" s="62">
        <f ca="1">AVERAGE(OFFSET($CC$3,0,0,'Données projet'!$E$12+1,1))-AVERAGE(OFFSET($H$3,0,0,'Données projet'!$E$12+1,1))</f>
        <v>360.32217613090035</v>
      </c>
      <c r="CE73" s="62">
        <f t="shared" si="94"/>
        <v>159.6134369231965</v>
      </c>
      <c r="CF73" s="16">
        <f>IF(ISNA(VLOOKUP(A73,'Données projet'!$A$113:$I$133,3,0)),0,VLOOKUP(A73,'Données projet'!$A$113:$I$133,3,0))</f>
        <v>4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9.8717948717948705</v>
      </c>
      <c r="CT73" s="13">
        <f>IF('Données projet'!$A$140&gt;35,CT72+CS73-DB72,IF(A73&lt;'Données projet'!$A$140,$CQ$205^A73,IF(A73='Données projet'!$A$140,'Données projet'!$B$140,CT72+CS73-DB72)))</f>
        <v>311.4102564102563</v>
      </c>
      <c r="CU73" s="18">
        <f>CT73*VLOOKUP('Données projet'!$B$13,Paramètres!$A$1:$I$89,3,0)*VLOOKUP('Données projet'!$B$13,Paramètres!$A$1:$I$89,5,0)</f>
        <v>145.73999999999995</v>
      </c>
      <c r="CV73" s="14">
        <f t="shared" si="95"/>
        <v>37.608868010754726</v>
      </c>
      <c r="CW73" s="22">
        <f t="shared" si="67"/>
        <v>319.33261178539772</v>
      </c>
      <c r="CX73" s="62">
        <f t="shared" si="68"/>
        <v>612.66594511873109</v>
      </c>
      <c r="CY73" s="62">
        <f ca="1">AVERAGE(OFFSET($CX$3,0,0,'Données projet'!$E$13+1,1))-AVERAGE(OFFSET($H$3,0,0,'Données projet'!$E$13+1,1))</f>
        <v>246.64907095367749</v>
      </c>
      <c r="CZ73" s="62">
        <f t="shared" si="96"/>
        <v>145.34368562171613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207.03241199974599</v>
      </c>
      <c r="T74" s="62">
        <f t="shared" si="88"/>
        <v>314.188568589113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5.9941693108534784</v>
      </c>
      <c r="AA74" s="23">
        <f>EXP(-LN(2)/25)*AA73+(1-EXP(-LN(2)/25))/(LN(2)/25)*Calculateur!V74*Calculateur!X74*VLOOKUP('Données projet'!$B$9,Paramètres!$A$1:$I$89,3,0)*0.475*44/12</f>
        <v>3.1281624851670848</v>
      </c>
      <c r="AB74" s="23">
        <f>EXP(-LN(2)/2)*AB73+(1-EXP(-LN(2)/2))/(LN(2)/2)*V74*Y74*VLOOKUP('Données projet'!$B$9,Paramètres!$A$1:$I$89,3,0)*0.475*44/12</f>
        <v>1.9720865779655507E-6</v>
      </c>
      <c r="AC74" s="24">
        <f t="shared" si="57"/>
        <v>9.1223337681071417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245.25496369542458</v>
      </c>
      <c r="AO74" s="62">
        <f t="shared" si="90"/>
        <v>342.30266518164211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3.4615384615384643</v>
      </c>
      <c r="BD74" s="13">
        <f>IF('Données projet'!$A$88&gt;35,BD73+BC74-BL73,IF(A74&lt;'Données projet'!$A$88,$BA$205^A74,IF(A74='Données projet'!$A$88,'Données projet'!$B$88,BD73+BC74-BL73)))</f>
        <v>179.10256410256397</v>
      </c>
      <c r="BE74" s="14">
        <f>BD74*VLOOKUP('Données projet'!$B$11,Paramètres!$A$1:$I$89,3,0)*VLOOKUP('Données projet'!$B$11,Paramètres!$A$1:$I$89,5,0)</f>
        <v>187.19799999999989</v>
      </c>
      <c r="BF74" s="14">
        <f t="shared" si="91"/>
        <v>46.919935793880072</v>
      </c>
      <c r="BG74" s="22">
        <f t="shared" si="61"/>
        <v>407.75540484100753</v>
      </c>
      <c r="BH74" s="62">
        <f t="shared" si="62"/>
        <v>701.08873817434085</v>
      </c>
      <c r="BI74" s="62">
        <f ca="1">AVERAGE(OFFSET($BH$3,0,0,'Données projet'!$E$11+1,1))-AVERAGE(OFFSET($H$3,0,0,'Données projet'!$E$11+1,1))</f>
        <v>377.78532142539677</v>
      </c>
      <c r="BJ74" s="62">
        <f t="shared" si="92"/>
        <v>234.27695813539111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</v>
      </c>
      <c r="BY74" s="13">
        <f>IF('Données projet'!$A$114&gt;35,BY73+BX74-CG73,IF(A74&lt;'Données projet'!$A$114,$BV$205^A74,IF(A74='Données projet'!$A$114,'Données projet'!$B$114,BY73+BX74-CG73)))</f>
        <v>163</v>
      </c>
      <c r="BZ74" s="14">
        <f>BY74*VLOOKUP('Données projet'!$B$12,Paramètres!$A$1:$I$89,3,0)*VLOOKUP('Données projet'!$B$12,Paramètres!$A$1:$I$89,5,0)</f>
        <v>165.28200000000001</v>
      </c>
      <c r="CA74" s="14">
        <f t="shared" si="93"/>
        <v>42.031623878204442</v>
      </c>
      <c r="CB74" s="22">
        <f t="shared" si="64"/>
        <v>361.07122825453939</v>
      </c>
      <c r="CC74" s="62">
        <f t="shared" si="65"/>
        <v>654.40456158787265</v>
      </c>
      <c r="CD74" s="62">
        <f ca="1">AVERAGE(OFFSET($CC$3,0,0,'Données projet'!$E$12+1,1))-AVERAGE(OFFSET($H$3,0,0,'Données projet'!$E$12+1,1))</f>
        <v>360.32217613090035</v>
      </c>
      <c r="CE74" s="62">
        <f t="shared" si="94"/>
        <v>159.6134369231965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9.8717948717948705</v>
      </c>
      <c r="CT74" s="13">
        <f>IF('Données projet'!$A$140&gt;35,CT73+CS74-DB73,IF(A74&lt;'Données projet'!$A$140,$CQ$205^A74,IF(A74='Données projet'!$A$140,'Données projet'!$B$140,CT73+CS74-DB73)))</f>
        <v>321.28205128205116</v>
      </c>
      <c r="CU74" s="18">
        <f>CT74*VLOOKUP('Données projet'!$B$13,Paramètres!$A$1:$I$89,3,0)*VLOOKUP('Données projet'!$B$13,Paramètres!$A$1:$I$89,5,0)</f>
        <v>150.35999999999993</v>
      </c>
      <c r="CV74" s="14">
        <f t="shared" si="95"/>
        <v>38.660385495456531</v>
      </c>
      <c r="CW74" s="22">
        <f t="shared" si="67"/>
        <v>329.21050473791996</v>
      </c>
      <c r="CX74" s="62">
        <f t="shared" si="68"/>
        <v>622.54383807125328</v>
      </c>
      <c r="CY74" s="62">
        <f ca="1">AVERAGE(OFFSET($CX$3,0,0,'Données projet'!$E$13+1,1))-AVERAGE(OFFSET($H$3,0,0,'Données projet'!$E$13+1,1))</f>
        <v>246.64907095367749</v>
      </c>
      <c r="CZ74" s="62">
        <f t="shared" si="96"/>
        <v>145.34368562171613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207.03241199974599</v>
      </c>
      <c r="T75" s="62">
        <f t="shared" si="88"/>
        <v>314.188568589113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5.8766273067499135</v>
      </c>
      <c r="AA75" s="23">
        <f>EXP(-LN(2)/25)*AA74+(1-EXP(-LN(2)/25))/(LN(2)/25)*Calculateur!V75*Calculateur!X75*VLOOKUP('Données projet'!$B$9,Paramètres!$A$1:$I$89,3,0)*0.475*44/12</f>
        <v>3.0426227175072755</v>
      </c>
      <c r="AB75" s="23">
        <f>EXP(-LN(2)/2)*AB74+(1-EXP(-LN(2)/2))/(LN(2)/2)*V75*Y75*VLOOKUP('Données projet'!$B$9,Paramètres!$A$1:$I$89,3,0)*0.475*44/12</f>
        <v>1.394475792366414E-6</v>
      </c>
      <c r="AC75" s="24">
        <f t="shared" si="57"/>
        <v>8.9192514187329799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245.25496369542458</v>
      </c>
      <c r="AO75" s="62">
        <f t="shared" si="90"/>
        <v>342.30266518164211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3.4615384615384643</v>
      </c>
      <c r="BD75" s="13">
        <f>IF('Données projet'!$A$88&gt;35,BD74+BC75-BL74,IF(A75&lt;'Données projet'!$A$88,$BA$205^A75,IF(A75='Données projet'!$A$88,'Données projet'!$B$88,BD74+BC75-BL74)))</f>
        <v>182.56410256410243</v>
      </c>
      <c r="BE75" s="14">
        <f>BD75*VLOOKUP('Données projet'!$B$11,Paramètres!$A$1:$I$89,3,0)*VLOOKUP('Données projet'!$B$11,Paramètres!$A$1:$I$89,5,0)</f>
        <v>190.81599999999989</v>
      </c>
      <c r="BF75" s="14">
        <f t="shared" si="91"/>
        <v>47.720313844242689</v>
      </c>
      <c r="BG75" s="22">
        <f t="shared" si="61"/>
        <v>415.45074661205581</v>
      </c>
      <c r="BH75" s="62">
        <f t="shared" si="62"/>
        <v>708.78407994538907</v>
      </c>
      <c r="BI75" s="62">
        <f ca="1">AVERAGE(OFFSET($BH$3,0,0,'Données projet'!$E$11+1,1))-AVERAGE(OFFSET($H$3,0,0,'Données projet'!$E$11+1,1))</f>
        <v>377.78532142539677</v>
      </c>
      <c r="BJ75" s="62">
        <f t="shared" si="92"/>
        <v>234.27695813539111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</v>
      </c>
      <c r="BY75" s="13">
        <f>IF('Données projet'!$A$114&gt;35,BY74+BX75-CG74,IF(A75&lt;'Données projet'!$A$114,$BV$205^A75,IF(A75='Données projet'!$A$114,'Données projet'!$B$114,BY74+BX75-CG74)))</f>
        <v>168</v>
      </c>
      <c r="BZ75" s="14">
        <f>BY75*VLOOKUP('Données projet'!$B$12,Paramètres!$A$1:$I$89,3,0)*VLOOKUP('Données projet'!$B$12,Paramètres!$A$1:$I$89,5,0)</f>
        <v>170.352</v>
      </c>
      <c r="CA75" s="14">
        <f t="shared" si="93"/>
        <v>43.168850382694451</v>
      </c>
      <c r="CB75" s="22">
        <f t="shared" si="64"/>
        <v>371.88214774985948</v>
      </c>
      <c r="CC75" s="62">
        <f t="shared" si="65"/>
        <v>665.2154810831928</v>
      </c>
      <c r="CD75" s="62">
        <f ca="1">AVERAGE(OFFSET($CC$3,0,0,'Données projet'!$E$12+1,1))-AVERAGE(OFFSET($H$3,0,0,'Données projet'!$E$12+1,1))</f>
        <v>360.32217613090035</v>
      </c>
      <c r="CE75" s="62">
        <f t="shared" si="94"/>
        <v>159.6134369231965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9.8717948717948705</v>
      </c>
      <c r="CT75" s="13">
        <f>IF('Données projet'!$A$140&gt;35,CT74+CS75-DB74,IF(A75&lt;'Données projet'!$A$140,$CQ$205^A75,IF(A75='Données projet'!$A$140,'Données projet'!$B$140,CT74+CS75-DB74)))</f>
        <v>331.15384615384602</v>
      </c>
      <c r="CU75" s="18">
        <f>CT75*VLOOKUP('Données projet'!$B$13,Paramètres!$A$1:$I$89,3,0)*VLOOKUP('Données projet'!$B$13,Paramètres!$A$1:$I$89,5,0)</f>
        <v>154.97999999999993</v>
      </c>
      <c r="CV75" s="14">
        <f t="shared" si="95"/>
        <v>39.708148282768228</v>
      </c>
      <c r="CW75" s="22">
        <f t="shared" si="67"/>
        <v>339.08185825915456</v>
      </c>
      <c r="CX75" s="62">
        <f t="shared" si="68"/>
        <v>632.41519159248787</v>
      </c>
      <c r="CY75" s="62">
        <f ca="1">AVERAGE(OFFSET($CX$3,0,0,'Données projet'!$E$13+1,1))-AVERAGE(OFFSET($H$3,0,0,'Données projet'!$E$13+1,1))</f>
        <v>246.64907095367749</v>
      </c>
      <c r="CZ75" s="62">
        <f t="shared" si="96"/>
        <v>145.34368562171613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207.03241199974599</v>
      </c>
      <c r="T76" s="62">
        <f t="shared" si="88"/>
        <v>314.188568589113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5.7613902296532755</v>
      </c>
      <c r="AA76" s="23">
        <f>EXP(-LN(2)/25)*AA75+(1-EXP(-LN(2)/25))/(LN(2)/25)*Calculateur!V76*Calculateur!X76*VLOOKUP('Données projet'!$B$9,Paramètres!$A$1:$I$89,3,0)*0.475*44/12</f>
        <v>2.9594220392924644</v>
      </c>
      <c r="AB76" s="23">
        <f>EXP(-LN(2)/2)*AB75+(1-EXP(-LN(2)/2))/(LN(2)/2)*V76*Y76*VLOOKUP('Données projet'!$B$9,Paramètres!$A$1:$I$89,3,0)*0.475*44/12</f>
        <v>9.8604328898277535E-7</v>
      </c>
      <c r="AC76" s="24">
        <f t="shared" si="57"/>
        <v>8.7208132549890287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245.25496369542458</v>
      </c>
      <c r="AO76" s="62">
        <f t="shared" si="90"/>
        <v>342.30266518164211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3.4615384615384643</v>
      </c>
      <c r="BD76" s="13">
        <f>IF('Données projet'!$A$88&gt;35,BD75+BC76-BL75,IF(A76&lt;'Données projet'!$A$88,$BA$205^A76,IF(A76='Données projet'!$A$88,'Données projet'!$B$88,BD75+BC76-BL75)))</f>
        <v>186.02564102564088</v>
      </c>
      <c r="BE76" s="14">
        <f>BD76*VLOOKUP('Données projet'!$B$11,Paramètres!$A$1:$I$89,3,0)*VLOOKUP('Données projet'!$B$11,Paramètres!$A$1:$I$89,5,0)</f>
        <v>194.43399999999986</v>
      </c>
      <c r="BF76" s="14">
        <f t="shared" si="91"/>
        <v>48.518927278356934</v>
      </c>
      <c r="BG76" s="22">
        <f t="shared" si="61"/>
        <v>423.14301500980469</v>
      </c>
      <c r="BH76" s="62">
        <f t="shared" si="62"/>
        <v>716.47634834313794</v>
      </c>
      <c r="BI76" s="62">
        <f ca="1">AVERAGE(OFFSET($BH$3,0,0,'Données projet'!$E$11+1,1))-AVERAGE(OFFSET($H$3,0,0,'Données projet'!$E$11+1,1))</f>
        <v>377.78532142539677</v>
      </c>
      <c r="BJ76" s="62">
        <f t="shared" si="92"/>
        <v>234.27695813539111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173</v>
      </c>
      <c r="BZ76" s="14">
        <f>BY76*VLOOKUP('Données projet'!$B$12,Paramètres!$A$1:$I$89,3,0)*VLOOKUP('Données projet'!$B$12,Paramètres!$A$1:$I$89,5,0)</f>
        <v>175.422</v>
      </c>
      <c r="CA76" s="14">
        <f t="shared" si="93"/>
        <v>44.302143412304737</v>
      </c>
      <c r="CB76" s="22">
        <f t="shared" si="64"/>
        <v>382.68621644309741</v>
      </c>
      <c r="CC76" s="62">
        <f t="shared" si="65"/>
        <v>676.01954977643072</v>
      </c>
      <c r="CD76" s="62">
        <f ca="1">AVERAGE(OFFSET($CC$3,0,0,'Données projet'!$E$12+1,1))-AVERAGE(OFFSET($H$3,0,0,'Données projet'!$E$12+1,1))</f>
        <v>360.32217613090035</v>
      </c>
      <c r="CE76" s="62">
        <f t="shared" si="94"/>
        <v>159.6134369231965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9.8717948717948705</v>
      </c>
      <c r="CT76" s="13">
        <f>IF('Données projet'!$A$140&gt;35,CT75+CS76-DB75,IF(A76&lt;'Données projet'!$A$140,$CQ$205^A76,IF(A76='Données projet'!$A$140,'Données projet'!$B$140,CT75+CS76-DB75)))</f>
        <v>341.02564102564088</v>
      </c>
      <c r="CU76" s="18">
        <f>CT76*VLOOKUP('Données projet'!$B$13,Paramètres!$A$1:$I$89,3,0)*VLOOKUP('Données projet'!$B$13,Paramètres!$A$1:$I$89,5,0)</f>
        <v>159.59999999999994</v>
      </c>
      <c r="CV76" s="14">
        <f t="shared" si="95"/>
        <v>40.752281150761135</v>
      </c>
      <c r="CW76" s="22">
        <f t="shared" si="67"/>
        <v>348.94688967090889</v>
      </c>
      <c r="CX76" s="62">
        <f t="shared" si="68"/>
        <v>642.2802230042422</v>
      </c>
      <c r="CY76" s="62">
        <f ca="1">AVERAGE(OFFSET($CX$3,0,0,'Données projet'!$E$13+1,1))-AVERAGE(OFFSET($H$3,0,0,'Données projet'!$E$13+1,1))</f>
        <v>246.64907095367749</v>
      </c>
      <c r="CZ76" s="62">
        <f t="shared" si="96"/>
        <v>145.34368562171613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207.03241199974599</v>
      </c>
      <c r="T77" s="62">
        <f t="shared" si="88"/>
        <v>314.188568589113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5.6484128813508265</v>
      </c>
      <c r="AA77" s="23">
        <f>EXP(-LN(2)/25)*AA76+(1-EXP(-LN(2)/25))/(LN(2)/25)*Calculateur!V77*Calculateur!X77*VLOOKUP('Données projet'!$B$9,Paramètres!$A$1:$I$89,3,0)*0.475*44/12</f>
        <v>2.8784964879987709</v>
      </c>
      <c r="AB77" s="23">
        <f>EXP(-LN(2)/2)*AB76+(1-EXP(-LN(2)/2))/(LN(2)/2)*V77*Y77*VLOOKUP('Données projet'!$B$9,Paramètres!$A$1:$I$89,3,0)*0.475*44/12</f>
        <v>6.9723789618320699E-7</v>
      </c>
      <c r="AC77" s="24">
        <f t="shared" si="57"/>
        <v>8.5269100665874937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245.25496369542458</v>
      </c>
      <c r="AO77" s="62">
        <f t="shared" si="90"/>
        <v>342.30266518164211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3.4615384615384643</v>
      </c>
      <c r="BD77" s="13">
        <f>IF('Données projet'!$A$88&gt;35,BD76+BC77-BL76,IF(A77&lt;'Données projet'!$A$88,$BA$205^A77,IF(A77='Données projet'!$A$88,'Données projet'!$B$88,BD76+BC77-BL76)))</f>
        <v>189.48717948717933</v>
      </c>
      <c r="BE77" s="14">
        <f>BD77*VLOOKUP('Données projet'!$B$11,Paramètres!$A$1:$I$89,3,0)*VLOOKUP('Données projet'!$B$11,Paramètres!$A$1:$I$89,5,0)</f>
        <v>198.05199999999988</v>
      </c>
      <c r="BF77" s="14">
        <f t="shared" si="91"/>
        <v>49.315812718619298</v>
      </c>
      <c r="BG77" s="22">
        <f t="shared" si="61"/>
        <v>430.83227381826168</v>
      </c>
      <c r="BH77" s="62">
        <f t="shared" si="62"/>
        <v>724.16560715159494</v>
      </c>
      <c r="BI77" s="62">
        <f ca="1">AVERAGE(OFFSET($BH$3,0,0,'Données projet'!$E$11+1,1))-AVERAGE(OFFSET($H$3,0,0,'Données projet'!$E$11+1,1))</f>
        <v>377.78532142539677</v>
      </c>
      <c r="BJ77" s="62">
        <f t="shared" si="92"/>
        <v>234.27695813539111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178</v>
      </c>
      <c r="BZ77" s="14">
        <f>BY77*VLOOKUP('Données projet'!$B$12,Paramètres!$A$1:$I$89,3,0)*VLOOKUP('Données projet'!$B$12,Paramètres!$A$1:$I$89,5,0)</f>
        <v>180.49200000000002</v>
      </c>
      <c r="CA77" s="14">
        <f t="shared" si="93"/>
        <v>45.431629706642653</v>
      </c>
      <c r="CB77" s="22">
        <f t="shared" si="64"/>
        <v>393.4836550724026</v>
      </c>
      <c r="CC77" s="62">
        <f t="shared" si="65"/>
        <v>686.81698840573586</v>
      </c>
      <c r="CD77" s="62">
        <f ca="1">AVERAGE(OFFSET($CC$3,0,0,'Données projet'!$E$12+1,1))-AVERAGE(OFFSET($H$3,0,0,'Données projet'!$E$12+1,1))</f>
        <v>360.32217613090035</v>
      </c>
      <c r="CE77" s="62">
        <f t="shared" si="94"/>
        <v>159.6134369231965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9.8717948717948705</v>
      </c>
      <c r="CT77" s="13">
        <f>IF('Données projet'!$A$140&gt;35,CT76+CS77-DB76,IF(A77&lt;'Données projet'!$A$140,$CQ$205^A77,IF(A77='Données projet'!$A$140,'Données projet'!$B$140,CT76+CS77-DB76)))</f>
        <v>350.89743589743574</v>
      </c>
      <c r="CU77" s="18">
        <f>CT77*VLOOKUP('Données projet'!$B$13,Paramètres!$A$1:$I$89,3,0)*VLOOKUP('Données projet'!$B$13,Paramètres!$A$1:$I$89,5,0)</f>
        <v>164.21999999999994</v>
      </c>
      <c r="CV77" s="14">
        <f t="shared" si="95"/>
        <v>41.792901242713462</v>
      </c>
      <c r="CW77" s="22">
        <f t="shared" si="67"/>
        <v>358.80580299772583</v>
      </c>
      <c r="CX77" s="62">
        <f t="shared" si="68"/>
        <v>652.13913633105915</v>
      </c>
      <c r="CY77" s="62">
        <f ca="1">AVERAGE(OFFSET($CX$3,0,0,'Données projet'!$E$13+1,1))-AVERAGE(OFFSET($H$3,0,0,'Données projet'!$E$13+1,1))</f>
        <v>246.64907095367749</v>
      </c>
      <c r="CZ77" s="62">
        <f t="shared" si="96"/>
        <v>145.34368562171613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207.03241199974599</v>
      </c>
      <c r="T78" s="62">
        <f t="shared" si="88"/>
        <v>314.188568589113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5.5376509499392101</v>
      </c>
      <c r="AA78" s="23">
        <f>EXP(-LN(2)/25)*AA77+(1-EXP(-LN(2)/25))/(LN(2)/25)*Calculateur!V78*Calculateur!X78*VLOOKUP('Données projet'!$B$9,Paramètres!$A$1:$I$89,3,0)*0.475*44/12</f>
        <v>2.7997838501608929</v>
      </c>
      <c r="AB78" s="23">
        <f>EXP(-LN(2)/2)*AB77+(1-EXP(-LN(2)/2))/(LN(2)/2)*V78*Y78*VLOOKUP('Données projet'!$B$9,Paramètres!$A$1:$I$89,3,0)*0.475*44/12</f>
        <v>4.9302164449138767E-7</v>
      </c>
      <c r="AC78" s="24">
        <f t="shared" si="57"/>
        <v>8.3374352931217484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245.25496369542458</v>
      </c>
      <c r="AO78" s="62">
        <f t="shared" si="90"/>
        <v>342.30266518164211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192.94871794871796</v>
      </c>
      <c r="BB78" s="13">
        <f>VLOOKUP(A78,'Données projet'!$A$87:$I$107,9,0)</f>
        <v>3.4615384615384643</v>
      </c>
      <c r="BC78" s="13">
        <f t="array" ref="BC78">INDEX(BB:BB,MIN(IF(ISNUMBER(BB78:BB274),ROW(BB78:BB274),"")))</f>
        <v>3.4615384615384643</v>
      </c>
      <c r="BD78" s="13">
        <f>IF('Données projet'!$A$88&gt;35,BD77+BC78-BL77,IF(A78&lt;'Données projet'!$A$88,$BA$205^A78,IF(A78='Données projet'!$A$88,'Données projet'!$B$88,BD77+BC78-BL77)))</f>
        <v>192.94871794871779</v>
      </c>
      <c r="BE78" s="14">
        <f>BD78*VLOOKUP('Données projet'!$B$11,Paramètres!$A$1:$I$89,3,0)*VLOOKUP('Données projet'!$B$11,Paramètres!$A$1:$I$89,5,0)</f>
        <v>201.66999999999987</v>
      </c>
      <c r="BF78" s="14">
        <f t="shared" si="91"/>
        <v>50.111005372790743</v>
      </c>
      <c r="BG78" s="22">
        <f t="shared" si="61"/>
        <v>438.51858435761028</v>
      </c>
      <c r="BH78" s="62">
        <f t="shared" si="62"/>
        <v>731.85191769094354</v>
      </c>
      <c r="BI78" s="62">
        <f ca="1">AVERAGE(OFFSET($BH$3,0,0,'Données projet'!$E$11+1,1))-AVERAGE(OFFSET($H$3,0,0,'Données projet'!$E$11+1,1))</f>
        <v>377.78532142539677</v>
      </c>
      <c r="BJ78" s="62">
        <f t="shared" si="92"/>
        <v>234.27695813539111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5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183</v>
      </c>
      <c r="BZ78" s="14">
        <f>BY78*VLOOKUP('Données projet'!$B$12,Paramètres!$A$1:$I$89,3,0)*VLOOKUP('Données projet'!$B$12,Paramètres!$A$1:$I$89,5,0)</f>
        <v>185.56200000000001</v>
      </c>
      <c r="CA78" s="14">
        <f t="shared" si="93"/>
        <v>46.557428480028591</v>
      </c>
      <c r="CB78" s="22">
        <f t="shared" si="64"/>
        <v>404.27467126938313</v>
      </c>
      <c r="CC78" s="62">
        <f t="shared" si="65"/>
        <v>697.60800460271639</v>
      </c>
      <c r="CD78" s="62">
        <f ca="1">AVERAGE(OFFSET($CC$3,0,0,'Données projet'!$E$12+1,1))-AVERAGE(OFFSET($H$3,0,0,'Données projet'!$E$12+1,1))</f>
        <v>360.32217613090035</v>
      </c>
      <c r="CE78" s="62">
        <f t="shared" si="94"/>
        <v>159.6134369231965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360.76923076923077</v>
      </c>
      <c r="CR78" s="13">
        <f>VLOOKUP(A78,'Données projet'!$A$139:$I$159,9,0)</f>
        <v>9.8717948717948705</v>
      </c>
      <c r="CS78" s="13">
        <f t="array" ref="CS78">INDEX(CR:CR,MIN(IF(ISNUMBER(CR78:CR274),ROW(CR78:CR274),"")))</f>
        <v>9.8717948717948705</v>
      </c>
      <c r="CT78" s="13">
        <f>IF('Données projet'!$A$140&gt;35,CT77+CS78-DB77,IF(A78&lt;'Données projet'!$A$140,$CQ$205^A78,IF(A78='Données projet'!$A$140,'Données projet'!$B$140,CT77+CS78-DB77)))</f>
        <v>360.7692307692306</v>
      </c>
      <c r="CU78" s="18">
        <f>CT78*VLOOKUP('Données projet'!$B$13,Paramètres!$A$1:$I$89,3,0)*VLOOKUP('Données projet'!$B$13,Paramètres!$A$1:$I$89,5,0)</f>
        <v>168.83999999999995</v>
      </c>
      <c r="CV78" s="14">
        <f t="shared" si="95"/>
        <v>42.830118735743163</v>
      </c>
      <c r="CW78" s="22">
        <f t="shared" si="67"/>
        <v>368.65879013141921</v>
      </c>
      <c r="CX78" s="62">
        <f t="shared" si="68"/>
        <v>661.99212346475247</v>
      </c>
      <c r="CY78" s="62">
        <f ca="1">AVERAGE(OFFSET($CX$3,0,0,'Données projet'!$E$13+1,1))-AVERAGE(OFFSET($H$3,0,0,'Données projet'!$E$13+1,1))</f>
        <v>246.64907095367749</v>
      </c>
      <c r="CZ78" s="62">
        <f t="shared" si="96"/>
        <v>145.34368562171613</v>
      </c>
      <c r="DA78" s="16">
        <f>IF(ISNA(VLOOKUP(A78,'Données projet'!$A$139:$I$159,3,0)),0,VLOOKUP(A78,'Données projet'!$A$139:$I$159,3,0))</f>
        <v>3</v>
      </c>
      <c r="DB78" s="16">
        <f>IF(ISNA(VLOOKUP(A78,'Données projet'!$A$139:$I$159,4,0)),0,VLOOKUP(A78,'Données projet'!$A$139:$I$159,4,0))</f>
        <v>85.384615384615415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207.03241199974599</v>
      </c>
      <c r="T79" s="62">
        <f t="shared" si="88"/>
        <v>314.188568589113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5.4290609924444677</v>
      </c>
      <c r="AA79" s="23">
        <f>EXP(-LN(2)/25)*AA78+(1-EXP(-LN(2)/25))/(LN(2)/25)*Calculateur!V79*Calculateur!X79*VLOOKUP('Données projet'!$B$9,Paramètres!$A$1:$I$89,3,0)*0.475*44/12</f>
        <v>2.7232236135440098</v>
      </c>
      <c r="AB79" s="23">
        <f>EXP(-LN(2)/2)*AB78+(1-EXP(-LN(2)/2))/(LN(2)/2)*V79*Y79*VLOOKUP('Données projet'!$B$9,Paramètres!$A$1:$I$89,3,0)*0.475*44/12</f>
        <v>3.4861894809160349E-7</v>
      </c>
      <c r="AC79" s="24">
        <f t="shared" si="57"/>
        <v>8.1522849546074259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245.25496369542458</v>
      </c>
      <c r="AO79" s="62">
        <f t="shared" si="90"/>
        <v>342.30266518164211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3.3333333333333313</v>
      </c>
      <c r="BD79" s="13">
        <f>IF('Données projet'!$A$88&gt;35,BD78+BC79-BL78,IF(A79&lt;'Données projet'!$A$88,$BA$205^A79,IF(A79='Données projet'!$A$88,'Données projet'!$B$88,BD78+BC79-BL78)))</f>
        <v>196.28205128205113</v>
      </c>
      <c r="BE79" s="14">
        <f>BD79*VLOOKUP('Données projet'!$B$11,Paramètres!$A$1:$I$89,3,0)*VLOOKUP('Données projet'!$B$11,Paramètres!$A$1:$I$89,5,0)</f>
        <v>205.15399999999985</v>
      </c>
      <c r="BF79" s="14">
        <f t="shared" si="91"/>
        <v>50.875178173128255</v>
      </c>
      <c r="BG79" s="22">
        <f t="shared" si="61"/>
        <v>445.91748531819809</v>
      </c>
      <c r="BH79" s="62">
        <f t="shared" si="62"/>
        <v>739.2508186515314</v>
      </c>
      <c r="BI79" s="62">
        <f ca="1">AVERAGE(OFFSET($BH$3,0,0,'Données projet'!$E$11+1,1))-AVERAGE(OFFSET($H$3,0,0,'Données projet'!$E$11+1,1))</f>
        <v>377.78532142539677</v>
      </c>
      <c r="BJ79" s="62">
        <f t="shared" si="92"/>
        <v>234.27695813539111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187.6</v>
      </c>
      <c r="BZ79" s="14">
        <f>BY79*VLOOKUP('Données projet'!$B$12,Paramètres!$A$1:$I$89,3,0)*VLOOKUP('Données projet'!$B$12,Paramètres!$A$1:$I$89,5,0)</f>
        <v>190.22640000000001</v>
      </c>
      <c r="CA79" s="14">
        <f t="shared" si="93"/>
        <v>47.590003207063162</v>
      </c>
      <c r="CB79" s="22">
        <f t="shared" si="64"/>
        <v>414.19690225230164</v>
      </c>
      <c r="CC79" s="62">
        <f t="shared" si="65"/>
        <v>707.53023558563495</v>
      </c>
      <c r="CD79" s="62">
        <f ca="1">AVERAGE(OFFSET($CC$3,0,0,'Données projet'!$E$12+1,1))-AVERAGE(OFFSET($H$3,0,0,'Données projet'!$E$12+1,1))</f>
        <v>360.32217613090035</v>
      </c>
      <c r="CE79" s="62">
        <f t="shared" si="94"/>
        <v>159.6134369231965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8.9743589743589727</v>
      </c>
      <c r="CT79" s="13">
        <f>IF('Données projet'!$A$140&gt;35,CT78+CS79-DB78,IF(A79&lt;'Données projet'!$A$140,$CQ$205^A79,IF(A79='Données projet'!$A$140,'Données projet'!$B$140,CT78+CS79-DB78)))</f>
        <v>284.35897435897414</v>
      </c>
      <c r="CU79" s="18">
        <f>CT79*VLOOKUP('Données projet'!$B$13,Paramètres!$A$1:$I$89,3,0)*VLOOKUP('Données projet'!$B$13,Paramètres!$A$1:$I$89,5,0)</f>
        <v>133.0799999999999</v>
      </c>
      <c r="CV79" s="14">
        <f t="shared" si="95"/>
        <v>34.707084092439132</v>
      </c>
      <c r="CW79" s="22">
        <f t="shared" si="67"/>
        <v>292.22917146099797</v>
      </c>
      <c r="CX79" s="62">
        <f t="shared" si="68"/>
        <v>585.56250479433129</v>
      </c>
      <c r="CY79" s="62">
        <f ca="1">AVERAGE(OFFSET($CX$3,0,0,'Données projet'!$E$13+1,1))-AVERAGE(OFFSET($H$3,0,0,'Données projet'!$E$13+1,1))</f>
        <v>246.64907095367749</v>
      </c>
      <c r="CZ79" s="62">
        <f t="shared" si="96"/>
        <v>145.34368562171613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207.03241199974599</v>
      </c>
      <c r="T80" s="62">
        <f t="shared" si="88"/>
        <v>314.188568589113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5.3226004177828639</v>
      </c>
      <c r="AA80" s="23">
        <f>EXP(-LN(2)/25)*AA79+(1-EXP(-LN(2)/25))/(LN(2)/25)*Calculateur!V80*Calculateur!X80*VLOOKUP('Données projet'!$B$9,Paramètres!$A$1:$I$89,3,0)*0.475*44/12</f>
        <v>2.6487569206235428</v>
      </c>
      <c r="AB80" s="23">
        <f>EXP(-LN(2)/2)*AB79+(1-EXP(-LN(2)/2))/(LN(2)/2)*V80*Y80*VLOOKUP('Données projet'!$B$9,Paramètres!$A$1:$I$89,3,0)*0.475*44/12</f>
        <v>2.4651082224569384E-7</v>
      </c>
      <c r="AC80" s="24">
        <f t="shared" si="57"/>
        <v>7.9713575849172287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245.25496369542458</v>
      </c>
      <c r="AO80" s="62">
        <f t="shared" si="90"/>
        <v>342.30266518164211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3.3333333333333313</v>
      </c>
      <c r="BD80" s="13">
        <f>IF('Données projet'!$A$88&gt;35,BD79+BC80-BL79,IF(A80&lt;'Données projet'!$A$88,$BA$205^A80,IF(A80='Données projet'!$A$88,'Données projet'!$B$88,BD79+BC80-BL79)))</f>
        <v>199.61538461538447</v>
      </c>
      <c r="BE80" s="14">
        <f>BD80*VLOOKUP('Données projet'!$B$11,Paramètres!$A$1:$I$89,3,0)*VLOOKUP('Données projet'!$B$11,Paramètres!$A$1:$I$89,5,0)</f>
        <v>208.63799999999986</v>
      </c>
      <c r="BF80" s="14">
        <f t="shared" si="91"/>
        <v>51.637841812342764</v>
      </c>
      <c r="BG80" s="22">
        <f t="shared" si="61"/>
        <v>453.31375782316337</v>
      </c>
      <c r="BH80" s="62">
        <f t="shared" si="62"/>
        <v>746.64709115649669</v>
      </c>
      <c r="BI80" s="62">
        <f ca="1">AVERAGE(OFFSET($BH$3,0,0,'Données projet'!$E$11+1,1))-AVERAGE(OFFSET($H$3,0,0,'Données projet'!$E$11+1,1))</f>
        <v>377.78532142539677</v>
      </c>
      <c r="BJ80" s="62">
        <f t="shared" si="92"/>
        <v>234.27695813539111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192.2</v>
      </c>
      <c r="BZ80" s="14">
        <f>BY80*VLOOKUP('Données projet'!$B$12,Paramètres!$A$1:$I$89,3,0)*VLOOKUP('Données projet'!$B$12,Paramètres!$A$1:$I$89,5,0)</f>
        <v>194.89079999999998</v>
      </c>
      <c r="CA80" s="14">
        <f t="shared" si="93"/>
        <v>48.619634692995454</v>
      </c>
      <c r="CB80" s="22">
        <f t="shared" si="64"/>
        <v>424.11400709030039</v>
      </c>
      <c r="CC80" s="62">
        <f t="shared" si="65"/>
        <v>717.4473404236337</v>
      </c>
      <c r="CD80" s="62">
        <f ca="1">AVERAGE(OFFSET($CC$3,0,0,'Données projet'!$E$12+1,1))-AVERAGE(OFFSET($H$3,0,0,'Données projet'!$E$12+1,1))</f>
        <v>360.32217613090035</v>
      </c>
      <c r="CE80" s="62">
        <f t="shared" si="94"/>
        <v>159.6134369231965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8.9743589743589727</v>
      </c>
      <c r="CT80" s="13">
        <f>IF('Données projet'!$A$140&gt;35,CT79+CS80-DB79,IF(A80&lt;'Données projet'!$A$140,$CQ$205^A80,IF(A80='Données projet'!$A$140,'Données projet'!$B$140,CT79+CS80-DB79)))</f>
        <v>293.33333333333309</v>
      </c>
      <c r="CU80" s="18">
        <f>CT80*VLOOKUP('Données projet'!$B$13,Paramètres!$A$1:$I$89,3,0)*VLOOKUP('Données projet'!$B$13,Paramètres!$A$1:$I$89,5,0)</f>
        <v>137.27999999999989</v>
      </c>
      <c r="CV80" s="14">
        <f t="shared" si="95"/>
        <v>35.673181961873411</v>
      </c>
      <c r="CW80" s="22">
        <f t="shared" si="67"/>
        <v>301.22679191692936</v>
      </c>
      <c r="CX80" s="62">
        <f t="shared" si="68"/>
        <v>594.56012525026267</v>
      </c>
      <c r="CY80" s="62">
        <f ca="1">AVERAGE(OFFSET($CX$3,0,0,'Données projet'!$E$13+1,1))-AVERAGE(OFFSET($H$3,0,0,'Données projet'!$E$13+1,1))</f>
        <v>246.64907095367749</v>
      </c>
      <c r="CZ80" s="62">
        <f t="shared" si="96"/>
        <v>145.34368562171613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207.03241199974599</v>
      </c>
      <c r="T81" s="62">
        <f t="shared" si="88"/>
        <v>314.188568589113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5.2182274700558349</v>
      </c>
      <c r="AA81" s="23">
        <f>EXP(-LN(2)/25)*AA80+(1-EXP(-LN(2)/25))/(LN(2)/25)*Calculateur!V81*Calculateur!X81*VLOOKUP('Données projet'!$B$9,Paramètres!$A$1:$I$89,3,0)*0.475*44/12</f>
        <v>2.5763265233370194</v>
      </c>
      <c r="AB81" s="23">
        <f>EXP(-LN(2)/2)*AB80+(1-EXP(-LN(2)/2))/(LN(2)/2)*V81*Y81*VLOOKUP('Données projet'!$B$9,Paramètres!$A$1:$I$89,3,0)*0.475*44/12</f>
        <v>1.7430947404580175E-7</v>
      </c>
      <c r="AC81" s="24">
        <f t="shared" si="57"/>
        <v>7.7945541677023291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245.25496369542458</v>
      </c>
      <c r="AO81" s="62">
        <f t="shared" si="90"/>
        <v>342.30266518164211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3.3333333333333313</v>
      </c>
      <c r="BD81" s="13">
        <f>IF('Données projet'!$A$88&gt;35,BD80+BC81-BL80,IF(A81&lt;'Données projet'!$A$88,$BA$205^A81,IF(A81='Données projet'!$A$88,'Données projet'!$B$88,BD80+BC81-BL80)))</f>
        <v>202.94871794871781</v>
      </c>
      <c r="BE81" s="14">
        <f>BD81*VLOOKUP('Données projet'!$B$11,Paramètres!$A$1:$I$89,3,0)*VLOOKUP('Données projet'!$B$11,Paramètres!$A$1:$I$89,5,0)</f>
        <v>212.1219999999999</v>
      </c>
      <c r="BF81" s="14">
        <f t="shared" si="91"/>
        <v>52.399024400304327</v>
      </c>
      <c r="BG81" s="22">
        <f t="shared" si="61"/>
        <v>460.70745083052981</v>
      </c>
      <c r="BH81" s="62">
        <f t="shared" si="62"/>
        <v>754.04078416386312</v>
      </c>
      <c r="BI81" s="62">
        <f ca="1">AVERAGE(OFFSET($BH$3,0,0,'Données projet'!$E$11+1,1))-AVERAGE(OFFSET($H$3,0,0,'Données projet'!$E$11+1,1))</f>
        <v>377.78532142539677</v>
      </c>
      <c r="BJ81" s="62">
        <f t="shared" si="92"/>
        <v>234.27695813539111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196.79999999999998</v>
      </c>
      <c r="BZ81" s="14">
        <f>BY81*VLOOKUP('Données projet'!$B$12,Paramètres!$A$1:$I$89,3,0)*VLOOKUP('Données projet'!$B$12,Paramètres!$A$1:$I$89,5,0)</f>
        <v>199.55519999999999</v>
      </c>
      <c r="CA81" s="14">
        <f t="shared" si="93"/>
        <v>49.646401484745567</v>
      </c>
      <c r="CB81" s="22">
        <f t="shared" si="64"/>
        <v>434.02612258593177</v>
      </c>
      <c r="CC81" s="62">
        <f t="shared" si="65"/>
        <v>727.35945591926509</v>
      </c>
      <c r="CD81" s="62">
        <f ca="1">AVERAGE(OFFSET($CC$3,0,0,'Données projet'!$E$12+1,1))-AVERAGE(OFFSET($H$3,0,0,'Données projet'!$E$12+1,1))</f>
        <v>360.32217613090035</v>
      </c>
      <c r="CE81" s="62">
        <f t="shared" si="94"/>
        <v>159.6134369231965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8.9743589743589727</v>
      </c>
      <c r="CT81" s="13">
        <f>IF('Données projet'!$A$140&gt;35,CT80+CS81-DB80,IF(A81&lt;'Données projet'!$A$140,$CQ$205^A81,IF(A81='Données projet'!$A$140,'Données projet'!$B$140,CT80+CS81-DB80)))</f>
        <v>302.30769230769204</v>
      </c>
      <c r="CU81" s="18">
        <f>CT81*VLOOKUP('Données projet'!$B$13,Paramètres!$A$1:$I$89,3,0)*VLOOKUP('Données projet'!$B$13,Paramètres!$A$1:$I$89,5,0)</f>
        <v>141.47999999999988</v>
      </c>
      <c r="CV81" s="14">
        <f t="shared" si="95"/>
        <v>36.635844927016009</v>
      </c>
      <c r="CW81" s="22">
        <f t="shared" si="67"/>
        <v>310.21842991455259</v>
      </c>
      <c r="CX81" s="62">
        <f t="shared" si="68"/>
        <v>603.5517632478859</v>
      </c>
      <c r="CY81" s="62">
        <f ca="1">AVERAGE(OFFSET($CX$3,0,0,'Données projet'!$E$13+1,1))-AVERAGE(OFFSET($H$3,0,0,'Données projet'!$E$13+1,1))</f>
        <v>246.64907095367749</v>
      </c>
      <c r="CZ81" s="62">
        <f t="shared" si="96"/>
        <v>145.34368562171613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207.03241199974599</v>
      </c>
      <c r="T82" s="62">
        <f t="shared" si="88"/>
        <v>314.188568589113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5.1159012121725205</v>
      </c>
      <c r="AA82" s="23">
        <f>EXP(-LN(2)/25)*AA81+(1-EXP(-LN(2)/25))/(LN(2)/25)*Calculateur!V82*Calculateur!X82*VLOOKUP('Données projet'!$B$9,Paramètres!$A$1:$I$89,3,0)*0.475*44/12</f>
        <v>2.505876739073245</v>
      </c>
      <c r="AB82" s="23">
        <f>EXP(-LN(2)/2)*AB81+(1-EXP(-LN(2)/2))/(LN(2)/2)*V82*Y82*VLOOKUP('Données projet'!$B$9,Paramètres!$A$1:$I$89,3,0)*0.475*44/12</f>
        <v>1.2325541112284692E-7</v>
      </c>
      <c r="AC82" s="24">
        <f t="shared" si="57"/>
        <v>7.6217780745011767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245.25496369542458</v>
      </c>
      <c r="AO82" s="62">
        <f t="shared" si="90"/>
        <v>342.30266518164211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3.3333333333333313</v>
      </c>
      <c r="BD82" s="13">
        <f>IF('Données projet'!$A$88&gt;35,BD81+BC82-BL81,IF(A82&lt;'Données projet'!$A$88,$BA$205^A82,IF(A82='Données projet'!$A$88,'Données projet'!$B$88,BD81+BC82-BL81)))</f>
        <v>206.28205128205116</v>
      </c>
      <c r="BE82" s="14">
        <f>BD82*VLOOKUP('Données projet'!$B$11,Paramètres!$A$1:$I$89,3,0)*VLOOKUP('Données projet'!$B$11,Paramètres!$A$1:$I$89,5,0)</f>
        <v>215.60599999999988</v>
      </c>
      <c r="BF82" s="14">
        <f t="shared" si="91"/>
        <v>53.158753070562781</v>
      </c>
      <c r="BG82" s="22">
        <f t="shared" si="61"/>
        <v>468.09861159789665</v>
      </c>
      <c r="BH82" s="62">
        <f t="shared" si="62"/>
        <v>761.43194493122996</v>
      </c>
      <c r="BI82" s="62">
        <f ca="1">AVERAGE(OFFSET($BH$3,0,0,'Données projet'!$E$11+1,1))-AVERAGE(OFFSET($H$3,0,0,'Données projet'!$E$11+1,1))</f>
        <v>377.78532142539677</v>
      </c>
      <c r="BJ82" s="62">
        <f t="shared" si="92"/>
        <v>234.27695813539111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201.39999999999998</v>
      </c>
      <c r="BZ82" s="14">
        <f>BY82*VLOOKUP('Données projet'!$B$12,Paramètres!$A$1:$I$89,3,0)*VLOOKUP('Données projet'!$B$12,Paramètres!$A$1:$I$89,5,0)</f>
        <v>204.21960000000001</v>
      </c>
      <c r="CA82" s="14">
        <f t="shared" si="93"/>
        <v>50.67037824783668</v>
      </c>
      <c r="CB82" s="22">
        <f t="shared" si="64"/>
        <v>443.93337878164886</v>
      </c>
      <c r="CC82" s="62">
        <f t="shared" si="65"/>
        <v>737.26671211498217</v>
      </c>
      <c r="CD82" s="62">
        <f ca="1">AVERAGE(OFFSET($CC$3,0,0,'Données projet'!$E$12+1,1))-AVERAGE(OFFSET($H$3,0,0,'Données projet'!$E$12+1,1))</f>
        <v>360.32217613090035</v>
      </c>
      <c r="CE82" s="62">
        <f t="shared" si="94"/>
        <v>159.6134369231965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8.9743589743589727</v>
      </c>
      <c r="CT82" s="13">
        <f>IF('Données projet'!$A$140&gt;35,CT81+CS82-DB81,IF(A82&lt;'Données projet'!$A$140,$CQ$205^A82,IF(A82='Données projet'!$A$140,'Données projet'!$B$140,CT81+CS82-DB81)))</f>
        <v>311.28205128205099</v>
      </c>
      <c r="CU82" s="18">
        <f>CT82*VLOOKUP('Données projet'!$B$13,Paramètres!$A$1:$I$89,3,0)*VLOOKUP('Données projet'!$B$13,Paramètres!$A$1:$I$89,5,0)</f>
        <v>145.67999999999986</v>
      </c>
      <c r="CV82" s="14">
        <f t="shared" si="95"/>
        <v>37.595186663644121</v>
      </c>
      <c r="CW82" s="22">
        <f t="shared" si="67"/>
        <v>319.2042834391799</v>
      </c>
      <c r="CX82" s="62">
        <f t="shared" si="68"/>
        <v>612.53761677251327</v>
      </c>
      <c r="CY82" s="62">
        <f ca="1">AVERAGE(OFFSET($CX$3,0,0,'Données projet'!$E$13+1,1))-AVERAGE(OFFSET($H$3,0,0,'Données projet'!$E$13+1,1))</f>
        <v>246.64907095367749</v>
      </c>
      <c r="CZ82" s="62">
        <f t="shared" si="96"/>
        <v>145.34368562171613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207.03241199974599</v>
      </c>
      <c r="T83" s="62">
        <f t="shared" si="88"/>
        <v>314.188568589113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5.015581509793444</v>
      </c>
      <c r="AA83" s="23">
        <f>EXP(-LN(2)/25)*AA82+(1-EXP(-LN(2)/25))/(LN(2)/25)*Calculateur!V83*Calculateur!X83*VLOOKUP('Données projet'!$B$9,Paramètres!$A$1:$I$89,3,0)*0.475*44/12</f>
        <v>2.4373534078649568</v>
      </c>
      <c r="AB83" s="23">
        <f>EXP(-LN(2)/2)*AB82+(1-EXP(-LN(2)/2))/(LN(2)/2)*V83*Y83*VLOOKUP('Données projet'!$B$9,Paramètres!$A$1:$I$89,3,0)*0.475*44/12</f>
        <v>8.7154737022900873E-8</v>
      </c>
      <c r="AC83" s="24">
        <f t="shared" si="57"/>
        <v>7.4529350048131375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245.25496369542458</v>
      </c>
      <c r="AO83" s="62">
        <f t="shared" si="90"/>
        <v>342.30266518164211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209.61538461538461</v>
      </c>
      <c r="BB83" s="13">
        <f>VLOOKUP(A83,'Données projet'!$A$87:$I$107,9,0)</f>
        <v>3.3333333333333313</v>
      </c>
      <c r="BC83" s="13">
        <f t="array" ref="BC83">INDEX(BB:BB,MIN(IF(ISNUMBER(BB83:BB279),ROW(BB83:BB279),"")))</f>
        <v>3.3333333333333313</v>
      </c>
      <c r="BD83" s="13">
        <f>IF('Données projet'!$A$88&gt;35,BD82+BC83-BL82,IF(A83&lt;'Données projet'!$A$88,$BA$205^A83,IF(A83='Données projet'!$A$88,'Données projet'!$B$88,BD82+BC83-BL82)))</f>
        <v>209.6153846153845</v>
      </c>
      <c r="BE83" s="14">
        <f>BD83*VLOOKUP('Données projet'!$B$11,Paramètres!$A$1:$I$89,3,0)*VLOOKUP('Données projet'!$B$11,Paramètres!$A$1:$I$89,5,0)</f>
        <v>219.08999999999989</v>
      </c>
      <c r="BF83" s="14">
        <f t="shared" si="91"/>
        <v>53.917054029475665</v>
      </c>
      <c r="BG83" s="22">
        <f t="shared" si="61"/>
        <v>475.48728576800335</v>
      </c>
      <c r="BH83" s="62">
        <f t="shared" si="62"/>
        <v>768.82061910133666</v>
      </c>
      <c r="BI83" s="62">
        <f ca="1">AVERAGE(OFFSET($BH$3,0,0,'Données projet'!$E$11+1,1))-AVERAGE(OFFSET($H$3,0,0,'Données projet'!$E$11+1,1))</f>
        <v>377.78532142539677</v>
      </c>
      <c r="BJ83" s="62">
        <f t="shared" si="92"/>
        <v>234.27695813539111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17.948717948717949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206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205.99999999999997</v>
      </c>
      <c r="BZ83" s="14">
        <f>BY83*VLOOKUP('Données projet'!$B$12,Paramètres!$A$1:$I$89,3,0)*VLOOKUP('Données projet'!$B$12,Paramètres!$A$1:$I$89,5,0)</f>
        <v>208.88399999999996</v>
      </c>
      <c r="CA83" s="14">
        <f t="shared" si="93"/>
        <v>51.691636042398741</v>
      </c>
      <c r="CB83" s="22">
        <f t="shared" si="64"/>
        <v>453.83589944051101</v>
      </c>
      <c r="CC83" s="62">
        <f t="shared" si="65"/>
        <v>747.16923277384433</v>
      </c>
      <c r="CD83" s="62">
        <f ca="1">AVERAGE(OFFSET($CC$3,0,0,'Données projet'!$E$12+1,1))-AVERAGE(OFFSET($H$3,0,0,'Données projet'!$E$12+1,1))</f>
        <v>360.32217613090035</v>
      </c>
      <c r="CE83" s="62">
        <f t="shared" si="94"/>
        <v>159.6134369231965</v>
      </c>
      <c r="CF83" s="16">
        <f>IF(ISNA(VLOOKUP(A83,'Données projet'!$A$113:$I$133,3,0)),0,VLOOKUP(A83,'Données projet'!$A$113:$I$133,3,0))</f>
        <v>5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8.9743589743589727</v>
      </c>
      <c r="CT83" s="13">
        <f>IF('Données projet'!$A$140&gt;35,CT82+CS83-DB82,IF(A83&lt;'Données projet'!$A$140,$CQ$205^A83,IF(A83='Données projet'!$A$140,'Données projet'!$B$140,CT82+CS83-DB82)))</f>
        <v>320.25641025640994</v>
      </c>
      <c r="CU83" s="18">
        <f>CT83*VLOOKUP('Données projet'!$B$13,Paramètres!$A$1:$I$89,3,0)*VLOOKUP('Données projet'!$B$13,Paramètres!$A$1:$I$89,5,0)</f>
        <v>149.87999999999985</v>
      </c>
      <c r="CV83" s="14">
        <f t="shared" si="95"/>
        <v>38.551313920160567</v>
      </c>
      <c r="CW83" s="22">
        <f t="shared" si="67"/>
        <v>328.18453841094606</v>
      </c>
      <c r="CX83" s="62">
        <f t="shared" si="68"/>
        <v>621.51787174427932</v>
      </c>
      <c r="CY83" s="62">
        <f ca="1">AVERAGE(OFFSET($CX$3,0,0,'Données projet'!$E$13+1,1))-AVERAGE(OFFSET($H$3,0,0,'Données projet'!$E$13+1,1))</f>
        <v>246.64907095367749</v>
      </c>
      <c r="CZ83" s="62">
        <f t="shared" si="96"/>
        <v>145.34368562171613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207.03241199974599</v>
      </c>
      <c r="T84" s="62">
        <f t="shared" si="88"/>
        <v>314.188568589113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4.9172290155890446</v>
      </c>
      <c r="AA84" s="23">
        <f>EXP(-LN(2)/25)*AA83+(1-EXP(-LN(2)/25))/(LN(2)/25)*Calculateur!V84*Calculateur!X84*VLOOKUP('Données projet'!$B$9,Paramètres!$A$1:$I$89,3,0)*0.475*44/12</f>
        <v>2.3707038507520446</v>
      </c>
      <c r="AB84" s="23">
        <f>EXP(-LN(2)/2)*AB83+(1-EXP(-LN(2)/2))/(LN(2)/2)*V84*Y84*VLOOKUP('Données projet'!$B$9,Paramètres!$A$1:$I$89,3,0)*0.475*44/12</f>
        <v>6.1627705561423459E-8</v>
      </c>
      <c r="AC84" s="24">
        <f t="shared" si="57"/>
        <v>7.2879329279687948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245.25496369542458</v>
      </c>
      <c r="AO84" s="62">
        <f t="shared" si="90"/>
        <v>342.30266518164211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3.2051282051282044</v>
      </c>
      <c r="BD84" s="13">
        <f>IF('Données projet'!$A$88&gt;35,BD83+BC84-BL83,IF(A84&lt;'Données projet'!$A$88,$BA$205^A84,IF(A84='Données projet'!$A$88,'Données projet'!$B$88,BD83+BC84-BL83)))</f>
        <v>194.87179487179475</v>
      </c>
      <c r="BE84" s="14">
        <f>BD84*VLOOKUP('Données projet'!$B$11,Paramètres!$A$1:$I$89,3,0)*VLOOKUP('Données projet'!$B$11,Paramètres!$A$1:$I$89,5,0)</f>
        <v>203.67999999999989</v>
      </c>
      <c r="BF84" s="14">
        <f t="shared" si="91"/>
        <v>50.552060139028619</v>
      </c>
      <c r="BG84" s="22">
        <f t="shared" si="61"/>
        <v>442.78750474214127</v>
      </c>
      <c r="BH84" s="62">
        <f t="shared" si="62"/>
        <v>736.12083807547458</v>
      </c>
      <c r="BI84" s="62">
        <f ca="1">AVERAGE(OFFSET($BH$3,0,0,'Données projet'!$E$11+1,1))-AVERAGE(OFFSET($H$3,0,0,'Données projet'!$E$11+1,1))</f>
        <v>377.78532142539677</v>
      </c>
      <c r="BJ84" s="62">
        <f t="shared" si="92"/>
        <v>234.27695813539111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182.39999999999998</v>
      </c>
      <c r="BZ84" s="14">
        <f>BY84*VLOOKUP('Données projet'!$B$12,Paramètres!$A$1:$I$89,3,0)*VLOOKUP('Données projet'!$B$12,Paramètres!$A$1:$I$89,5,0)</f>
        <v>184.95359999999999</v>
      </c>
      <c r="CA84" s="14">
        <f t="shared" si="93"/>
        <v>46.42252355095799</v>
      </c>
      <c r="CB84" s="22">
        <f t="shared" si="64"/>
        <v>402.98008185125178</v>
      </c>
      <c r="CC84" s="62">
        <f t="shared" si="65"/>
        <v>696.3134151845851</v>
      </c>
      <c r="CD84" s="62">
        <f ca="1">AVERAGE(OFFSET($CC$3,0,0,'Données projet'!$E$12+1,1))-AVERAGE(OFFSET($H$3,0,0,'Données projet'!$E$12+1,1))</f>
        <v>360.32217613090035</v>
      </c>
      <c r="CE84" s="62">
        <f t="shared" si="94"/>
        <v>159.6134369231965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8.9743589743589727</v>
      </c>
      <c r="CT84" s="13">
        <f>IF('Données projet'!$A$140&gt;35,CT83+CS84-DB83,IF(A84&lt;'Données projet'!$A$140,$CQ$205^A84,IF(A84='Données projet'!$A$140,'Données projet'!$B$140,CT83+CS84-DB83)))</f>
        <v>329.23076923076889</v>
      </c>
      <c r="CU84" s="18">
        <f>CT84*VLOOKUP('Données projet'!$B$13,Paramètres!$A$1:$I$89,3,0)*VLOOKUP('Données projet'!$B$13,Paramètres!$A$1:$I$89,5,0)</f>
        <v>154.07999999999984</v>
      </c>
      <c r="CV84" s="14">
        <f t="shared" si="95"/>
        <v>39.504327121889887</v>
      </c>
      <c r="CW84" s="22">
        <f t="shared" si="67"/>
        <v>337.15936973729123</v>
      </c>
      <c r="CX84" s="62">
        <f t="shared" si="68"/>
        <v>630.49270307062454</v>
      </c>
      <c r="CY84" s="62">
        <f ca="1">AVERAGE(OFFSET($CX$3,0,0,'Données projet'!$E$13+1,1))-AVERAGE(OFFSET($H$3,0,0,'Données projet'!$E$13+1,1))</f>
        <v>246.64907095367749</v>
      </c>
      <c r="CZ84" s="62">
        <f t="shared" si="96"/>
        <v>145.34368562171613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207.03241199974599</v>
      </c>
      <c r="T85" s="62">
        <f t="shared" si="88"/>
        <v>314.188568589113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4.8208051538068952</v>
      </c>
      <c r="AA85" s="23">
        <f>EXP(-LN(2)/25)*AA84+(1-EXP(-LN(2)/25))/(LN(2)/25)*Calculateur!V85*Calculateur!X85*VLOOKUP('Données projet'!$B$9,Paramètres!$A$1:$I$89,3,0)*0.475*44/12</f>
        <v>2.3058768292833327</v>
      </c>
      <c r="AB85" s="23">
        <f>EXP(-LN(2)/2)*AB84+(1-EXP(-LN(2)/2))/(LN(2)/2)*V85*Y85*VLOOKUP('Données projet'!$B$9,Paramètres!$A$1:$I$89,3,0)*0.475*44/12</f>
        <v>4.3577368511450437E-8</v>
      </c>
      <c r="AC85" s="24">
        <f t="shared" si="57"/>
        <v>7.1266820266675959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245.25496369542458</v>
      </c>
      <c r="AO85" s="62">
        <f t="shared" si="90"/>
        <v>342.30266518164211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3.2051282051282044</v>
      </c>
      <c r="BD85" s="13">
        <f>IF('Données projet'!$A$88&gt;35,BD84+BC85-BL84,IF(A85&lt;'Données projet'!$A$88,$BA$205^A85,IF(A85='Données projet'!$A$88,'Données projet'!$B$88,BD84+BC85-BL84)))</f>
        <v>198.07692307692295</v>
      </c>
      <c r="BE85" s="14">
        <f>BD85*VLOOKUP('Données projet'!$B$11,Paramètres!$A$1:$I$89,3,0)*VLOOKUP('Données projet'!$B$11,Paramètres!$A$1:$I$89,5,0)</f>
        <v>207.02999999999992</v>
      </c>
      <c r="BF85" s="14">
        <f t="shared" si="91"/>
        <v>51.286028923955122</v>
      </c>
      <c r="BG85" s="22">
        <f t="shared" si="61"/>
        <v>449.90041704255503</v>
      </c>
      <c r="BH85" s="62">
        <f t="shared" si="62"/>
        <v>743.23375037588835</v>
      </c>
      <c r="BI85" s="62">
        <f ca="1">AVERAGE(OFFSET($BH$3,0,0,'Données projet'!$E$11+1,1))-AVERAGE(OFFSET($H$3,0,0,'Données projet'!$E$11+1,1))</f>
        <v>377.78532142539677</v>
      </c>
      <c r="BJ85" s="62">
        <f t="shared" si="92"/>
        <v>234.27695813539111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186.79999999999998</v>
      </c>
      <c r="BZ85" s="14">
        <f>BY85*VLOOKUP('Données projet'!$B$12,Paramètres!$A$1:$I$89,3,0)*VLOOKUP('Données projet'!$B$12,Paramètres!$A$1:$I$89,5,0)</f>
        <v>189.4152</v>
      </c>
      <c r="CA85" s="14">
        <f t="shared" si="93"/>
        <v>47.410638687430918</v>
      </c>
      <c r="CB85" s="22">
        <f t="shared" si="64"/>
        <v>412.4716690472755</v>
      </c>
      <c r="CC85" s="62">
        <f t="shared" si="65"/>
        <v>705.80500238060881</v>
      </c>
      <c r="CD85" s="62">
        <f ca="1">AVERAGE(OFFSET($CC$3,0,0,'Données projet'!$E$12+1,1))-AVERAGE(OFFSET($H$3,0,0,'Données projet'!$E$12+1,1))</f>
        <v>360.32217613090035</v>
      </c>
      <c r="CE85" s="62">
        <f t="shared" si="94"/>
        <v>159.6134369231965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8.9743589743589727</v>
      </c>
      <c r="CT85" s="13">
        <f>IF('Données projet'!$A$140&gt;35,CT84+CS85-DB84,IF(A85&lt;'Données projet'!$A$140,$CQ$205^A85,IF(A85='Données projet'!$A$140,'Données projet'!$B$140,CT84+CS85-DB84)))</f>
        <v>338.20512820512783</v>
      </c>
      <c r="CU85" s="18">
        <f>CT85*VLOOKUP('Données projet'!$B$13,Paramètres!$A$1:$I$89,3,0)*VLOOKUP('Données projet'!$B$13,Paramètres!$A$1:$I$89,5,0)</f>
        <v>158.27999999999983</v>
      </c>
      <c r="CV85" s="14">
        <f t="shared" si="95"/>
        <v>40.454320907632543</v>
      </c>
      <c r="CW85" s="22">
        <f t="shared" si="67"/>
        <v>346.12894224745969</v>
      </c>
      <c r="CX85" s="62">
        <f t="shared" si="68"/>
        <v>639.46227558079295</v>
      </c>
      <c r="CY85" s="62">
        <f ca="1">AVERAGE(OFFSET($CX$3,0,0,'Données projet'!$E$13+1,1))-AVERAGE(OFFSET($H$3,0,0,'Données projet'!$E$13+1,1))</f>
        <v>246.64907095367749</v>
      </c>
      <c r="CZ85" s="62">
        <f t="shared" si="96"/>
        <v>145.34368562171613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207.03241199974599</v>
      </c>
      <c r="T86" s="62">
        <f t="shared" si="88"/>
        <v>314.188568589113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4.7262721051415451</v>
      </c>
      <c r="AA86" s="23">
        <f>EXP(-LN(2)/25)*AA85+(1-EXP(-LN(2)/25))/(LN(2)/25)*Calculateur!V86*Calculateur!X86*VLOOKUP('Données projet'!$B$9,Paramètres!$A$1:$I$89,3,0)*0.475*44/12</f>
        <v>2.2428225061257878</v>
      </c>
      <c r="AB86" s="23">
        <f>EXP(-LN(2)/2)*AB85+(1-EXP(-LN(2)/2))/(LN(2)/2)*V86*Y86*VLOOKUP('Données projet'!$B$9,Paramètres!$A$1:$I$89,3,0)*0.475*44/12</f>
        <v>3.081385278071173E-8</v>
      </c>
      <c r="AC86" s="24">
        <f t="shared" si="57"/>
        <v>6.9690946420811857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245.25496369542458</v>
      </c>
      <c r="AO86" s="62">
        <f t="shared" si="90"/>
        <v>342.30266518164211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3.2051282051282044</v>
      </c>
      <c r="BD86" s="13">
        <f>IF('Données projet'!$A$88&gt;35,BD85+BC86-BL85,IF(A86&lt;'Données projet'!$A$88,$BA$205^A86,IF(A86='Données projet'!$A$88,'Données projet'!$B$88,BD85+BC86-BL85)))</f>
        <v>201.28205128205116</v>
      </c>
      <c r="BE86" s="14">
        <f>BD86*VLOOKUP('Données projet'!$B$11,Paramètres!$A$1:$I$89,3,0)*VLOOKUP('Données projet'!$B$11,Paramètres!$A$1:$I$89,5,0)</f>
        <v>210.37999999999988</v>
      </c>
      <c r="BF86" s="14">
        <f t="shared" si="91"/>
        <v>52.018616519592918</v>
      </c>
      <c r="BG86" s="22">
        <f t="shared" si="61"/>
        <v>457.01092377162405</v>
      </c>
      <c r="BH86" s="62">
        <f t="shared" si="62"/>
        <v>750.34425710495736</v>
      </c>
      <c r="BI86" s="62">
        <f ca="1">AVERAGE(OFFSET($BH$3,0,0,'Données projet'!$E$11+1,1))-AVERAGE(OFFSET($H$3,0,0,'Données projet'!$E$11+1,1))</f>
        <v>377.78532142539677</v>
      </c>
      <c r="BJ86" s="62">
        <f t="shared" si="92"/>
        <v>234.27695813539111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191.2</v>
      </c>
      <c r="BZ86" s="14">
        <f>BY86*VLOOKUP('Données projet'!$B$12,Paramètres!$A$1:$I$89,3,0)*VLOOKUP('Données projet'!$B$12,Paramètres!$A$1:$I$89,5,0)</f>
        <v>193.8768</v>
      </c>
      <c r="CA86" s="14">
        <f t="shared" si="93"/>
        <v>48.396048099527611</v>
      </c>
      <c r="CB86" s="22">
        <f t="shared" si="64"/>
        <v>421.95854377334393</v>
      </c>
      <c r="CC86" s="62">
        <f t="shared" si="65"/>
        <v>715.29187710667725</v>
      </c>
      <c r="CD86" s="62">
        <f ca="1">AVERAGE(OFFSET($CC$3,0,0,'Données projet'!$E$12+1,1))-AVERAGE(OFFSET($H$3,0,0,'Données projet'!$E$12+1,1))</f>
        <v>360.32217613090035</v>
      </c>
      <c r="CE86" s="62">
        <f t="shared" si="94"/>
        <v>159.6134369231965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8.9743589743589727</v>
      </c>
      <c r="CT86" s="13">
        <f>IF('Données projet'!$A$140&gt;35,CT85+CS86-DB85,IF(A86&lt;'Données projet'!$A$140,$CQ$205^A86,IF(A86='Données projet'!$A$140,'Données projet'!$B$140,CT85+CS86-DB85)))</f>
        <v>347.17948717948678</v>
      </c>
      <c r="CU86" s="18">
        <f>CT86*VLOOKUP('Données projet'!$B$13,Paramètres!$A$1:$I$89,3,0)*VLOOKUP('Données projet'!$B$13,Paramètres!$A$1:$I$89,5,0)</f>
        <v>162.47999999999982</v>
      </c>
      <c r="CV86" s="14">
        <f t="shared" si="95"/>
        <v>41.401384607667218</v>
      </c>
      <c r="CW86" s="22">
        <f t="shared" si="67"/>
        <v>355.09341152502003</v>
      </c>
      <c r="CX86" s="62">
        <f t="shared" si="68"/>
        <v>648.42674485835335</v>
      </c>
      <c r="CY86" s="62">
        <f ca="1">AVERAGE(OFFSET($CX$3,0,0,'Données projet'!$E$13+1,1))-AVERAGE(OFFSET($H$3,0,0,'Données projet'!$E$13+1,1))</f>
        <v>246.64907095367749</v>
      </c>
      <c r="CZ86" s="62">
        <f t="shared" si="96"/>
        <v>145.34368562171613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207.03241199974599</v>
      </c>
      <c r="T87" s="62">
        <f t="shared" si="88"/>
        <v>314.188568589113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4.633592791901056</v>
      </c>
      <c r="AA87" s="23">
        <f>EXP(-LN(2)/25)*AA86+(1-EXP(-LN(2)/25))/(LN(2)/25)*Calculateur!V87*Calculateur!X87*VLOOKUP('Données projet'!$B$9,Paramètres!$A$1:$I$89,3,0)*0.475*44/12</f>
        <v>2.1814924067508685</v>
      </c>
      <c r="AB87" s="23">
        <f>EXP(-LN(2)/2)*AB86+(1-EXP(-LN(2)/2))/(LN(2)/2)*V87*Y87*VLOOKUP('Données projet'!$B$9,Paramètres!$A$1:$I$89,3,0)*0.475*44/12</f>
        <v>2.1788684255725218E-8</v>
      </c>
      <c r="AC87" s="24">
        <f t="shared" si="57"/>
        <v>6.8150852204406096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245.25496369542458</v>
      </c>
      <c r="AO87" s="62">
        <f t="shared" si="90"/>
        <v>342.30266518164211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3.2051282051282044</v>
      </c>
      <c r="BD87" s="13">
        <f>IF('Données projet'!$A$88&gt;35,BD86+BC87-BL86,IF(A87&lt;'Données projet'!$A$88,$BA$205^A87,IF(A87='Données projet'!$A$88,'Données projet'!$B$88,BD86+BC87-BL86)))</f>
        <v>204.48717948717936</v>
      </c>
      <c r="BE87" s="14">
        <f>BD87*VLOOKUP('Données projet'!$B$11,Paramètres!$A$1:$I$89,3,0)*VLOOKUP('Données projet'!$B$11,Paramètres!$A$1:$I$89,5,0)</f>
        <v>213.7299999999999</v>
      </c>
      <c r="BF87" s="14">
        <f t="shared" si="91"/>
        <v>52.749847458788246</v>
      </c>
      <c r="BG87" s="22">
        <f t="shared" si="61"/>
        <v>464.11906765738928</v>
      </c>
      <c r="BH87" s="62">
        <f t="shared" si="62"/>
        <v>757.45240099072259</v>
      </c>
      <c r="BI87" s="62">
        <f ca="1">AVERAGE(OFFSET($BH$3,0,0,'Données projet'!$E$11+1,1))-AVERAGE(OFFSET($H$3,0,0,'Données projet'!$E$11+1,1))</f>
        <v>377.78532142539677</v>
      </c>
      <c r="BJ87" s="62">
        <f t="shared" si="92"/>
        <v>234.27695813539111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195.6</v>
      </c>
      <c r="BZ87" s="14">
        <f>BY87*VLOOKUP('Données projet'!$B$12,Paramètres!$A$1:$I$89,3,0)*VLOOKUP('Données projet'!$B$12,Paramètres!$A$1:$I$89,5,0)</f>
        <v>198.33840000000001</v>
      </c>
      <c r="CA87" s="14">
        <f t="shared" si="93"/>
        <v>49.378821219958084</v>
      </c>
      <c r="CB87" s="22">
        <f t="shared" si="64"/>
        <v>431.44082695809374</v>
      </c>
      <c r="CC87" s="62">
        <f t="shared" si="65"/>
        <v>724.77416029142705</v>
      </c>
      <c r="CD87" s="62">
        <f ca="1">AVERAGE(OFFSET($CC$3,0,0,'Données projet'!$E$12+1,1))-AVERAGE(OFFSET($H$3,0,0,'Données projet'!$E$12+1,1))</f>
        <v>360.32217613090035</v>
      </c>
      <c r="CE87" s="62">
        <f t="shared" si="94"/>
        <v>159.6134369231965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8.9743589743589727</v>
      </c>
      <c r="CT87" s="13">
        <f>IF('Données projet'!$A$140&gt;35,CT86+CS87-DB86,IF(A87&lt;'Données projet'!$A$140,$CQ$205^A87,IF(A87='Données projet'!$A$140,'Données projet'!$B$140,CT86+CS87-DB86)))</f>
        <v>356.15384615384573</v>
      </c>
      <c r="CU87" s="18">
        <f>CT87*VLOOKUP('Données projet'!$B$13,Paramètres!$A$1:$I$89,3,0)*VLOOKUP('Données projet'!$B$13,Paramètres!$A$1:$I$89,5,0)</f>
        <v>166.67999999999981</v>
      </c>
      <c r="CV87" s="14">
        <f t="shared" si="95"/>
        <v>42.345602670937915</v>
      </c>
      <c r="CW87" s="22">
        <f t="shared" si="67"/>
        <v>364.05292465188319</v>
      </c>
      <c r="CX87" s="62">
        <f t="shared" si="68"/>
        <v>657.3862579852165</v>
      </c>
      <c r="CY87" s="62">
        <f ca="1">AVERAGE(OFFSET($CX$3,0,0,'Données projet'!$E$13+1,1))-AVERAGE(OFFSET($H$3,0,0,'Données projet'!$E$13+1,1))</f>
        <v>246.64907095367749</v>
      </c>
      <c r="CZ87" s="62">
        <f t="shared" si="96"/>
        <v>145.34368562171613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207.03241199974599</v>
      </c>
      <c r="T88" s="62">
        <f t="shared" si="88"/>
        <v>314.188568589113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4.5427308634644143</v>
      </c>
      <c r="AA88" s="23">
        <f>EXP(-LN(2)/25)*AA87+(1-EXP(-LN(2)/25))/(LN(2)/25)*Calculateur!V88*Calculateur!X88*VLOOKUP('Données projet'!$B$9,Paramètres!$A$1:$I$89,3,0)*0.475*44/12</f>
        <v>2.1218393821685662</v>
      </c>
      <c r="AB88" s="23">
        <f>EXP(-LN(2)/2)*AB87+(1-EXP(-LN(2)/2))/(LN(2)/2)*V88*Y88*VLOOKUP('Données projet'!$B$9,Paramètres!$A$1:$I$89,3,0)*0.475*44/12</f>
        <v>1.5406926390355865E-8</v>
      </c>
      <c r="AC88" s="24">
        <f t="shared" si="57"/>
        <v>6.6645702610399065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245.25496369542458</v>
      </c>
      <c r="AO88" s="62">
        <f t="shared" si="90"/>
        <v>342.30266518164211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207.69230769230768</v>
      </c>
      <c r="BB88" s="13">
        <f>VLOOKUP(A88,'Données projet'!$A$87:$I$107,9,0)</f>
        <v>3.2051282051282044</v>
      </c>
      <c r="BC88" s="13">
        <f t="array" ref="BC88">INDEX(BB:BB,MIN(IF(ISNUMBER(BB88:BB284),ROW(BB88:BB284),"")))</f>
        <v>3.2051282051282044</v>
      </c>
      <c r="BD88" s="13">
        <f>IF('Données projet'!$A$88&gt;35,BD87+BC88-BL87,IF(A88&lt;'Données projet'!$A$88,$BA$205^A88,IF(A88='Données projet'!$A$88,'Données projet'!$B$88,BD87+BC88-BL87)))</f>
        <v>207.69230769230757</v>
      </c>
      <c r="BE88" s="14">
        <f>BD88*VLOOKUP('Données projet'!$B$11,Paramètres!$A$1:$I$89,3,0)*VLOOKUP('Données projet'!$B$11,Paramètres!$A$1:$I$89,5,0)</f>
        <v>217.0799999999999</v>
      </c>
      <c r="BF88" s="14">
        <f t="shared" si="91"/>
        <v>53.479745461216197</v>
      </c>
      <c r="BG88" s="22">
        <f t="shared" si="61"/>
        <v>471.22489001161802</v>
      </c>
      <c r="BH88" s="62">
        <f t="shared" si="62"/>
        <v>764.55822334495133</v>
      </c>
      <c r="BI88" s="62">
        <f ca="1">AVERAGE(OFFSET($BH$3,0,0,'Données projet'!$E$11+1,1))-AVERAGE(OFFSET($H$3,0,0,'Données projet'!$E$11+1,1))</f>
        <v>377.78532142539677</v>
      </c>
      <c r="BJ88" s="62">
        <f t="shared" si="92"/>
        <v>234.27695813539111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200</v>
      </c>
      <c r="BZ88" s="14">
        <f>BY88*VLOOKUP('Données projet'!$B$12,Paramètres!$A$1:$I$89,3,0)*VLOOKUP('Données projet'!$B$12,Paramètres!$A$1:$I$89,5,0)</f>
        <v>202.8</v>
      </c>
      <c r="CA88" s="14">
        <f t="shared" si="93"/>
        <v>50.359024179354016</v>
      </c>
      <c r="CB88" s="22">
        <f t="shared" si="64"/>
        <v>440.91863377904156</v>
      </c>
      <c r="CC88" s="62">
        <f t="shared" si="65"/>
        <v>734.25196711237481</v>
      </c>
      <c r="CD88" s="62">
        <f ca="1">AVERAGE(OFFSET($CC$3,0,0,'Données projet'!$E$12+1,1))-AVERAGE(OFFSET($H$3,0,0,'Données projet'!$E$12+1,1))</f>
        <v>360.32217613090035</v>
      </c>
      <c r="CE88" s="62">
        <f t="shared" si="94"/>
        <v>159.6134369231965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8.9743589743589727</v>
      </c>
      <c r="CT88" s="13">
        <f>IF('Données projet'!$A$140&gt;35,CT87+CS88-DB87,IF(A88&lt;'Données projet'!$A$140,$CQ$205^A88,IF(A88='Données projet'!$A$140,'Données projet'!$B$140,CT87+CS88-DB87)))</f>
        <v>365.12820512820468</v>
      </c>
      <c r="CU88" s="18">
        <f>CT88*VLOOKUP('Données projet'!$B$13,Paramètres!$A$1:$I$89,3,0)*VLOOKUP('Données projet'!$B$13,Paramètres!$A$1:$I$89,5,0)</f>
        <v>170.8799999999998</v>
      </c>
      <c r="CV88" s="14">
        <f t="shared" si="95"/>
        <v>43.287055047972629</v>
      </c>
      <c r="CW88" s="22">
        <f t="shared" si="67"/>
        <v>373.00762087521866</v>
      </c>
      <c r="CX88" s="62">
        <f t="shared" si="68"/>
        <v>666.34095420855192</v>
      </c>
      <c r="CY88" s="62">
        <f ca="1">AVERAGE(OFFSET($CX$3,0,0,'Données projet'!$E$13+1,1))-AVERAGE(OFFSET($H$3,0,0,'Données projet'!$E$13+1,1))</f>
        <v>246.64907095367749</v>
      </c>
      <c r="CZ88" s="62">
        <f t="shared" si="96"/>
        <v>145.34368562171613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207.03241199974599</v>
      </c>
      <c r="T89" s="62">
        <f t="shared" si="88"/>
        <v>314.188568589113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4.4536506820241106</v>
      </c>
      <c r="AA89" s="23">
        <f>EXP(-LN(2)/25)*AA88+(1-EXP(-LN(2)/25))/(LN(2)/25)*Calculateur!V89*Calculateur!X89*VLOOKUP('Données projet'!$B$9,Paramètres!$A$1:$I$89,3,0)*0.475*44/12</f>
        <v>2.0638175726804833</v>
      </c>
      <c r="AB89" s="23">
        <f>EXP(-LN(2)/2)*AB88+(1-EXP(-LN(2)/2))/(LN(2)/2)*V89*Y89*VLOOKUP('Données projet'!$B$9,Paramètres!$A$1:$I$89,3,0)*0.475*44/12</f>
        <v>1.0894342127862609E-8</v>
      </c>
      <c r="AC89" s="24">
        <f t="shared" si="57"/>
        <v>6.5174682655989367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245.25496369542458</v>
      </c>
      <c r="AO89" s="62">
        <f t="shared" si="90"/>
        <v>342.30266518164211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2.9487179487179502</v>
      </c>
      <c r="BD89" s="13">
        <f>IF('Données projet'!$A$88&gt;35,BD88+BC89-BL88,IF(A89&lt;'Données projet'!$A$88,$BA$205^A89,IF(A89='Données projet'!$A$88,'Données projet'!$B$88,BD88+BC89-BL88)))</f>
        <v>210.64102564102552</v>
      </c>
      <c r="BE89" s="14">
        <f>BD89*VLOOKUP('Données projet'!$B$11,Paramètres!$A$1:$I$89,3,0)*VLOOKUP('Données projet'!$B$11,Paramètres!$A$1:$I$89,5,0)</f>
        <v>220.16199999999989</v>
      </c>
      <c r="BF89" s="14">
        <f t="shared" si="91"/>
        <v>54.150094111630509</v>
      </c>
      <c r="BG89" s="22">
        <f t="shared" si="61"/>
        <v>477.76023057775632</v>
      </c>
      <c r="BH89" s="62">
        <f t="shared" si="62"/>
        <v>771.09356391108963</v>
      </c>
      <c r="BI89" s="62">
        <f ca="1">AVERAGE(OFFSET($BH$3,0,0,'Données projet'!$E$11+1,1))-AVERAGE(OFFSET($H$3,0,0,'Données projet'!$E$11+1,1))</f>
        <v>377.78532142539677</v>
      </c>
      <c r="BJ89" s="62">
        <f t="shared" si="92"/>
        <v>234.27695813539111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204.2</v>
      </c>
      <c r="BZ89" s="14">
        <f>BY89*VLOOKUP('Données projet'!$B$12,Paramètres!$A$1:$I$89,3,0)*VLOOKUP('Données projet'!$B$12,Paramètres!$A$1:$I$89,5,0)</f>
        <v>207.05879999999999</v>
      </c>
      <c r="CA89" s="14">
        <f t="shared" si="93"/>
        <v>51.292332840714117</v>
      </c>
      <c r="CB89" s="22">
        <f t="shared" si="64"/>
        <v>449.96155636424373</v>
      </c>
      <c r="CC89" s="62">
        <f t="shared" si="65"/>
        <v>743.29488969757699</v>
      </c>
      <c r="CD89" s="62">
        <f ca="1">AVERAGE(OFFSET($CC$3,0,0,'Données projet'!$E$12+1,1))-AVERAGE(OFFSET($H$3,0,0,'Données projet'!$E$12+1,1))</f>
        <v>360.32217613090035</v>
      </c>
      <c r="CE89" s="62">
        <f t="shared" si="94"/>
        <v>159.6134369231965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8.9743589743589727</v>
      </c>
      <c r="CT89" s="13">
        <f>IF('Données projet'!$A$140&gt;35,CT88+CS89-DB88,IF(A89&lt;'Données projet'!$A$140,$CQ$205^A89,IF(A89='Données projet'!$A$140,'Données projet'!$B$140,CT88+CS89-DB88)))</f>
        <v>374.10256410256363</v>
      </c>
      <c r="CU89" s="18">
        <f>CT89*VLOOKUP('Données projet'!$B$13,Paramètres!$A$1:$I$89,3,0)*VLOOKUP('Données projet'!$B$13,Paramètres!$A$1:$I$89,5,0)</f>
        <v>175.07999999999976</v>
      </c>
      <c r="CV89" s="14">
        <f t="shared" si="95"/>
        <v>44.225817535095111</v>
      </c>
      <c r="CW89" s="22">
        <f t="shared" si="67"/>
        <v>381.95763220695682</v>
      </c>
      <c r="CX89" s="62">
        <f t="shared" si="68"/>
        <v>675.29096554029013</v>
      </c>
      <c r="CY89" s="62">
        <f ca="1">AVERAGE(OFFSET($CX$3,0,0,'Données projet'!$E$13+1,1))-AVERAGE(OFFSET($H$3,0,0,'Données projet'!$E$13+1,1))</f>
        <v>246.64907095367749</v>
      </c>
      <c r="CZ89" s="62">
        <f t="shared" si="96"/>
        <v>145.34368562171613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207.03241199974599</v>
      </c>
      <c r="T90" s="62">
        <f t="shared" si="88"/>
        <v>314.188568589113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4.3663173086083056</v>
      </c>
      <c r="AA90" s="23">
        <f>EXP(-LN(2)/25)*AA89+(1-EXP(-LN(2)/25))/(LN(2)/25)*Calculateur!V90*Calculateur!X90*VLOOKUP('Données projet'!$B$9,Paramètres!$A$1:$I$89,3,0)*0.475*44/12</f>
        <v>2.007382372624086</v>
      </c>
      <c r="AB90" s="23">
        <f>EXP(-LN(2)/2)*AB89+(1-EXP(-LN(2)/2))/(LN(2)/2)*V90*Y90*VLOOKUP('Données projet'!$B$9,Paramètres!$A$1:$I$89,3,0)*0.475*44/12</f>
        <v>7.7034631951779324E-9</v>
      </c>
      <c r="AC90" s="24">
        <f t="shared" si="57"/>
        <v>6.3736996889358544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245.25496369542458</v>
      </c>
      <c r="AO90" s="62">
        <f t="shared" si="90"/>
        <v>342.30266518164211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2.9487179487179502</v>
      </c>
      <c r="BD90" s="13">
        <f>IF('Données projet'!$A$88&gt;35,BD89+BC90-BL89,IF(A90&lt;'Données projet'!$A$88,$BA$205^A90,IF(A90='Données projet'!$A$88,'Données projet'!$B$88,BD89+BC90-BL89)))</f>
        <v>213.58974358974348</v>
      </c>
      <c r="BE90" s="14">
        <f>BD90*VLOOKUP('Données projet'!$B$11,Paramètres!$A$1:$I$89,3,0)*VLOOKUP('Données projet'!$B$11,Paramètres!$A$1:$I$89,5,0)</f>
        <v>223.24399999999989</v>
      </c>
      <c r="BF90" s="14">
        <f t="shared" si="91"/>
        <v>54.819351308623148</v>
      </c>
      <c r="BG90" s="22">
        <f t="shared" si="61"/>
        <v>484.2936701958518</v>
      </c>
      <c r="BH90" s="62">
        <f t="shared" si="62"/>
        <v>777.62700352918512</v>
      </c>
      <c r="BI90" s="62">
        <f ca="1">AVERAGE(OFFSET($BH$3,0,0,'Données projet'!$E$11+1,1))-AVERAGE(OFFSET($H$3,0,0,'Données projet'!$E$11+1,1))</f>
        <v>377.78532142539677</v>
      </c>
      <c r="BJ90" s="62">
        <f t="shared" si="92"/>
        <v>234.27695813539111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208.39999999999998</v>
      </c>
      <c r="BZ90" s="14">
        <f>BY90*VLOOKUP('Données projet'!$B$12,Paramètres!$A$1:$I$89,3,0)*VLOOKUP('Données projet'!$B$12,Paramètres!$A$1:$I$89,5,0)</f>
        <v>211.31759999999997</v>
      </c>
      <c r="CA90" s="14">
        <f t="shared" si="93"/>
        <v>52.223409552263242</v>
      </c>
      <c r="CB90" s="22">
        <f t="shared" si="64"/>
        <v>459.00059163685847</v>
      </c>
      <c r="CC90" s="62">
        <f t="shared" si="65"/>
        <v>752.33392497019179</v>
      </c>
      <c r="CD90" s="62">
        <f ca="1">AVERAGE(OFFSET($CC$3,0,0,'Données projet'!$E$12+1,1))-AVERAGE(OFFSET($H$3,0,0,'Données projet'!$E$12+1,1))</f>
        <v>360.32217613090035</v>
      </c>
      <c r="CE90" s="62">
        <f t="shared" si="94"/>
        <v>159.6134369231965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383.07692307692304</v>
      </c>
      <c r="CR90" s="13">
        <f>VLOOKUP(A90,'Données projet'!$A$139:$I$159,9,0)</f>
        <v>8.9743589743589727</v>
      </c>
      <c r="CS90" s="13">
        <f t="array" ref="CS90">INDEX(CR:CR,MIN(IF(ISNUMBER(CR90:CR286),ROW(CR90:CR286),"")))</f>
        <v>8.9743589743589727</v>
      </c>
      <c r="CT90" s="13">
        <f>IF('Données projet'!$A$140&gt;35,CT89+CS90-DB89,IF(A90&lt;'Données projet'!$A$140,$CQ$205^A90,IF(A90='Données projet'!$A$140,'Données projet'!$B$140,CT89+CS90-DB89)))</f>
        <v>383.07692307692258</v>
      </c>
      <c r="CU90" s="18">
        <f>CT90*VLOOKUP('Données projet'!$B$13,Paramètres!$A$1:$I$89,3,0)*VLOOKUP('Données projet'!$B$13,Paramètres!$A$1:$I$89,5,0)</f>
        <v>179.27999999999975</v>
      </c>
      <c r="CV90" s="14">
        <f t="shared" si="95"/>
        <v>45.161962084677604</v>
      </c>
      <c r="CW90" s="22">
        <f t="shared" si="67"/>
        <v>390.90308396414639</v>
      </c>
      <c r="CX90" s="62">
        <f t="shared" si="68"/>
        <v>684.23641729747965</v>
      </c>
      <c r="CY90" s="62">
        <f ca="1">AVERAGE(OFFSET($CX$3,0,0,'Données projet'!$E$13+1,1))-AVERAGE(OFFSET($H$3,0,0,'Données projet'!$E$13+1,1))</f>
        <v>246.64907095367749</v>
      </c>
      <c r="CZ90" s="62">
        <f t="shared" si="96"/>
        <v>145.34368562171613</v>
      </c>
      <c r="DA90" s="16">
        <f>IF(ISNA(VLOOKUP(A90,'Données projet'!$A$139:$I$159,3,0)),0,VLOOKUP(A90,'Données projet'!$A$139:$I$159,3,0))</f>
        <v>4</v>
      </c>
      <c r="DB90" s="16">
        <f>IF(ISNA(VLOOKUP(A90,'Données projet'!$A$139:$I$159,4,0)),0,VLOOKUP(A90,'Données projet'!$A$139:$I$159,4,0))</f>
        <v>83.076923076923038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207.03241199974599</v>
      </c>
      <c r="T91" s="62">
        <f t="shared" si="88"/>
        <v>314.188568589113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4.2806964893770871</v>
      </c>
      <c r="AA91" s="23">
        <f>EXP(-LN(2)/25)*AA90+(1-EXP(-LN(2)/25))/(LN(2)/25)*Calculateur!V91*Calculateur!X91*VLOOKUP('Données projet'!$B$9,Paramètres!$A$1:$I$89,3,0)*0.475*44/12</f>
        <v>1.9524903960810294</v>
      </c>
      <c r="AB91" s="23">
        <f>EXP(-LN(2)/2)*AB90+(1-EXP(-LN(2)/2))/(LN(2)/2)*V91*Y91*VLOOKUP('Données projet'!$B$9,Paramètres!$A$1:$I$89,3,0)*0.475*44/12</f>
        <v>5.4471710639313046E-9</v>
      </c>
      <c r="AC91" s="24">
        <f t="shared" si="57"/>
        <v>6.2331868909052872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245.25496369542458</v>
      </c>
      <c r="AO91" s="62">
        <f t="shared" si="90"/>
        <v>342.30266518164211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2.9487179487179502</v>
      </c>
      <c r="BD91" s="13">
        <f>IF('Données projet'!$A$88&gt;35,BD90+BC91-BL90,IF(A91&lt;'Données projet'!$A$88,$BA$205^A91,IF(A91='Données projet'!$A$88,'Données projet'!$B$88,BD90+BC91-BL90)))</f>
        <v>216.53846153846143</v>
      </c>
      <c r="BE91" s="14">
        <f>BD91*VLOOKUP('Données projet'!$B$11,Paramètres!$A$1:$I$89,3,0)*VLOOKUP('Données projet'!$B$11,Paramètres!$A$1:$I$89,5,0)</f>
        <v>226.32599999999991</v>
      </c>
      <c r="BF91" s="14">
        <f t="shared" si="91"/>
        <v>55.487533861769222</v>
      </c>
      <c r="BG91" s="22">
        <f t="shared" si="61"/>
        <v>490.82523814258121</v>
      </c>
      <c r="BH91" s="62">
        <f t="shared" si="62"/>
        <v>784.15857147591453</v>
      </c>
      <c r="BI91" s="62">
        <f ca="1">AVERAGE(OFFSET($BH$3,0,0,'Données projet'!$E$11+1,1))-AVERAGE(OFFSET($H$3,0,0,'Données projet'!$E$11+1,1))</f>
        <v>377.78532142539677</v>
      </c>
      <c r="BJ91" s="62">
        <f t="shared" si="92"/>
        <v>234.27695813539111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212.59999999999997</v>
      </c>
      <c r="BZ91" s="14">
        <f>BY91*VLOOKUP('Données projet'!$B$12,Paramètres!$A$1:$I$89,3,0)*VLOOKUP('Données projet'!$B$12,Paramètres!$A$1:$I$89,5,0)</f>
        <v>215.57639999999995</v>
      </c>
      <c r="CA91" s="14">
        <f t="shared" si="93"/>
        <v>53.152304479585219</v>
      </c>
      <c r="CB91" s="22">
        <f t="shared" si="64"/>
        <v>468.03582696861082</v>
      </c>
      <c r="CC91" s="62">
        <f t="shared" si="65"/>
        <v>761.36916030194413</v>
      </c>
      <c r="CD91" s="62">
        <f ca="1">AVERAGE(OFFSET($CC$3,0,0,'Données projet'!$E$12+1,1))-AVERAGE(OFFSET($H$3,0,0,'Données projet'!$E$12+1,1))</f>
        <v>360.32217613090035</v>
      </c>
      <c r="CE91" s="62">
        <f t="shared" si="94"/>
        <v>159.6134369231965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8.1410256410256405</v>
      </c>
      <c r="CT91" s="13">
        <f>IF('Données projet'!$A$140&gt;35,CT90+CS91-DB90,IF(A91&lt;'Données projet'!$A$140,$CQ$205^A91,IF(A91='Données projet'!$A$140,'Données projet'!$B$140,CT90+CS91-DB90)))</f>
        <v>308.14102564102518</v>
      </c>
      <c r="CU91" s="18">
        <f>CT91*VLOOKUP('Données projet'!$B$13,Paramètres!$A$1:$I$89,3,0)*VLOOKUP('Données projet'!$B$13,Paramètres!$A$1:$I$89,5,0)</f>
        <v>144.20999999999978</v>
      </c>
      <c r="CV91" s="14">
        <f t="shared" si="95"/>
        <v>37.259788027931044</v>
      </c>
      <c r="CW91" s="22">
        <f t="shared" si="67"/>
        <v>316.05988081531285</v>
      </c>
      <c r="CX91" s="62">
        <f t="shared" si="68"/>
        <v>609.39321414864617</v>
      </c>
      <c r="CY91" s="62">
        <f ca="1">AVERAGE(OFFSET($CX$3,0,0,'Données projet'!$E$13+1,1))-AVERAGE(OFFSET($H$3,0,0,'Données projet'!$E$13+1,1))</f>
        <v>246.64907095367749</v>
      </c>
      <c r="CZ91" s="62">
        <f t="shared" si="96"/>
        <v>145.34368562171613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207.03241199974599</v>
      </c>
      <c r="T92" s="62">
        <f t="shared" si="88"/>
        <v>314.188568589113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4.1967546421874493</v>
      </c>
      <c r="AA92" s="23">
        <f>EXP(-LN(2)/25)*AA91+(1-EXP(-LN(2)/25))/(LN(2)/25)*Calculateur!V92*Calculateur!X92*VLOOKUP('Données projet'!$B$9,Paramètres!$A$1:$I$89,3,0)*0.475*44/12</f>
        <v>1.8990994435231863</v>
      </c>
      <c r="AB92" s="23">
        <f>EXP(-LN(2)/2)*AB91+(1-EXP(-LN(2)/2))/(LN(2)/2)*V92*Y92*VLOOKUP('Données projet'!$B$9,Paramètres!$A$1:$I$89,3,0)*0.475*44/12</f>
        <v>3.8517315975889662E-9</v>
      </c>
      <c r="AC92" s="24">
        <f t="shared" si="57"/>
        <v>6.0958540895623674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245.25496369542458</v>
      </c>
      <c r="AO92" s="62">
        <f t="shared" si="90"/>
        <v>342.30266518164211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2.9487179487179502</v>
      </c>
      <c r="BD92" s="13">
        <f>IF('Données projet'!$A$88&gt;35,BD91+BC92-BL91,IF(A92&lt;'Données projet'!$A$88,$BA$205^A92,IF(A92='Données projet'!$A$88,'Données projet'!$B$88,BD91+BC92-BL91)))</f>
        <v>219.48717948717939</v>
      </c>
      <c r="BE92" s="14">
        <f>BD92*VLOOKUP('Données projet'!$B$11,Paramètres!$A$1:$I$89,3,0)*VLOOKUP('Données projet'!$B$11,Paramètres!$A$1:$I$89,5,0)</f>
        <v>229.40799999999993</v>
      </c>
      <c r="BF92" s="14">
        <f t="shared" si="91"/>
        <v>56.154658096528863</v>
      </c>
      <c r="BG92" s="22">
        <f t="shared" si="61"/>
        <v>497.35496285145433</v>
      </c>
      <c r="BH92" s="62">
        <f t="shared" si="62"/>
        <v>790.68829618478765</v>
      </c>
      <c r="BI92" s="62">
        <f ca="1">AVERAGE(OFFSET($BH$3,0,0,'Données projet'!$E$11+1,1))-AVERAGE(OFFSET($H$3,0,0,'Données projet'!$E$11+1,1))</f>
        <v>377.78532142539677</v>
      </c>
      <c r="BJ92" s="62">
        <f t="shared" si="92"/>
        <v>234.27695813539111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216.79999999999995</v>
      </c>
      <c r="BZ92" s="14">
        <f>BY92*VLOOKUP('Données projet'!$B$12,Paramètres!$A$1:$I$89,3,0)*VLOOKUP('Données projet'!$B$12,Paramètres!$A$1:$I$89,5,0)</f>
        <v>219.83519999999999</v>
      </c>
      <c r="CA92" s="14">
        <f t="shared" si="93"/>
        <v>54.079065692824393</v>
      </c>
      <c r="CB92" s="22">
        <f t="shared" si="64"/>
        <v>477.06734608166909</v>
      </c>
      <c r="CC92" s="62">
        <f t="shared" si="65"/>
        <v>770.4006794150024</v>
      </c>
      <c r="CD92" s="62">
        <f ca="1">AVERAGE(OFFSET($CC$3,0,0,'Données projet'!$E$12+1,1))-AVERAGE(OFFSET($H$3,0,0,'Données projet'!$E$12+1,1))</f>
        <v>360.32217613090035</v>
      </c>
      <c r="CE92" s="62">
        <f t="shared" si="94"/>
        <v>159.6134369231965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8.1410256410256405</v>
      </c>
      <c r="CT92" s="13">
        <f>IF('Données projet'!$A$140&gt;35,CT91+CS92-DB91,IF(A92&lt;'Données projet'!$A$140,$CQ$205^A92,IF(A92='Données projet'!$A$140,'Données projet'!$B$140,CT91+CS92-DB91)))</f>
        <v>316.28205128205082</v>
      </c>
      <c r="CU92" s="18">
        <f>CT92*VLOOKUP('Données projet'!$B$13,Paramètres!$A$1:$I$89,3,0)*VLOOKUP('Données projet'!$B$13,Paramètres!$A$1:$I$89,5,0)</f>
        <v>148.01999999999978</v>
      </c>
      <c r="CV92" s="14">
        <f t="shared" si="95"/>
        <v>38.12827612701787</v>
      </c>
      <c r="CW92" s="22">
        <f t="shared" si="67"/>
        <v>324.20824758788905</v>
      </c>
      <c r="CX92" s="62">
        <f t="shared" si="68"/>
        <v>617.54158092122236</v>
      </c>
      <c r="CY92" s="62">
        <f ca="1">AVERAGE(OFFSET($CX$3,0,0,'Données projet'!$E$13+1,1))-AVERAGE(OFFSET($H$3,0,0,'Données projet'!$E$13+1,1))</f>
        <v>246.64907095367749</v>
      </c>
      <c r="CZ92" s="62">
        <f t="shared" si="96"/>
        <v>145.34368562171613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207.03241199974599</v>
      </c>
      <c r="T93" s="62">
        <f t="shared" si="88"/>
        <v>314.188568589113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4.1144588434217289</v>
      </c>
      <c r="AA93" s="23">
        <f>EXP(-LN(2)/25)*AA92+(1-EXP(-LN(2)/25))/(LN(2)/25)*Calculateur!V93*Calculateur!X93*VLOOKUP('Données projet'!$B$9,Paramètres!$A$1:$I$89,3,0)*0.475*44/12</f>
        <v>1.8471684693707455</v>
      </c>
      <c r="AB93" s="23">
        <f>EXP(-LN(2)/2)*AB92+(1-EXP(-LN(2)/2))/(LN(2)/2)*V93*Y93*VLOOKUP('Données projet'!$B$9,Paramètres!$A$1:$I$89,3,0)*0.475*44/12</f>
        <v>2.7235855319656523E-9</v>
      </c>
      <c r="AC93" s="24">
        <f t="shared" si="57"/>
        <v>5.9616273155160604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245.25496369542458</v>
      </c>
      <c r="AO93" s="62">
        <f t="shared" si="90"/>
        <v>342.30266518164211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222.43589743589743</v>
      </c>
      <c r="BB93" s="13">
        <f>VLOOKUP(A93,'Données projet'!$A$87:$I$107,9,0)</f>
        <v>2.9487179487179502</v>
      </c>
      <c r="BC93" s="13">
        <f t="array" ref="BC93">INDEX(BB:BB,MIN(IF(ISNUMBER(BB93:BB289),ROW(BB93:BB289),"")))</f>
        <v>2.9487179487179502</v>
      </c>
      <c r="BD93" s="13">
        <f>IF('Données projet'!$A$88&gt;35,BD92+BC93-BL92,IF(A93&lt;'Données projet'!$A$88,$BA$205^A93,IF(A93='Données projet'!$A$88,'Données projet'!$B$88,BD92+BC93-BL92)))</f>
        <v>222.43589743589735</v>
      </c>
      <c r="BE93" s="14">
        <f>BD93*VLOOKUP('Données projet'!$B$11,Paramètres!$A$1:$I$89,3,0)*VLOOKUP('Données projet'!$B$11,Paramètres!$A$1:$I$89,5,0)</f>
        <v>232.48999999999995</v>
      </c>
      <c r="BF93" s="14">
        <f t="shared" si="91"/>
        <v>56.820739874502536</v>
      </c>
      <c r="BG93" s="22">
        <f t="shared" si="61"/>
        <v>503.8828719480918</v>
      </c>
      <c r="BH93" s="62">
        <f t="shared" si="62"/>
        <v>797.21620528142512</v>
      </c>
      <c r="BI93" s="62">
        <f ca="1">AVERAGE(OFFSET($BH$3,0,0,'Données projet'!$E$11+1,1))-AVERAGE(OFFSET($H$3,0,0,'Données projet'!$E$11+1,1))</f>
        <v>377.78532142539677</v>
      </c>
      <c r="BJ93" s="62">
        <f t="shared" si="92"/>
        <v>234.27695813539111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16.666666666666668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221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220.99999999999994</v>
      </c>
      <c r="BZ93" s="14">
        <f>BY93*VLOOKUP('Données projet'!$B$12,Paramètres!$A$1:$I$89,3,0)*VLOOKUP('Données projet'!$B$12,Paramètres!$A$1:$I$89,5,0)</f>
        <v>224.09399999999997</v>
      </c>
      <c r="CA93" s="14">
        <f t="shared" si="93"/>
        <v>55.003739293082717</v>
      </c>
      <c r="CB93" s="22">
        <f t="shared" si="64"/>
        <v>486.09522926878566</v>
      </c>
      <c r="CC93" s="62">
        <f t="shared" si="65"/>
        <v>779.42856260211897</v>
      </c>
      <c r="CD93" s="62">
        <f ca="1">AVERAGE(OFFSET($CC$3,0,0,'Données projet'!$E$12+1,1))-AVERAGE(OFFSET($H$3,0,0,'Données projet'!$E$12+1,1))</f>
        <v>360.32217613090035</v>
      </c>
      <c r="CE93" s="62">
        <f t="shared" si="94"/>
        <v>159.6134369231965</v>
      </c>
      <c r="CF93" s="16">
        <f>IF(ISNA(VLOOKUP(A93,'Données projet'!$A$113:$I$133,3,0)),0,VLOOKUP(A93,'Données projet'!$A$113:$I$133,3,0))</f>
        <v>6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8.1410256410256405</v>
      </c>
      <c r="CT93" s="13">
        <f>IF('Données projet'!$A$140&gt;35,CT92+CS93-DB92,IF(A93&lt;'Données projet'!$A$140,$CQ$205^A93,IF(A93='Données projet'!$A$140,'Données projet'!$B$140,CT92+CS93-DB92)))</f>
        <v>324.42307692307645</v>
      </c>
      <c r="CU93" s="18">
        <f>CT93*VLOOKUP('Données projet'!$B$13,Paramètres!$A$1:$I$89,3,0)*VLOOKUP('Données projet'!$B$13,Paramètres!$A$1:$I$89,5,0)</f>
        <v>151.82999999999979</v>
      </c>
      <c r="CV93" s="14">
        <f t="shared" si="95"/>
        <v>38.994165732360706</v>
      </c>
      <c r="CW93" s="22">
        <f t="shared" si="67"/>
        <v>332.35208865052783</v>
      </c>
      <c r="CX93" s="62">
        <f t="shared" si="68"/>
        <v>625.68542198386115</v>
      </c>
      <c r="CY93" s="62">
        <f ca="1">AVERAGE(OFFSET($CX$3,0,0,'Données projet'!$E$13+1,1))-AVERAGE(OFFSET($H$3,0,0,'Données projet'!$E$13+1,1))</f>
        <v>246.64907095367749</v>
      </c>
      <c r="CZ93" s="62">
        <f t="shared" si="96"/>
        <v>145.34368562171613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207.03241199974599</v>
      </c>
      <c r="T94" s="62">
        <f t="shared" si="88"/>
        <v>314.188568589113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4.0337768150743232</v>
      </c>
      <c r="AA94" s="23">
        <f>EXP(-LN(2)/25)*AA93+(1-EXP(-LN(2)/25))/(LN(2)/25)*Calculateur!V94*Calculateur!X94*VLOOKUP('Données projet'!$B$9,Paramètres!$A$1:$I$89,3,0)*0.475*44/12</f>
        <v>1.7966575504374345</v>
      </c>
      <c r="AB94" s="23">
        <f>EXP(-LN(2)/2)*AB93+(1-EXP(-LN(2)/2))/(LN(2)/2)*V94*Y94*VLOOKUP('Données projet'!$B$9,Paramètres!$A$1:$I$89,3,0)*0.475*44/12</f>
        <v>1.9258657987944831E-9</v>
      </c>
      <c r="AC94" s="24">
        <f t="shared" si="57"/>
        <v>5.8304343674376238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245.25496369542458</v>
      </c>
      <c r="AO94" s="62">
        <f t="shared" si="90"/>
        <v>342.30266518164211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2.9487179487179445</v>
      </c>
      <c r="BD94" s="13">
        <f>IF('Données projet'!$A$88&gt;35,BD93+BC94-BL93,IF(A94&lt;'Données projet'!$A$88,$BA$205^A94,IF(A94='Données projet'!$A$88,'Données projet'!$B$88,BD93+BC94-BL93)))</f>
        <v>208.71794871794864</v>
      </c>
      <c r="BE94" s="14">
        <f>BD94*VLOOKUP('Données projet'!$B$11,Paramètres!$A$1:$I$89,3,0)*VLOOKUP('Données projet'!$B$11,Paramètres!$A$1:$I$89,5,0)</f>
        <v>218.15199999999993</v>
      </c>
      <c r="BF94" s="14">
        <f t="shared" si="91"/>
        <v>53.713035074209799</v>
      </c>
      <c r="BG94" s="22">
        <f t="shared" si="61"/>
        <v>473.49826942091528</v>
      </c>
      <c r="BH94" s="62">
        <f t="shared" si="62"/>
        <v>766.83160275424859</v>
      </c>
      <c r="BI94" s="62">
        <f ca="1">AVERAGE(OFFSET($BH$3,0,0,'Données projet'!$E$11+1,1))-AVERAGE(OFFSET($H$3,0,0,'Données projet'!$E$11+1,1))</f>
        <v>377.78532142539677</v>
      </c>
      <c r="BJ94" s="62">
        <f t="shared" si="92"/>
        <v>234.27695813539111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3.7</v>
      </c>
      <c r="BY94" s="13">
        <f>IF('Données projet'!$A$114&gt;35,BY93+BX94-CG93,IF(A94&lt;'Données projet'!$A$114,$BV$205^A94,IF(A94='Données projet'!$A$114,'Données projet'!$B$114,BY93+BX94-CG93)))</f>
        <v>196.69999999999993</v>
      </c>
      <c r="BZ94" s="14">
        <f>BY94*VLOOKUP('Données projet'!$B$12,Paramètres!$A$1:$I$89,3,0)*VLOOKUP('Données projet'!$B$12,Paramètres!$A$1:$I$89,5,0)</f>
        <v>199.45379999999994</v>
      </c>
      <c r="CA94" s="14">
        <f t="shared" si="93"/>
        <v>49.624110398414182</v>
      </c>
      <c r="CB94" s="22">
        <f t="shared" si="64"/>
        <v>433.8106939439046</v>
      </c>
      <c r="CC94" s="62">
        <f t="shared" si="65"/>
        <v>727.14402727723791</v>
      </c>
      <c r="CD94" s="62">
        <f ca="1">AVERAGE(OFFSET($CC$3,0,0,'Données projet'!$E$12+1,1))-AVERAGE(OFFSET($H$3,0,0,'Données projet'!$E$12+1,1))</f>
        <v>360.32217613090035</v>
      </c>
      <c r="CE94" s="62">
        <f t="shared" si="94"/>
        <v>159.6134369231965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8.1410256410256405</v>
      </c>
      <c r="CT94" s="13">
        <f>IF('Données projet'!$A$140&gt;35,CT93+CS94-DB93,IF(A94&lt;'Données projet'!$A$140,$CQ$205^A94,IF(A94='Données projet'!$A$140,'Données projet'!$B$140,CT93+CS94-DB93)))</f>
        <v>332.56410256410209</v>
      </c>
      <c r="CU94" s="18">
        <f>CT94*VLOOKUP('Données projet'!$B$13,Paramètres!$A$1:$I$89,3,0)*VLOOKUP('Données projet'!$B$13,Paramètres!$A$1:$I$89,5,0)</f>
        <v>155.63999999999979</v>
      </c>
      <c r="CV94" s="14">
        <f t="shared" si="95"/>
        <v>39.857529549413819</v>
      </c>
      <c r="CW94" s="22">
        <f t="shared" si="67"/>
        <v>340.49153063189533</v>
      </c>
      <c r="CX94" s="62">
        <f t="shared" si="68"/>
        <v>633.82486396522859</v>
      </c>
      <c r="CY94" s="62">
        <f ca="1">AVERAGE(OFFSET($CX$3,0,0,'Données projet'!$E$13+1,1))-AVERAGE(OFFSET($H$3,0,0,'Données projet'!$E$13+1,1))</f>
        <v>246.64907095367749</v>
      </c>
      <c r="CZ94" s="62">
        <f t="shared" si="96"/>
        <v>145.34368562171613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207.03241199974599</v>
      </c>
      <c r="T95" s="62">
        <f t="shared" si="88"/>
        <v>314.188568589113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3.9546769120916325</v>
      </c>
      <c r="AA95" s="23">
        <f>EXP(-LN(2)/25)*AA94+(1-EXP(-LN(2)/25))/(LN(2)/25)*Calculateur!V95*Calculateur!X95*VLOOKUP('Données projet'!$B$9,Paramètres!$A$1:$I$89,3,0)*0.475*44/12</f>
        <v>1.7475278552386087</v>
      </c>
      <c r="AB95" s="23">
        <f>EXP(-LN(2)/2)*AB94+(1-EXP(-LN(2)/2))/(LN(2)/2)*V95*Y95*VLOOKUP('Données projet'!$B$9,Paramètres!$A$1:$I$89,3,0)*0.475*44/12</f>
        <v>1.3617927659828261E-9</v>
      </c>
      <c r="AC95" s="24">
        <f t="shared" si="57"/>
        <v>5.7022047686920336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245.25496369542458</v>
      </c>
      <c r="AO95" s="62">
        <f t="shared" si="90"/>
        <v>342.30266518164211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2.9487179487179445</v>
      </c>
      <c r="BD95" s="13">
        <f>IF('Données projet'!$A$88&gt;35,BD94+BC95-BL94,IF(A95&lt;'Données projet'!$A$88,$BA$205^A95,IF(A95='Données projet'!$A$88,'Données projet'!$B$88,BD94+BC95-BL94)))</f>
        <v>211.6666666666666</v>
      </c>
      <c r="BE95" s="14">
        <f>BD95*VLOOKUP('Données projet'!$B$11,Paramètres!$A$1:$I$89,3,0)*VLOOKUP('Données projet'!$B$11,Paramètres!$A$1:$I$89,5,0)</f>
        <v>221.23399999999995</v>
      </c>
      <c r="BF95" s="14">
        <f t="shared" si="91"/>
        <v>54.383002150969347</v>
      </c>
      <c r="BG95" s="22">
        <f t="shared" si="61"/>
        <v>480.0329454129382</v>
      </c>
      <c r="BH95" s="62">
        <f t="shared" si="62"/>
        <v>773.36627874627152</v>
      </c>
      <c r="BI95" s="62">
        <f ca="1">AVERAGE(OFFSET($BH$3,0,0,'Données projet'!$E$11+1,1))-AVERAGE(OFFSET($H$3,0,0,'Données projet'!$E$11+1,1))</f>
        <v>377.78532142539677</v>
      </c>
      <c r="BJ95" s="62">
        <f t="shared" si="92"/>
        <v>234.27695813539111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3.7</v>
      </c>
      <c r="BY95" s="13">
        <f>IF('Données projet'!$A$114&gt;35,BY94+BX95-CG94,IF(A95&lt;'Données projet'!$A$114,$BV$205^A95,IF(A95='Données projet'!$A$114,'Données projet'!$B$114,BY94+BX95-CG94)))</f>
        <v>200.39999999999992</v>
      </c>
      <c r="BZ95" s="14">
        <f>BY95*VLOOKUP('Données projet'!$B$12,Paramètres!$A$1:$I$89,3,0)*VLOOKUP('Données projet'!$B$12,Paramètres!$A$1:$I$89,5,0)</f>
        <v>203.20559999999995</v>
      </c>
      <c r="CA95" s="14">
        <f t="shared" si="93"/>
        <v>50.448008295629371</v>
      </c>
      <c r="CB95" s="22">
        <f t="shared" si="64"/>
        <v>441.78003444822099</v>
      </c>
      <c r="CC95" s="62">
        <f t="shared" si="65"/>
        <v>735.1133677815543</v>
      </c>
      <c r="CD95" s="62">
        <f ca="1">AVERAGE(OFFSET($CC$3,0,0,'Données projet'!$E$12+1,1))-AVERAGE(OFFSET($H$3,0,0,'Données projet'!$E$12+1,1))</f>
        <v>360.32217613090035</v>
      </c>
      <c r="CE95" s="62">
        <f t="shared" si="94"/>
        <v>159.6134369231965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8.1410256410256405</v>
      </c>
      <c r="CT95" s="13">
        <f>IF('Données projet'!$A$140&gt;35,CT94+CS95-DB94,IF(A95&lt;'Données projet'!$A$140,$CQ$205^A95,IF(A95='Données projet'!$A$140,'Données projet'!$B$140,CT94+CS95-DB94)))</f>
        <v>340.70512820512772</v>
      </c>
      <c r="CU95" s="18">
        <f>CT95*VLOOKUP('Données projet'!$B$13,Paramètres!$A$1:$I$89,3,0)*VLOOKUP('Données projet'!$B$13,Paramètres!$A$1:$I$89,5,0)</f>
        <v>159.44999999999976</v>
      </c>
      <c r="CV95" s="14">
        <f t="shared" si="95"/>
        <v>40.718436521095953</v>
      </c>
      <c r="CW95" s="22">
        <f t="shared" si="67"/>
        <v>348.62669360757508</v>
      </c>
      <c r="CX95" s="62">
        <f t="shared" si="68"/>
        <v>641.96002694090839</v>
      </c>
      <c r="CY95" s="62">
        <f ca="1">AVERAGE(OFFSET($CX$3,0,0,'Données projet'!$E$13+1,1))-AVERAGE(OFFSET($H$3,0,0,'Données projet'!$E$13+1,1))</f>
        <v>246.64907095367749</v>
      </c>
      <c r="CZ95" s="62">
        <f t="shared" si="96"/>
        <v>145.34368562171613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207.03241199974599</v>
      </c>
      <c r="T96" s="62">
        <f t="shared" si="88"/>
        <v>314.188568589113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3.8771281099602555</v>
      </c>
      <c r="AA96" s="23">
        <f>EXP(-LN(2)/25)*AA95+(1-EXP(-LN(2)/25))/(LN(2)/25)*Calculateur!V96*Calculateur!X96*VLOOKUP('Données projet'!$B$9,Paramètres!$A$1:$I$89,3,0)*0.475*44/12</f>
        <v>1.699741614138613</v>
      </c>
      <c r="AB96" s="23">
        <f>EXP(-LN(2)/2)*AB95+(1-EXP(-LN(2)/2))/(LN(2)/2)*V96*Y96*VLOOKUP('Données projet'!$B$9,Paramètres!$A$1:$I$89,3,0)*0.475*44/12</f>
        <v>9.6293289939724155E-10</v>
      </c>
      <c r="AC96" s="24">
        <f t="shared" si="57"/>
        <v>5.5768697250618011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245.25496369542458</v>
      </c>
      <c r="AO96" s="62">
        <f t="shared" si="90"/>
        <v>342.30266518164211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2.9487179487179445</v>
      </c>
      <c r="BD96" s="13">
        <f>IF('Données projet'!$A$88&gt;35,BD95+BC96-BL95,IF(A96&lt;'Données projet'!$A$88,$BA$205^A96,IF(A96='Données projet'!$A$88,'Données projet'!$B$88,BD95+BC96-BL95)))</f>
        <v>214.61538461538456</v>
      </c>
      <c r="BE96" s="14">
        <f>BD96*VLOOKUP('Données projet'!$B$11,Paramètres!$A$1:$I$89,3,0)*VLOOKUP('Données projet'!$B$11,Paramètres!$A$1:$I$89,5,0)</f>
        <v>224.31599999999997</v>
      </c>
      <c r="BF96" s="14">
        <f t="shared" si="91"/>
        <v>55.051883677338395</v>
      </c>
      <c r="BG96" s="22">
        <f t="shared" si="61"/>
        <v>486.56573073803094</v>
      </c>
      <c r="BH96" s="62">
        <f t="shared" si="62"/>
        <v>779.89906407136425</v>
      </c>
      <c r="BI96" s="62">
        <f ca="1">AVERAGE(OFFSET($BH$3,0,0,'Données projet'!$E$11+1,1))-AVERAGE(OFFSET($H$3,0,0,'Données projet'!$E$11+1,1))</f>
        <v>377.78532142539677</v>
      </c>
      <c r="BJ96" s="62">
        <f t="shared" si="92"/>
        <v>234.27695813539111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3.7</v>
      </c>
      <c r="BY96" s="13">
        <f>IF('Données projet'!$A$114&gt;35,BY95+BX96-CG95,IF(A96&lt;'Données projet'!$A$114,$BV$205^A96,IF(A96='Données projet'!$A$114,'Données projet'!$B$114,BY95+BX96-CG95)))</f>
        <v>204.09999999999991</v>
      </c>
      <c r="BZ96" s="14">
        <f>BY96*VLOOKUP('Données projet'!$B$12,Paramètres!$A$1:$I$89,3,0)*VLOOKUP('Données projet'!$B$12,Paramètres!$A$1:$I$89,5,0)</f>
        <v>206.95739999999989</v>
      </c>
      <c r="CA96" s="14">
        <f t="shared" si="93"/>
        <v>51.27013734743575</v>
      </c>
      <c r="CB96" s="22">
        <f t="shared" si="64"/>
        <v>449.74629421345043</v>
      </c>
      <c r="CC96" s="62">
        <f t="shared" si="65"/>
        <v>743.07962754678374</v>
      </c>
      <c r="CD96" s="62">
        <f ca="1">AVERAGE(OFFSET($CC$3,0,0,'Données projet'!$E$12+1,1))-AVERAGE(OFFSET($H$3,0,0,'Données projet'!$E$12+1,1))</f>
        <v>360.32217613090035</v>
      </c>
      <c r="CE96" s="62">
        <f t="shared" si="94"/>
        <v>159.6134369231965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8.1410256410256405</v>
      </c>
      <c r="CT96" s="13">
        <f>IF('Données projet'!$A$140&gt;35,CT95+CS96-DB95,IF(A96&lt;'Données projet'!$A$140,$CQ$205^A96,IF(A96='Données projet'!$A$140,'Données projet'!$B$140,CT95+CS96-DB95)))</f>
        <v>348.84615384615336</v>
      </c>
      <c r="CU96" s="18">
        <f>CT96*VLOOKUP('Données projet'!$B$13,Paramètres!$A$1:$I$89,3,0)*VLOOKUP('Données projet'!$B$13,Paramètres!$A$1:$I$89,5,0)</f>
        <v>163.25999999999976</v>
      </c>
      <c r="CV96" s="14">
        <f t="shared" si="95"/>
        <v>41.576952107686338</v>
      </c>
      <c r="CW96" s="22">
        <f t="shared" si="67"/>
        <v>356.75769158755321</v>
      </c>
      <c r="CX96" s="62">
        <f t="shared" si="68"/>
        <v>650.09102492088653</v>
      </c>
      <c r="CY96" s="62">
        <f ca="1">AVERAGE(OFFSET($CX$3,0,0,'Données projet'!$E$13+1,1))-AVERAGE(OFFSET($H$3,0,0,'Données projet'!$E$13+1,1))</f>
        <v>246.64907095367749</v>
      </c>
      <c r="CZ96" s="62">
        <f t="shared" si="96"/>
        <v>145.34368562171613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207.03241199974599</v>
      </c>
      <c r="T97" s="62">
        <f t="shared" si="88"/>
        <v>314.188568589113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3.801099992538576</v>
      </c>
      <c r="AA97" s="23">
        <f>EXP(-LN(2)/25)*AA96+(1-EXP(-LN(2)/25))/(LN(2)/25)*Calculateur!V97*Calculateur!X97*VLOOKUP('Données projet'!$B$9,Paramètres!$A$1:$I$89,3,0)*0.475*44/12</f>
        <v>1.6532620903144659</v>
      </c>
      <c r="AB97" s="23">
        <f>EXP(-LN(2)/2)*AB96+(1-EXP(-LN(2)/2))/(LN(2)/2)*V97*Y97*VLOOKUP('Données projet'!$B$9,Paramètres!$A$1:$I$89,3,0)*0.475*44/12</f>
        <v>6.8089638299141307E-10</v>
      </c>
      <c r="AC97" s="24">
        <f t="shared" si="57"/>
        <v>5.4543620835339377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245.25496369542458</v>
      </c>
      <c r="AO97" s="62">
        <f t="shared" si="90"/>
        <v>342.30266518164211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2.9487179487179445</v>
      </c>
      <c r="BD97" s="13">
        <f>IF('Données projet'!$A$88&gt;35,BD96+BC97-BL96,IF(A97&lt;'Données projet'!$A$88,$BA$205^A97,IF(A97='Données projet'!$A$88,'Données projet'!$B$88,BD96+BC97-BL96)))</f>
        <v>217.56410256410251</v>
      </c>
      <c r="BE97" s="14">
        <f>BD97*VLOOKUP('Données projet'!$B$11,Paramètres!$A$1:$I$89,3,0)*VLOOKUP('Données projet'!$B$11,Paramètres!$A$1:$I$89,5,0)</f>
        <v>227.39799999999997</v>
      </c>
      <c r="BF97" s="14">
        <f t="shared" si="91"/>
        <v>55.719696292134564</v>
      </c>
      <c r="BG97" s="22">
        <f t="shared" si="61"/>
        <v>493.09665437546772</v>
      </c>
      <c r="BH97" s="62">
        <f t="shared" si="62"/>
        <v>786.42998770880104</v>
      </c>
      <c r="BI97" s="62">
        <f ca="1">AVERAGE(OFFSET($BH$3,0,0,'Données projet'!$E$11+1,1))-AVERAGE(OFFSET($H$3,0,0,'Données projet'!$E$11+1,1))</f>
        <v>377.78532142539677</v>
      </c>
      <c r="BJ97" s="62">
        <f t="shared" si="92"/>
        <v>234.27695813539111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3.7</v>
      </c>
      <c r="BY97" s="13">
        <f>IF('Données projet'!$A$114&gt;35,BY96+BX97-CG96,IF(A97&lt;'Données projet'!$A$114,$BV$205^A97,IF(A97='Données projet'!$A$114,'Données projet'!$B$114,BY96+BX97-CG96)))</f>
        <v>207.7999999999999</v>
      </c>
      <c r="BZ97" s="14">
        <f>BY97*VLOOKUP('Données projet'!$B$12,Paramètres!$A$1:$I$89,3,0)*VLOOKUP('Données projet'!$B$12,Paramètres!$A$1:$I$89,5,0)</f>
        <v>210.7091999999999</v>
      </c>
      <c r="CA97" s="14">
        <f t="shared" si="93"/>
        <v>52.090533318836208</v>
      </c>
      <c r="CB97" s="22">
        <f t="shared" si="64"/>
        <v>457.70953553030614</v>
      </c>
      <c r="CC97" s="62">
        <f t="shared" si="65"/>
        <v>751.04286886363946</v>
      </c>
      <c r="CD97" s="62">
        <f ca="1">AVERAGE(OFFSET($CC$3,0,0,'Données projet'!$E$12+1,1))-AVERAGE(OFFSET($H$3,0,0,'Données projet'!$E$12+1,1))</f>
        <v>360.32217613090035</v>
      </c>
      <c r="CE97" s="62">
        <f t="shared" si="94"/>
        <v>159.6134369231965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8.1410256410256405</v>
      </c>
      <c r="CT97" s="13">
        <f>IF('Données projet'!$A$140&gt;35,CT96+CS97-DB96,IF(A97&lt;'Données projet'!$A$140,$CQ$205^A97,IF(A97='Données projet'!$A$140,'Données projet'!$B$140,CT96+CS97-DB96)))</f>
        <v>356.98717948717899</v>
      </c>
      <c r="CU97" s="18">
        <f>CT97*VLOOKUP('Données projet'!$B$13,Paramètres!$A$1:$I$89,3,0)*VLOOKUP('Données projet'!$B$13,Paramètres!$A$1:$I$89,5,0)</f>
        <v>167.06999999999977</v>
      </c>
      <c r="CV97" s="14">
        <f t="shared" si="95"/>
        <v>42.433138539856941</v>
      </c>
      <c r="CW97" s="22">
        <f t="shared" si="67"/>
        <v>364.88463295691707</v>
      </c>
      <c r="CX97" s="62">
        <f t="shared" si="68"/>
        <v>658.21796629025039</v>
      </c>
      <c r="CY97" s="62">
        <f ca="1">AVERAGE(OFFSET($CX$3,0,0,'Données projet'!$E$13+1,1))-AVERAGE(OFFSET($H$3,0,0,'Données projet'!$E$13+1,1))</f>
        <v>246.64907095367749</v>
      </c>
      <c r="CZ97" s="62">
        <f t="shared" si="96"/>
        <v>145.34368562171613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207.03241199974599</v>
      </c>
      <c r="T98" s="62">
        <f t="shared" si="88"/>
        <v>314.188568589113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3.7265627401269628</v>
      </c>
      <c r="AA98" s="23">
        <f>EXP(-LN(2)/25)*AA97+(1-EXP(-LN(2)/25))/(LN(2)/25)*Calculateur!V98*Calculateur!X98*VLOOKUP('Données projet'!$B$9,Paramètres!$A$1:$I$89,3,0)*0.475*44/12</f>
        <v>1.6080535515135421</v>
      </c>
      <c r="AB98" s="23">
        <f>EXP(-LN(2)/2)*AB97+(1-EXP(-LN(2)/2))/(LN(2)/2)*V98*Y98*VLOOKUP('Données projet'!$B$9,Paramètres!$A$1:$I$89,3,0)*0.475*44/12</f>
        <v>4.8146644969862077E-10</v>
      </c>
      <c r="AC98" s="24">
        <f t="shared" si="57"/>
        <v>5.3346162921219715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245.25496369542458</v>
      </c>
      <c r="AO98" s="62">
        <f t="shared" si="90"/>
        <v>342.30266518164211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220.5128205128205</v>
      </c>
      <c r="BB98" s="13">
        <f>VLOOKUP(A98,'Données projet'!$A$87:$I$107,9,0)</f>
        <v>2.9487179487179445</v>
      </c>
      <c r="BC98" s="13">
        <f t="array" ref="BC98">INDEX(BB:BB,MIN(IF(ISNUMBER(BB98:BB294),ROW(BB98:BB294),"")))</f>
        <v>2.9487179487179445</v>
      </c>
      <c r="BD98" s="13">
        <f>IF('Données projet'!$A$88&gt;35,BD97+BC98-BL97,IF(A98&lt;'Données projet'!$A$88,$BA$205^A98,IF(A98='Données projet'!$A$88,'Données projet'!$B$88,BD97+BC98-BL97)))</f>
        <v>220.51282051282047</v>
      </c>
      <c r="BE98" s="14">
        <f>BD98*VLOOKUP('Données projet'!$B$11,Paramètres!$A$1:$I$89,3,0)*VLOOKUP('Données projet'!$B$11,Paramètres!$A$1:$I$89,5,0)</f>
        <v>230.48</v>
      </c>
      <c r="BF98" s="14">
        <f t="shared" si="91"/>
        <v>56.386456157236054</v>
      </c>
      <c r="BG98" s="22">
        <f t="shared" si="61"/>
        <v>499.62574447385276</v>
      </c>
      <c r="BH98" s="62">
        <f t="shared" si="62"/>
        <v>792.95907780718608</v>
      </c>
      <c r="BI98" s="62">
        <f ca="1">AVERAGE(OFFSET($BH$3,0,0,'Données projet'!$E$11+1,1))-AVERAGE(OFFSET($H$3,0,0,'Données projet'!$E$11+1,1))</f>
        <v>377.78532142539677</v>
      </c>
      <c r="BJ98" s="62">
        <f t="shared" si="92"/>
        <v>234.27695813539111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3.7</v>
      </c>
      <c r="BY98" s="13">
        <f>IF('Données projet'!$A$114&gt;35,BY97+BX98-CG97,IF(A98&lt;'Données projet'!$A$114,$BV$205^A98,IF(A98='Données projet'!$A$114,'Données projet'!$B$114,BY97+BX98-CG97)))</f>
        <v>211.49999999999989</v>
      </c>
      <c r="BZ98" s="14">
        <f>BY98*VLOOKUP('Données projet'!$B$12,Paramètres!$A$1:$I$89,3,0)*VLOOKUP('Données projet'!$B$12,Paramètres!$A$1:$I$89,5,0)</f>
        <v>214.4609999999999</v>
      </c>
      <c r="CA98" s="14">
        <f t="shared" si="93"/>
        <v>52.909230628257546</v>
      </c>
      <c r="CB98" s="22">
        <f t="shared" si="64"/>
        <v>465.669818344215</v>
      </c>
      <c r="CC98" s="62">
        <f t="shared" si="65"/>
        <v>759.00315167754832</v>
      </c>
      <c r="CD98" s="62">
        <f ca="1">AVERAGE(OFFSET($CC$3,0,0,'Données projet'!$E$12+1,1))-AVERAGE(OFFSET($H$3,0,0,'Données projet'!$E$12+1,1))</f>
        <v>360.32217613090035</v>
      </c>
      <c r="CE98" s="62">
        <f t="shared" si="94"/>
        <v>159.6134369231965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8.1410256410256405</v>
      </c>
      <c r="CT98" s="13">
        <f>IF('Données projet'!$A$140&gt;35,CT97+CS98-DB97,IF(A98&lt;'Données projet'!$A$140,$CQ$205^A98,IF(A98='Données projet'!$A$140,'Données projet'!$B$140,CT97+CS98-DB97)))</f>
        <v>365.12820512820463</v>
      </c>
      <c r="CU98" s="18">
        <f>CT98*VLOOKUP('Données projet'!$B$13,Paramètres!$A$1:$I$89,3,0)*VLOOKUP('Données projet'!$B$13,Paramètres!$A$1:$I$89,5,0)</f>
        <v>170.87999999999977</v>
      </c>
      <c r="CV98" s="14">
        <f t="shared" si="95"/>
        <v>43.287055047972629</v>
      </c>
      <c r="CW98" s="22">
        <f t="shared" si="67"/>
        <v>373.00762087521849</v>
      </c>
      <c r="CX98" s="62">
        <f t="shared" si="68"/>
        <v>666.34095420855181</v>
      </c>
      <c r="CY98" s="62">
        <f ca="1">AVERAGE(OFFSET($CX$3,0,0,'Données projet'!$E$13+1,1))-AVERAGE(OFFSET($H$3,0,0,'Données projet'!$E$13+1,1))</f>
        <v>246.64907095367749</v>
      </c>
      <c r="CZ98" s="62">
        <f t="shared" si="96"/>
        <v>145.34368562171613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207.03241199974599</v>
      </c>
      <c r="T99" s="62">
        <f t="shared" si="88"/>
        <v>314.188568589113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3.6534871177719066</v>
      </c>
      <c r="AA99" s="23">
        <f>EXP(-LN(2)/25)*AA98+(1-EXP(-LN(2)/25))/(LN(2)/25)*Calculateur!V99*Calculateur!X99*VLOOKUP('Données projet'!$B$9,Paramètres!$A$1:$I$89,3,0)*0.475*44/12</f>
        <v>1.5640812425835433</v>
      </c>
      <c r="AB99" s="23">
        <f>EXP(-LN(2)/2)*AB98+(1-EXP(-LN(2)/2))/(LN(2)/2)*V99*Y99*VLOOKUP('Données projet'!$B$9,Paramètres!$A$1:$I$89,3,0)*0.475*44/12</f>
        <v>3.4044819149570654E-10</v>
      </c>
      <c r="AC99" s="24">
        <f t="shared" si="57"/>
        <v>5.2175683606958989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245.25496369542458</v>
      </c>
      <c r="AO99" s="62">
        <f t="shared" si="90"/>
        <v>342.30266518164211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2.6923076923076961</v>
      </c>
      <c r="BD99" s="13">
        <f>IF('Données projet'!$A$88&gt;35,BD98+BC99-BL98,IF(A99&lt;'Données projet'!$A$88,$BA$205^A99,IF(A99='Données projet'!$A$88,'Données projet'!$B$88,BD98+BC99-BL98)))</f>
        <v>223.20512820512818</v>
      </c>
      <c r="BE99" s="14">
        <f>BD99*VLOOKUP('Données projet'!$B$11,Paramètres!$A$1:$I$89,3,0)*VLOOKUP('Données projet'!$B$11,Paramètres!$A$1:$I$89,5,0)</f>
        <v>233.29399999999998</v>
      </c>
      <c r="BF99" s="14">
        <f t="shared" si="91"/>
        <v>56.994330815285466</v>
      </c>
      <c r="BG99" s="22">
        <f t="shared" si="61"/>
        <v>505.58550950328885</v>
      </c>
      <c r="BH99" s="62">
        <f t="shared" si="62"/>
        <v>798.91884283662216</v>
      </c>
      <c r="BI99" s="62">
        <f ca="1">AVERAGE(OFFSET($BH$3,0,0,'Données projet'!$E$11+1,1))-AVERAGE(OFFSET($H$3,0,0,'Données projet'!$E$11+1,1))</f>
        <v>377.78532142539677</v>
      </c>
      <c r="BJ99" s="62">
        <f t="shared" si="92"/>
        <v>234.27695813539111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3.7</v>
      </c>
      <c r="BY99" s="13">
        <f>IF('Données projet'!$A$114&gt;35,BY98+BX99-CG98,IF(A99&lt;'Données projet'!$A$114,$BV$205^A99,IF(A99='Données projet'!$A$114,'Données projet'!$B$114,BY98+BX99-CG98)))</f>
        <v>215.19999999999987</v>
      </c>
      <c r="BZ99" s="14">
        <f>BY99*VLOOKUP('Données projet'!$B$12,Paramètres!$A$1:$I$89,3,0)*VLOOKUP('Données projet'!$B$12,Paramètres!$A$1:$I$89,5,0)</f>
        <v>218.21279999999987</v>
      </c>
      <c r="CA99" s="14">
        <f t="shared" si="93"/>
        <v>53.726262420904163</v>
      </c>
      <c r="CB99" s="22">
        <f t="shared" si="64"/>
        <v>473.62720038307458</v>
      </c>
      <c r="CC99" s="62">
        <f t="shared" si="65"/>
        <v>766.96053371640789</v>
      </c>
      <c r="CD99" s="62">
        <f ca="1">AVERAGE(OFFSET($CC$3,0,0,'Données projet'!$E$12+1,1))-AVERAGE(OFFSET($H$3,0,0,'Données projet'!$E$12+1,1))</f>
        <v>360.32217613090035</v>
      </c>
      <c r="CE99" s="62">
        <f t="shared" si="94"/>
        <v>159.6134369231965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8.1410256410256405</v>
      </c>
      <c r="CT99" s="13">
        <f>IF('Données projet'!$A$140&gt;35,CT98+CS99-DB98,IF(A99&lt;'Données projet'!$A$140,$CQ$205^A99,IF(A99='Données projet'!$A$140,'Données projet'!$B$140,CT98+CS99-DB98)))</f>
        <v>373.26923076923026</v>
      </c>
      <c r="CU99" s="18">
        <f>CT99*VLOOKUP('Données projet'!$B$13,Paramètres!$A$1:$I$89,3,0)*VLOOKUP('Données projet'!$B$13,Paramètres!$A$1:$I$89,5,0)</f>
        <v>174.68999999999974</v>
      </c>
      <c r="CV99" s="14">
        <f t="shared" si="95"/>
        <v>44.138758070364624</v>
      </c>
      <c r="CW99" s="22">
        <f t="shared" si="67"/>
        <v>381.1267536392179</v>
      </c>
      <c r="CX99" s="62">
        <f t="shared" si="68"/>
        <v>674.46008697255115</v>
      </c>
      <c r="CY99" s="62">
        <f ca="1">AVERAGE(OFFSET($CX$3,0,0,'Données projet'!$E$13+1,1))-AVERAGE(OFFSET($H$3,0,0,'Données projet'!$E$13+1,1))</f>
        <v>246.64907095367749</v>
      </c>
      <c r="CZ99" s="62">
        <f t="shared" si="96"/>
        <v>145.34368562171613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207.03241199974599</v>
      </c>
      <c r="T100" s="62">
        <f t="shared" si="88"/>
        <v>314.188568589113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3.5818444637995044</v>
      </c>
      <c r="AA100" s="23">
        <f>EXP(-LN(2)/25)*AA99+(1-EXP(-LN(2)/25))/(LN(2)/25)*Calculateur!V100*Calculateur!X100*VLOOKUP('Données projet'!$B$9,Paramètres!$A$1:$I$89,3,0)*0.475*44/12</f>
        <v>1.5213113587536384</v>
      </c>
      <c r="AB100" s="23">
        <f>EXP(-LN(2)/2)*AB99+(1-EXP(-LN(2)/2))/(LN(2)/2)*V100*Y100*VLOOKUP('Données projet'!$B$9,Paramètres!$A$1:$I$89,3,0)*0.475*44/12</f>
        <v>2.4073322484931039E-10</v>
      </c>
      <c r="AC100" s="24">
        <f t="shared" si="57"/>
        <v>5.1031558227938767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245.25496369542458</v>
      </c>
      <c r="AO100" s="62">
        <f t="shared" si="90"/>
        <v>342.30266518164211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2.6923076923076961</v>
      </c>
      <c r="BD100" s="13">
        <f>IF('Données projet'!$A$88&gt;35,BD99+BC100-BL99,IF(A100&lt;'Données projet'!$A$88,$BA$205^A100,IF(A100='Données projet'!$A$88,'Données projet'!$B$88,BD99+BC100-BL99)))</f>
        <v>225.89743589743588</v>
      </c>
      <c r="BE100" s="14">
        <f>BD100*VLOOKUP('Données projet'!$B$11,Paramètres!$A$1:$I$89,3,0)*VLOOKUP('Données projet'!$B$11,Paramètres!$A$1:$I$89,5,0)</f>
        <v>236.108</v>
      </c>
      <c r="BF100" s="14">
        <f t="shared" si="91"/>
        <v>57.601352581738276</v>
      </c>
      <c r="BG100" s="22">
        <f t="shared" si="61"/>
        <v>511.5437890798608</v>
      </c>
      <c r="BH100" s="62">
        <f t="shared" si="62"/>
        <v>804.87712241319412</v>
      </c>
      <c r="BI100" s="62">
        <f ca="1">AVERAGE(OFFSET($BH$3,0,0,'Données projet'!$E$11+1,1))-AVERAGE(OFFSET($H$3,0,0,'Données projet'!$E$11+1,1))</f>
        <v>377.78532142539677</v>
      </c>
      <c r="BJ100" s="62">
        <f t="shared" si="92"/>
        <v>234.27695813539111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3.7</v>
      </c>
      <c r="BY100" s="13">
        <f>IF('Données projet'!$A$114&gt;35,BY99+BX100-CG99,IF(A100&lt;'Données projet'!$A$114,$BV$205^A100,IF(A100='Données projet'!$A$114,'Données projet'!$B$114,BY99+BX100-CG99)))</f>
        <v>218.89999999999986</v>
      </c>
      <c r="BZ100" s="14">
        <f>BY100*VLOOKUP('Données projet'!$B$12,Paramètres!$A$1:$I$89,3,0)*VLOOKUP('Données projet'!$B$12,Paramètres!$A$1:$I$89,5,0)</f>
        <v>221.96459999999988</v>
      </c>
      <c r="CA100" s="14">
        <f t="shared" si="93"/>
        <v>54.54166063692373</v>
      </c>
      <c r="CB100" s="22">
        <f t="shared" si="64"/>
        <v>481.58173727597529</v>
      </c>
      <c r="CC100" s="62">
        <f t="shared" si="65"/>
        <v>774.9150706093086</v>
      </c>
      <c r="CD100" s="62">
        <f ca="1">AVERAGE(OFFSET($CC$3,0,0,'Données projet'!$E$12+1,1))-AVERAGE(OFFSET($H$3,0,0,'Données projet'!$E$12+1,1))</f>
        <v>360.32217613090035</v>
      </c>
      <c r="CE100" s="62">
        <f t="shared" si="94"/>
        <v>159.6134369231965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8.1410256410256405</v>
      </c>
      <c r="CT100" s="13">
        <f>IF('Données projet'!$A$140&gt;35,CT99+CS100-DB99,IF(A100&lt;'Données projet'!$A$140,$CQ$205^A100,IF(A100='Données projet'!$A$140,'Données projet'!$B$140,CT99+CS100-DB99)))</f>
        <v>381.4102564102559</v>
      </c>
      <c r="CU100" s="18">
        <f>CT100*VLOOKUP('Données projet'!$B$13,Paramètres!$A$1:$I$89,3,0)*VLOOKUP('Données projet'!$B$13,Paramètres!$A$1:$I$89,5,0)</f>
        <v>178.49999999999977</v>
      </c>
      <c r="CV100" s="14">
        <f t="shared" si="95"/>
        <v>44.988301442921504</v>
      </c>
      <c r="CW100" s="22">
        <f t="shared" si="67"/>
        <v>389.24212501308784</v>
      </c>
      <c r="CX100" s="62">
        <f t="shared" si="68"/>
        <v>682.5754583464211</v>
      </c>
      <c r="CY100" s="62">
        <f ca="1">AVERAGE(OFFSET($CX$3,0,0,'Données projet'!$E$13+1,1))-AVERAGE(OFFSET($H$3,0,0,'Données projet'!$E$13+1,1))</f>
        <v>246.64907095367749</v>
      </c>
      <c r="CZ100" s="62">
        <f t="shared" si="96"/>
        <v>145.34368562171613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207.03241199974599</v>
      </c>
      <c r="T101" s="62">
        <f t="shared" si="88"/>
        <v>314.188568589113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3.5116066785737967</v>
      </c>
      <c r="AA101" s="23">
        <f>EXP(-LN(2)/25)*AA100+(1-EXP(-LN(2)/25))/(LN(2)/25)*Calculateur!V101*Calculateur!X101*VLOOKUP('Données projet'!$B$9,Paramètres!$A$1:$I$89,3,0)*0.475*44/12</f>
        <v>1.4797110196462329</v>
      </c>
      <c r="AB101" s="23">
        <f>EXP(-LN(2)/2)*AB100+(1-EXP(-LN(2)/2))/(LN(2)/2)*V101*Y101*VLOOKUP('Données projet'!$B$9,Paramètres!$A$1:$I$89,3,0)*0.475*44/12</f>
        <v>1.7022409574785327E-10</v>
      </c>
      <c r="AC101" s="24">
        <f t="shared" si="57"/>
        <v>4.9913176983902536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245.25496369542458</v>
      </c>
      <c r="AO101" s="62">
        <f t="shared" si="90"/>
        <v>342.30266518164211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2.6923076923076961</v>
      </c>
      <c r="BD101" s="13">
        <f>IF('Données projet'!$A$88&gt;35,BD100+BC101-BL100,IF(A101&lt;'Données projet'!$A$88,$BA$205^A101,IF(A101='Données projet'!$A$88,'Données projet'!$B$88,BD100+BC101-BL100)))</f>
        <v>228.58974358974359</v>
      </c>
      <c r="BE101" s="14">
        <f>BD101*VLOOKUP('Données projet'!$B$11,Paramètres!$A$1:$I$89,3,0)*VLOOKUP('Données projet'!$B$11,Paramètres!$A$1:$I$89,5,0)</f>
        <v>238.92200000000003</v>
      </c>
      <c r="BF101" s="14">
        <f t="shared" si="91"/>
        <v>58.207532797468268</v>
      </c>
      <c r="BG101" s="22">
        <f t="shared" si="61"/>
        <v>517.50060295559058</v>
      </c>
      <c r="BH101" s="62">
        <f t="shared" si="62"/>
        <v>810.83393628892395</v>
      </c>
      <c r="BI101" s="62">
        <f ca="1">AVERAGE(OFFSET($BH$3,0,0,'Données projet'!$E$11+1,1))-AVERAGE(OFFSET($H$3,0,0,'Données projet'!$E$11+1,1))</f>
        <v>377.78532142539677</v>
      </c>
      <c r="BJ101" s="62">
        <f t="shared" si="92"/>
        <v>234.27695813539111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3.7</v>
      </c>
      <c r="BY101" s="13">
        <f>IF('Données projet'!$A$114&gt;35,BY100+BX101-CG100,IF(A101&lt;'Données projet'!$A$114,$BV$205^A101,IF(A101='Données projet'!$A$114,'Données projet'!$B$114,BY100+BX101-CG100)))</f>
        <v>222.59999999999985</v>
      </c>
      <c r="BZ101" s="14">
        <f>BY101*VLOOKUP('Données projet'!$B$12,Paramètres!$A$1:$I$89,3,0)*VLOOKUP('Données projet'!$B$12,Paramètres!$A$1:$I$89,5,0)</f>
        <v>225.71639999999988</v>
      </c>
      <c r="CA101" s="14">
        <f t="shared" si="93"/>
        <v>55.355456074834237</v>
      </c>
      <c r="CB101" s="22">
        <f t="shared" si="64"/>
        <v>489.53348266366942</v>
      </c>
      <c r="CC101" s="62">
        <f t="shared" si="65"/>
        <v>782.86681599700273</v>
      </c>
      <c r="CD101" s="62">
        <f ca="1">AVERAGE(OFFSET($CC$3,0,0,'Données projet'!$E$12+1,1))-AVERAGE(OFFSET($H$3,0,0,'Données projet'!$E$12+1,1))</f>
        <v>360.32217613090035</v>
      </c>
      <c r="CE101" s="62">
        <f t="shared" si="94"/>
        <v>159.6134369231965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8.1410256410256405</v>
      </c>
      <c r="CT101" s="13">
        <f>IF('Données projet'!$A$140&gt;35,CT100+CS101-DB100,IF(A101&lt;'Données projet'!$A$140,$CQ$205^A101,IF(A101='Données projet'!$A$140,'Données projet'!$B$140,CT100+CS101-DB100)))</f>
        <v>389.55128205128153</v>
      </c>
      <c r="CU101" s="18">
        <f>CT101*VLOOKUP('Données projet'!$B$13,Paramètres!$A$1:$I$89,3,0)*VLOOKUP('Données projet'!$B$13,Paramètres!$A$1:$I$89,5,0)</f>
        <v>182.30999999999975</v>
      </c>
      <c r="CV101" s="14">
        <f t="shared" si="95"/>
        <v>45.835736572036403</v>
      </c>
      <c r="CW101" s="22">
        <f t="shared" si="67"/>
        <v>397.35382452962966</v>
      </c>
      <c r="CX101" s="62">
        <f t="shared" si="68"/>
        <v>690.68715786296298</v>
      </c>
      <c r="CY101" s="62">
        <f ca="1">AVERAGE(OFFSET($CX$3,0,0,'Données projet'!$E$13+1,1))-AVERAGE(OFFSET($H$3,0,0,'Données projet'!$E$13+1,1))</f>
        <v>246.64907095367749</v>
      </c>
      <c r="CZ101" s="62">
        <f t="shared" si="96"/>
        <v>145.34368562171613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207.03241199974599</v>
      </c>
      <c r="T102" s="62">
        <f t="shared" si="88"/>
        <v>314.188568589113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3.4427462134755467</v>
      </c>
      <c r="AA102" s="23">
        <f>EXP(-LN(2)/25)*AA101+(1-EXP(-LN(2)/25))/(LN(2)/25)*Calculateur!V102*Calculateur!X102*VLOOKUP('Données projet'!$B$9,Paramètres!$A$1:$I$89,3,0)*0.475*44/12</f>
        <v>1.4392482439993861</v>
      </c>
      <c r="AB102" s="23">
        <f>EXP(-LN(2)/2)*AB101+(1-EXP(-LN(2)/2))/(LN(2)/2)*V102*Y102*VLOOKUP('Données projet'!$B$9,Paramètres!$A$1:$I$89,3,0)*0.475*44/12</f>
        <v>1.2036661242465519E-10</v>
      </c>
      <c r="AC102" s="24">
        <f t="shared" si="57"/>
        <v>4.8819944575953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245.25496369542458</v>
      </c>
      <c r="AO102" s="62">
        <f t="shared" si="90"/>
        <v>342.30266518164211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2.6923076923076961</v>
      </c>
      <c r="BD102" s="13">
        <f>IF('Données projet'!$A$88&gt;35,BD101+BC102-BL101,IF(A102&lt;'Données projet'!$A$88,$BA$205^A102,IF(A102='Données projet'!$A$88,'Données projet'!$B$88,BD101+BC102-BL101)))</f>
        <v>231.2820512820513</v>
      </c>
      <c r="BE102" s="14">
        <f>BD102*VLOOKUP('Données projet'!$B$11,Paramètres!$A$1:$I$89,3,0)*VLOOKUP('Données projet'!$B$11,Paramètres!$A$1:$I$89,5,0)</f>
        <v>241.73600000000005</v>
      </c>
      <c r="BF102" s="14">
        <f t="shared" si="91"/>
        <v>58.812882520832375</v>
      </c>
      <c r="BG102" s="22">
        <f t="shared" si="61"/>
        <v>523.45597039044981</v>
      </c>
      <c r="BH102" s="62">
        <f t="shared" si="62"/>
        <v>816.78930372378318</v>
      </c>
      <c r="BI102" s="62">
        <f ca="1">AVERAGE(OFFSET($BH$3,0,0,'Données projet'!$E$11+1,1))-AVERAGE(OFFSET($H$3,0,0,'Données projet'!$E$11+1,1))</f>
        <v>377.78532142539677</v>
      </c>
      <c r="BJ102" s="62">
        <f t="shared" si="92"/>
        <v>234.27695813539111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3.7</v>
      </c>
      <c r="BY102" s="13">
        <f>IF('Données projet'!$A$114&gt;35,BY101+BX102-CG101,IF(A102&lt;'Données projet'!$A$114,$BV$205^A102,IF(A102='Données projet'!$A$114,'Données projet'!$B$114,BY101+BX102-CG101)))</f>
        <v>226.29999999999984</v>
      </c>
      <c r="BZ102" s="14">
        <f>BY102*VLOOKUP('Données projet'!$B$12,Paramètres!$A$1:$I$89,3,0)*VLOOKUP('Données projet'!$B$12,Paramètres!$A$1:$I$89,5,0)</f>
        <v>229.46819999999988</v>
      </c>
      <c r="CA102" s="14">
        <f t="shared" si="93"/>
        <v>56.167678450613906</v>
      </c>
      <c r="CB102" s="22">
        <f t="shared" si="64"/>
        <v>497.48248830148572</v>
      </c>
      <c r="CC102" s="62">
        <f t="shared" si="65"/>
        <v>790.81582163481903</v>
      </c>
      <c r="CD102" s="62">
        <f ca="1">AVERAGE(OFFSET($CC$3,0,0,'Données projet'!$E$12+1,1))-AVERAGE(OFFSET($H$3,0,0,'Données projet'!$E$12+1,1))</f>
        <v>360.32217613090035</v>
      </c>
      <c r="CE102" s="62">
        <f t="shared" si="94"/>
        <v>159.6134369231965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>
        <f>VLOOKUP(A102,'Données projet'!$A$139:$I$159,2,0)</f>
        <v>397.69230769230768</v>
      </c>
      <c r="CR102" s="13">
        <f>VLOOKUP(A102,'Données projet'!$A$139:$I$159,9,0)</f>
        <v>8.1410256410256405</v>
      </c>
      <c r="CS102" s="13">
        <f t="array" ref="CS102">INDEX(CR:CR,MIN(IF(ISNUMBER(CR102:CR298),ROW(CR102:CR298),"")))</f>
        <v>8.1410256410256405</v>
      </c>
      <c r="CT102" s="13">
        <f>IF('Données projet'!$A$140&gt;35,CT101+CS102-DB101,IF(A102&lt;'Données projet'!$A$140,$CQ$205^A102,IF(A102='Données projet'!$A$140,'Données projet'!$B$140,CT101+CS102-DB101)))</f>
        <v>397.69230769230717</v>
      </c>
      <c r="CU102" s="18">
        <f>CT102*VLOOKUP('Données projet'!$B$13,Paramètres!$A$1:$I$89,3,0)*VLOOKUP('Données projet'!$B$13,Paramètres!$A$1:$I$89,5,0)</f>
        <v>186.11999999999975</v>
      </c>
      <c r="CV102" s="14">
        <f t="shared" si="95"/>
        <v>46.681112592689374</v>
      </c>
      <c r="CW102" s="22">
        <f t="shared" si="67"/>
        <v>405.46193776560017</v>
      </c>
      <c r="CX102" s="62">
        <f t="shared" si="68"/>
        <v>698.79527109893343</v>
      </c>
      <c r="CY102" s="62">
        <f ca="1">AVERAGE(OFFSET($CX$3,0,0,'Données projet'!$E$13+1,1))-AVERAGE(OFFSET($H$3,0,0,'Données projet'!$E$13+1,1))</f>
        <v>246.64907095367749</v>
      </c>
      <c r="CZ102" s="62">
        <f t="shared" si="96"/>
        <v>145.34368562171613</v>
      </c>
      <c r="DA102" s="16">
        <f>IF(ISNA(VLOOKUP(A102,'Données projet'!$A$139:$I$159,3,0)),0,VLOOKUP(A102,'Données projet'!$A$139:$I$159,3,0))</f>
        <v>5</v>
      </c>
      <c r="DB102" s="16">
        <f>IF(ISNA(VLOOKUP(A102,'Données projet'!$A$139:$I$159,4,0)),0,VLOOKUP(A102,'Données projet'!$A$139:$I$159,4,0))</f>
        <v>198.46153846153845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207.03241199974599</v>
      </c>
      <c r="T103" s="62">
        <f t="shared" si="88"/>
        <v>314.188568589113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3.3752360600971367</v>
      </c>
      <c r="AA103" s="23">
        <f>EXP(-LN(2)/25)*AA102+(1-EXP(-LN(2)/25))/(LN(2)/25)*Calculateur!V103*Calculateur!X103*VLOOKUP('Données projet'!$B$9,Paramètres!$A$1:$I$89,3,0)*0.475*44/12</f>
        <v>1.3998919250804471</v>
      </c>
      <c r="AB103" s="23">
        <f>EXP(-LN(2)/2)*AB102+(1-EXP(-LN(2)/2))/(LN(2)/2)*V103*Y103*VLOOKUP('Données projet'!$B$9,Paramètres!$A$1:$I$89,3,0)*0.475*44/12</f>
        <v>8.5112047873926634E-11</v>
      </c>
      <c r="AC103" s="24">
        <f t="shared" si="57"/>
        <v>4.7751279852626958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245.25496369542458</v>
      </c>
      <c r="AO103" s="62">
        <f t="shared" si="90"/>
        <v>342.30266518164211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233.97435897435898</v>
      </c>
      <c r="BB103" s="13">
        <f>VLOOKUP(A103,'Données projet'!$A$87:$I$107,9,0)</f>
        <v>2.6923076923076961</v>
      </c>
      <c r="BC103" s="13">
        <f t="array" ref="BC103">INDEX(BB:BB,MIN(IF(ISNUMBER(BB103:BB299),ROW(BB103:BB299),"")))</f>
        <v>2.6923076923076961</v>
      </c>
      <c r="BD103" s="13">
        <f>IF('Données projet'!$A$88&gt;35,BD102+BC103-BL102,IF(A103&lt;'Données projet'!$A$88,$BA$205^A103,IF(A103='Données projet'!$A$88,'Données projet'!$B$88,BD102+BC103-BL102)))</f>
        <v>233.97435897435901</v>
      </c>
      <c r="BE103" s="14">
        <f>BD103*VLOOKUP('Données projet'!$B$11,Paramètres!$A$1:$I$89,3,0)*VLOOKUP('Données projet'!$B$11,Paramètres!$A$1:$I$89,5,0)</f>
        <v>244.55000000000007</v>
      </c>
      <c r="BF103" s="14">
        <f t="shared" si="91"/>
        <v>59.417412537913492</v>
      </c>
      <c r="BG103" s="22">
        <f t="shared" si="61"/>
        <v>529.40991017019951</v>
      </c>
      <c r="BH103" s="62">
        <f t="shared" si="62"/>
        <v>822.74324350353277</v>
      </c>
      <c r="BI103" s="62">
        <f ca="1">AVERAGE(OFFSET($BH$3,0,0,'Données projet'!$E$11+1,1))-AVERAGE(OFFSET($H$3,0,0,'Données projet'!$E$11+1,1))</f>
        <v>377.78532142539677</v>
      </c>
      <c r="BJ103" s="62">
        <f t="shared" si="92"/>
        <v>234.27695813539111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16.025641025641026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230</v>
      </c>
      <c r="BW103" s="13">
        <f>VLOOKUP(A103,'Données projet'!$A$113:$I$133,9,0)</f>
        <v>3.7</v>
      </c>
      <c r="BX103" s="13">
        <f t="array" ref="BX103">INDEX(BW:BW,MIN(IF(ISNUMBER(BW103:BW299),ROW(BW103:BW299),"")))</f>
        <v>3.7</v>
      </c>
      <c r="BY103" s="13">
        <f>IF('Données projet'!$A$114&gt;35,BY102+BX103-CG102,IF(A103&lt;'Données projet'!$A$114,$BV$205^A103,IF(A103='Données projet'!$A$114,'Données projet'!$B$114,BY102+BX103-CG102)))</f>
        <v>229.99999999999983</v>
      </c>
      <c r="BZ103" s="14">
        <f>BY103*VLOOKUP('Données projet'!$B$12,Paramètres!$A$1:$I$89,3,0)*VLOOKUP('Données projet'!$B$12,Paramètres!$A$1:$I$89,5,0)</f>
        <v>233.21999999999983</v>
      </c>
      <c r="CA103" s="14">
        <f t="shared" si="93"/>
        <v>56.978356452817216</v>
      </c>
      <c r="CB103" s="22">
        <f t="shared" si="64"/>
        <v>505.42880415532295</v>
      </c>
      <c r="CC103" s="62">
        <f t="shared" si="65"/>
        <v>798.76213748865621</v>
      </c>
      <c r="CD103" s="62">
        <f ca="1">AVERAGE(OFFSET($CC$3,0,0,'Données projet'!$E$12+1,1))-AVERAGE(OFFSET($H$3,0,0,'Données projet'!$E$12+1,1))</f>
        <v>360.32217613090035</v>
      </c>
      <c r="CE103" s="62">
        <f t="shared" si="94"/>
        <v>159.6134369231965</v>
      </c>
      <c r="CF103" s="16">
        <f>IF(ISNA(VLOOKUP(A103,'Données projet'!$A$113:$I$133,3,0)),0,VLOOKUP(A103,'Données projet'!$A$113:$I$133,3,0))</f>
        <v>7</v>
      </c>
      <c r="CG103" s="16">
        <f>IF(ISNA(VLOOKUP(A103,'Données projet'!$A$113:$I$133,4,0)),0,VLOOKUP(A103,'Données projet'!$A$113:$I$133,4,0))</f>
        <v>28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5.6923076923076907</v>
      </c>
      <c r="CT103" s="13">
        <f>IF('Données projet'!$A$140&gt;35,CT102+CS103-DB102,IF(A103&lt;'Données projet'!$A$140,$CQ$205^A103,IF(A103='Données projet'!$A$140,'Données projet'!$B$140,CT102+CS103-DB102)))</f>
        <v>204.92307692307639</v>
      </c>
      <c r="CU103" s="18">
        <f>CT103*VLOOKUP('Données projet'!$B$13,Paramètres!$A$1:$I$89,3,0)*VLOOKUP('Données projet'!$B$13,Paramètres!$A$1:$I$89,5,0)</f>
        <v>95.903999999999741</v>
      </c>
      <c r="CV103" s="14">
        <f t="shared" si="95"/>
        <v>25.983819565312803</v>
      </c>
      <c r="CW103" s="22">
        <f t="shared" si="67"/>
        <v>212.28795240958598</v>
      </c>
      <c r="CX103" s="62">
        <f t="shared" si="68"/>
        <v>505.62128574291933</v>
      </c>
      <c r="CY103" s="62">
        <f ca="1">AVERAGE(OFFSET($CX$3,0,0,'Données projet'!$E$13+1,1))-AVERAGE(OFFSET($H$3,0,0,'Données projet'!$E$13+1,1))</f>
        <v>246.64907095367749</v>
      </c>
      <c r="CZ103" s="62">
        <f t="shared" si="96"/>
        <v>145.34368562171613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207.03241199974599</v>
      </c>
      <c r="T104" s="62">
        <f t="shared" si="88"/>
        <v>314.188568589113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3.3090497396493497</v>
      </c>
      <c r="AA104" s="23">
        <f>EXP(-LN(2)/25)*AA103+(1-EXP(-LN(2)/25))/(LN(2)/25)*Calculateur!V104*Calculateur!X104*VLOOKUP('Données projet'!$B$9,Paramètres!$A$1:$I$89,3,0)*0.475*44/12</f>
        <v>1.3616118067720056</v>
      </c>
      <c r="AB104" s="23">
        <f>EXP(-LN(2)/2)*AB103+(1-EXP(-LN(2)/2))/(LN(2)/2)*V104*Y104*VLOOKUP('Données projet'!$B$9,Paramètres!$A$1:$I$89,3,0)*0.475*44/12</f>
        <v>6.0183306212327597E-11</v>
      </c>
      <c r="AC104" s="24">
        <f t="shared" si="57"/>
        <v>4.6706615464815382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245.25496369542458</v>
      </c>
      <c r="AO104" s="62">
        <f t="shared" si="90"/>
        <v>342.30266518164211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2.4999999999999973</v>
      </c>
      <c r="BD104" s="13">
        <f>IF('Données projet'!$A$88&gt;35,BD103+BC104-BL103,IF(A104&lt;'Données projet'!$A$88,$BA$205^A104,IF(A104='Données projet'!$A$88,'Données projet'!$B$88,BD103+BC104-BL103)))</f>
        <v>220.44871794871798</v>
      </c>
      <c r="BE104" s="14">
        <f>BD104*VLOOKUP('Données projet'!$B$11,Paramètres!$A$1:$I$89,3,0)*VLOOKUP('Données projet'!$B$11,Paramètres!$A$1:$I$89,5,0)</f>
        <v>230.41300000000007</v>
      </c>
      <c r="BF104" s="14">
        <f t="shared" si="91"/>
        <v>56.371972460814931</v>
      </c>
      <c r="BG104" s="22">
        <f t="shared" si="61"/>
        <v>499.48382703591938</v>
      </c>
      <c r="BH104" s="62">
        <f t="shared" si="62"/>
        <v>792.81716036925263</v>
      </c>
      <c r="BI104" s="62">
        <f ca="1">AVERAGE(OFFSET($BH$3,0,0,'Données projet'!$E$11+1,1))-AVERAGE(OFFSET($H$3,0,0,'Données projet'!$E$11+1,1))</f>
        <v>377.78532142539677</v>
      </c>
      <c r="BJ104" s="62">
        <f t="shared" si="92"/>
        <v>234.27695813539111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3.1</v>
      </c>
      <c r="BY104" s="13">
        <f>IF('Données projet'!$A$114&gt;35,BY103+BX104-CG103,IF(A104&lt;'Données projet'!$A$114,$BV$205^A104,IF(A104='Données projet'!$A$114,'Données projet'!$B$114,BY103+BX104-CG103)))</f>
        <v>205.09999999999982</v>
      </c>
      <c r="BZ104" s="14">
        <f>BY104*VLOOKUP('Données projet'!$B$12,Paramètres!$A$1:$I$89,3,0)*VLOOKUP('Données projet'!$B$12,Paramètres!$A$1:$I$89,5,0)</f>
        <v>207.97139999999982</v>
      </c>
      <c r="CA104" s="14">
        <f t="shared" si="93"/>
        <v>51.492035430274768</v>
      </c>
      <c r="CB104" s="22">
        <f t="shared" si="64"/>
        <v>451.8988167077282</v>
      </c>
      <c r="CC104" s="62">
        <f t="shared" si="65"/>
        <v>745.23215004106146</v>
      </c>
      <c r="CD104" s="62">
        <f ca="1">AVERAGE(OFFSET($CC$3,0,0,'Données projet'!$E$12+1,1))-AVERAGE(OFFSET($H$3,0,0,'Données projet'!$E$12+1,1))</f>
        <v>360.32217613090035</v>
      </c>
      <c r="CE104" s="62">
        <f t="shared" si="94"/>
        <v>159.6134369231965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5.6923076923076907</v>
      </c>
      <c r="CT104" s="13">
        <f>IF('Données projet'!$A$140&gt;35,CT103+CS104-DB103,IF(A104&lt;'Données projet'!$A$140,$CQ$205^A104,IF(A104='Données projet'!$A$140,'Données projet'!$B$140,CT103+CS104-DB103)))</f>
        <v>210.61538461538407</v>
      </c>
      <c r="CU104" s="18">
        <f>CT104*VLOOKUP('Données projet'!$B$13,Paramètres!$A$1:$I$89,3,0)*VLOOKUP('Données projet'!$B$13,Paramètres!$A$1:$I$89,5,0)</f>
        <v>98.567999999999756</v>
      </c>
      <c r="CV104" s="14">
        <f t="shared" si="95"/>
        <v>26.620557442262673</v>
      </c>
      <c r="CW104" s="22">
        <f t="shared" si="67"/>
        <v>218.03673754527372</v>
      </c>
      <c r="CX104" s="62">
        <f t="shared" si="68"/>
        <v>511.37007087860707</v>
      </c>
      <c r="CY104" s="62">
        <f ca="1">AVERAGE(OFFSET($CX$3,0,0,'Données projet'!$E$13+1,1))-AVERAGE(OFFSET($H$3,0,0,'Données projet'!$E$13+1,1))</f>
        <v>246.64907095367749</v>
      </c>
      <c r="CZ104" s="62">
        <f t="shared" si="96"/>
        <v>145.34368562171613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207.03241199974599</v>
      </c>
      <c r="T105" s="62">
        <f t="shared" si="88"/>
        <v>314.188568589113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3.2441612925758743</v>
      </c>
      <c r="AA105" s="23">
        <f>EXP(-LN(2)/25)*AA104+(1-EXP(-LN(2)/25))/(LN(2)/25)*Calculateur!V105*Calculateur!X105*VLOOKUP('Données projet'!$B$9,Paramètres!$A$1:$I$89,3,0)*0.475*44/12</f>
        <v>1.3243784603117721</v>
      </c>
      <c r="AB105" s="23">
        <f>EXP(-LN(2)/2)*AB104+(1-EXP(-LN(2)/2))/(LN(2)/2)*V105*Y105*VLOOKUP('Données projet'!$B$9,Paramètres!$A$1:$I$89,3,0)*0.475*44/12</f>
        <v>4.2556023936963317E-11</v>
      </c>
      <c r="AC105" s="24">
        <f t="shared" si="57"/>
        <v>4.568539752930203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245.25496369542458</v>
      </c>
      <c r="AO105" s="62">
        <f t="shared" si="90"/>
        <v>342.30266518164211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2.4999999999999973</v>
      </c>
      <c r="BD105" s="13">
        <f>IF('Données projet'!$A$88&gt;35,BD104+BC105-BL104,IF(A105&lt;'Données projet'!$A$88,$BA$205^A105,IF(A105='Données projet'!$A$88,'Données projet'!$B$88,BD104+BC105-BL104)))</f>
        <v>222.94871794871798</v>
      </c>
      <c r="BE105" s="14">
        <f>BD105*VLOOKUP('Données projet'!$B$11,Paramètres!$A$1:$I$89,3,0)*VLOOKUP('Données projet'!$B$11,Paramètres!$A$1:$I$89,5,0)</f>
        <v>233.02600000000004</v>
      </c>
      <c r="BF105" s="14">
        <f t="shared" si="91"/>
        <v>56.936474917368535</v>
      </c>
      <c r="BG105" s="22">
        <f t="shared" si="61"/>
        <v>505.01797714775029</v>
      </c>
      <c r="BH105" s="62">
        <f t="shared" si="62"/>
        <v>798.3513104810836</v>
      </c>
      <c r="BI105" s="62">
        <f ca="1">AVERAGE(OFFSET($BH$3,0,0,'Données projet'!$E$11+1,1))-AVERAGE(OFFSET($H$3,0,0,'Données projet'!$E$11+1,1))</f>
        <v>377.78532142539677</v>
      </c>
      <c r="BJ105" s="62">
        <f t="shared" si="92"/>
        <v>234.27695813539111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3.1</v>
      </c>
      <c r="BY105" s="13">
        <f>IF('Données projet'!$A$114&gt;35,BY104+BX105-CG104,IF(A105&lt;'Données projet'!$A$114,$BV$205^A105,IF(A105='Données projet'!$A$114,'Données projet'!$B$114,BY104+BX105-CG104)))</f>
        <v>208.19999999999982</v>
      </c>
      <c r="BZ105" s="14">
        <f>BY105*VLOOKUP('Données projet'!$B$12,Paramètres!$A$1:$I$89,3,0)*VLOOKUP('Données projet'!$B$12,Paramètres!$A$1:$I$89,5,0)</f>
        <v>211.11479999999986</v>
      </c>
      <c r="CA105" s="14">
        <f t="shared" si="93"/>
        <v>52.179122428493628</v>
      </c>
      <c r="CB105" s="22">
        <f t="shared" si="64"/>
        <v>458.57024822962609</v>
      </c>
      <c r="CC105" s="62">
        <f t="shared" si="65"/>
        <v>751.9035815629594</v>
      </c>
      <c r="CD105" s="62">
        <f ca="1">AVERAGE(OFFSET($CC$3,0,0,'Données projet'!$E$12+1,1))-AVERAGE(OFFSET($H$3,0,0,'Données projet'!$E$12+1,1))</f>
        <v>360.32217613090035</v>
      </c>
      <c r="CE105" s="62">
        <f t="shared" si="94"/>
        <v>159.6134369231965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5.6923076923076907</v>
      </c>
      <c r="CT105" s="13">
        <f>IF('Données projet'!$A$140&gt;35,CT104+CS105-DB104,IF(A105&lt;'Données projet'!$A$140,$CQ$205^A105,IF(A105='Données projet'!$A$140,'Données projet'!$B$140,CT104+CS105-DB104)))</f>
        <v>216.30769230769175</v>
      </c>
      <c r="CU105" s="18">
        <f>CT105*VLOOKUP('Données projet'!$B$13,Paramètres!$A$1:$I$89,3,0)*VLOOKUP('Données projet'!$B$13,Paramètres!$A$1:$I$89,5,0)</f>
        <v>101.23199999999974</v>
      </c>
      <c r="CV105" s="14">
        <f t="shared" si="95"/>
        <v>27.255295066527388</v>
      </c>
      <c r="CW105" s="22">
        <f t="shared" si="67"/>
        <v>223.78203890753477</v>
      </c>
      <c r="CX105" s="62">
        <f t="shared" si="68"/>
        <v>517.11537224086806</v>
      </c>
      <c r="CY105" s="62">
        <f ca="1">AVERAGE(OFFSET($CX$3,0,0,'Données projet'!$E$13+1,1))-AVERAGE(OFFSET($H$3,0,0,'Données projet'!$E$13+1,1))</f>
        <v>246.64907095367749</v>
      </c>
      <c r="CZ105" s="62">
        <f t="shared" si="96"/>
        <v>145.34368562171613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207.03241199974599</v>
      </c>
      <c r="T106" s="62">
        <f t="shared" si="88"/>
        <v>314.188568589113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3.180545268371465</v>
      </c>
      <c r="AA106" s="23">
        <f>EXP(-LN(2)/25)*AA105+(1-EXP(-LN(2)/25))/(LN(2)/25)*Calculateur!V106*Calculateur!X106*VLOOKUP('Données projet'!$B$9,Paramètres!$A$1:$I$89,3,0)*0.475*44/12</f>
        <v>1.2881632616685104</v>
      </c>
      <c r="AB106" s="23">
        <f>EXP(-LN(2)/2)*AB105+(1-EXP(-LN(2)/2))/(LN(2)/2)*V106*Y106*VLOOKUP('Données projet'!$B$9,Paramètres!$A$1:$I$89,3,0)*0.475*44/12</f>
        <v>3.0091653106163798E-11</v>
      </c>
      <c r="AC106" s="24">
        <f t="shared" si="57"/>
        <v>4.4687085300700673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245.25496369542458</v>
      </c>
      <c r="AO106" s="62">
        <f t="shared" si="90"/>
        <v>342.30266518164211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2.4999999999999973</v>
      </c>
      <c r="BD106" s="13">
        <f>IF('Données projet'!$A$88&gt;35,BD105+BC106-BL105,IF(A106&lt;'Données projet'!$A$88,$BA$205^A106,IF(A106='Données projet'!$A$88,'Données projet'!$B$88,BD105+BC106-BL105)))</f>
        <v>225.44871794871798</v>
      </c>
      <c r="BE106" s="14">
        <f>BD106*VLOOKUP('Données projet'!$B$11,Paramètres!$A$1:$I$89,3,0)*VLOOKUP('Données projet'!$B$11,Paramètres!$A$1:$I$89,5,0)</f>
        <v>235.63900000000007</v>
      </c>
      <c r="BF106" s="14">
        <f t="shared" si="91"/>
        <v>57.500241031072171</v>
      </c>
      <c r="BG106" s="22">
        <f t="shared" si="61"/>
        <v>510.55084479578409</v>
      </c>
      <c r="BH106" s="62">
        <f t="shared" si="62"/>
        <v>803.88417812911734</v>
      </c>
      <c r="BI106" s="62">
        <f ca="1">AVERAGE(OFFSET($BH$3,0,0,'Données projet'!$E$11+1,1))-AVERAGE(OFFSET($H$3,0,0,'Données projet'!$E$11+1,1))</f>
        <v>377.78532142539677</v>
      </c>
      <c r="BJ106" s="62">
        <f t="shared" si="92"/>
        <v>234.27695813539111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3.1</v>
      </c>
      <c r="BY106" s="13">
        <f>IF('Données projet'!$A$114&gt;35,BY105+BX106-CG105,IF(A106&lt;'Données projet'!$A$114,$BV$205^A106,IF(A106='Données projet'!$A$114,'Données projet'!$B$114,BY105+BX106-CG105)))</f>
        <v>211.29999999999981</v>
      </c>
      <c r="BZ106" s="14">
        <f>BY106*VLOOKUP('Données projet'!$B$12,Paramètres!$A$1:$I$89,3,0)*VLOOKUP('Données projet'!$B$12,Paramètres!$A$1:$I$89,5,0)</f>
        <v>214.25819999999982</v>
      </c>
      <c r="CA106" s="14">
        <f t="shared" si="93"/>
        <v>52.86501959276859</v>
      </c>
      <c r="CB106" s="22">
        <f t="shared" si="64"/>
        <v>465.23960745740493</v>
      </c>
      <c r="CC106" s="62">
        <f t="shared" si="65"/>
        <v>758.57294079073824</v>
      </c>
      <c r="CD106" s="62">
        <f ca="1">AVERAGE(OFFSET($CC$3,0,0,'Données projet'!$E$12+1,1))-AVERAGE(OFFSET($H$3,0,0,'Données projet'!$E$12+1,1))</f>
        <v>360.32217613090035</v>
      </c>
      <c r="CE106" s="62">
        <f t="shared" si="94"/>
        <v>159.6134369231965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5.6923076923076907</v>
      </c>
      <c r="CT106" s="13">
        <f>IF('Données projet'!$A$140&gt;35,CT105+CS106-DB105,IF(A106&lt;'Données projet'!$A$140,$CQ$205^A106,IF(A106='Données projet'!$A$140,'Données projet'!$B$140,CT105+CS106-DB105)))</f>
        <v>221.99999999999943</v>
      </c>
      <c r="CU106" s="18">
        <f>CT106*VLOOKUP('Données projet'!$B$13,Paramètres!$A$1:$I$89,3,0)*VLOOKUP('Données projet'!$B$13,Paramètres!$A$1:$I$89,5,0)</f>
        <v>103.89599999999973</v>
      </c>
      <c r="CV106" s="14">
        <f t="shared" si="95"/>
        <v>27.888091127225749</v>
      </c>
      <c r="CW106" s="22">
        <f t="shared" si="67"/>
        <v>229.52395871325101</v>
      </c>
      <c r="CX106" s="62">
        <f t="shared" si="68"/>
        <v>522.85729204658435</v>
      </c>
      <c r="CY106" s="62">
        <f ca="1">AVERAGE(OFFSET($CX$3,0,0,'Données projet'!$E$13+1,1))-AVERAGE(OFFSET($H$3,0,0,'Données projet'!$E$13+1,1))</f>
        <v>246.64907095367749</v>
      </c>
      <c r="CZ106" s="62">
        <f t="shared" si="96"/>
        <v>145.34368562171613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207.03241199974599</v>
      </c>
      <c r="T107" s="62">
        <f t="shared" si="88"/>
        <v>314.188568589113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3.1181767155997608</v>
      </c>
      <c r="AA107" s="23">
        <f>EXP(-LN(2)/25)*AA106+(1-EXP(-LN(2)/25))/(LN(2)/25)*Calculateur!V107*Calculateur!X107*VLOOKUP('Données projet'!$B$9,Paramètres!$A$1:$I$89,3,0)*0.475*44/12</f>
        <v>1.2529383695366232</v>
      </c>
      <c r="AB107" s="23">
        <f>EXP(-LN(2)/2)*AB106+(1-EXP(-LN(2)/2))/(LN(2)/2)*V107*Y107*VLOOKUP('Données projet'!$B$9,Paramètres!$A$1:$I$89,3,0)*0.475*44/12</f>
        <v>2.1278011968481659E-11</v>
      </c>
      <c r="AC107" s="24">
        <f t="shared" si="57"/>
        <v>4.3711150851576619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245.25496369542458</v>
      </c>
      <c r="AO107" s="62">
        <f t="shared" si="90"/>
        <v>342.30266518164211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2.4999999999999973</v>
      </c>
      <c r="BD107" s="13">
        <f>IF('Données projet'!$A$88&gt;35,BD106+BC107-BL106,IF(A107&lt;'Données projet'!$A$88,$BA$205^A107,IF(A107='Données projet'!$A$88,'Données projet'!$B$88,BD106+BC107-BL106)))</f>
        <v>227.94871794871798</v>
      </c>
      <c r="BE107" s="14">
        <f>BD107*VLOOKUP('Données projet'!$B$11,Paramètres!$A$1:$I$89,3,0)*VLOOKUP('Données projet'!$B$11,Paramètres!$A$1:$I$89,5,0)</f>
        <v>238.25200000000007</v>
      </c>
      <c r="BF107" s="14">
        <f t="shared" si="91"/>
        <v>58.063279912164987</v>
      </c>
      <c r="BG107" s="22">
        <f t="shared" si="61"/>
        <v>516.08244584702072</v>
      </c>
      <c r="BH107" s="62">
        <f t="shared" si="62"/>
        <v>809.41577918035409</v>
      </c>
      <c r="BI107" s="62">
        <f ca="1">AVERAGE(OFFSET($BH$3,0,0,'Données projet'!$E$11+1,1))-AVERAGE(OFFSET($H$3,0,0,'Données projet'!$E$11+1,1))</f>
        <v>377.78532142539677</v>
      </c>
      <c r="BJ107" s="62">
        <f t="shared" si="92"/>
        <v>234.27695813539111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3.1</v>
      </c>
      <c r="BY107" s="13">
        <f>IF('Données projet'!$A$114&gt;35,BY106+BX107-CG106,IF(A107&lt;'Données projet'!$A$114,$BV$205^A107,IF(A107='Données projet'!$A$114,'Données projet'!$B$114,BY106+BX107-CG106)))</f>
        <v>214.39999999999981</v>
      </c>
      <c r="BZ107" s="14">
        <f>BY107*VLOOKUP('Données projet'!$B$12,Paramètres!$A$1:$I$89,3,0)*VLOOKUP('Données projet'!$B$12,Paramètres!$A$1:$I$89,5,0)</f>
        <v>217.4015999999998</v>
      </c>
      <c r="CA107" s="14">
        <f t="shared" si="93"/>
        <v>53.549746395925069</v>
      </c>
      <c r="CB107" s="22">
        <f t="shared" si="64"/>
        <v>471.90692830623578</v>
      </c>
      <c r="CC107" s="62">
        <f t="shared" si="65"/>
        <v>765.2402616395691</v>
      </c>
      <c r="CD107" s="62">
        <f ca="1">AVERAGE(OFFSET($CC$3,0,0,'Données projet'!$E$12+1,1))-AVERAGE(OFFSET($H$3,0,0,'Données projet'!$E$12+1,1))</f>
        <v>360.32217613090035</v>
      </c>
      <c r="CE107" s="62">
        <f t="shared" si="94"/>
        <v>159.6134369231965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5.6923076923076907</v>
      </c>
      <c r="CT107" s="13">
        <f>IF('Données projet'!$A$140&gt;35,CT106+CS107-DB106,IF(A107&lt;'Données projet'!$A$140,$CQ$205^A107,IF(A107='Données projet'!$A$140,'Données projet'!$B$140,CT106+CS107-DB106)))</f>
        <v>227.69230769230711</v>
      </c>
      <c r="CU107" s="18">
        <f>CT107*VLOOKUP('Données projet'!$B$13,Paramètres!$A$1:$I$89,3,0)*VLOOKUP('Données projet'!$B$13,Paramètres!$A$1:$I$89,5,0)</f>
        <v>106.55999999999973</v>
      </c>
      <c r="CV107" s="14">
        <f t="shared" si="95"/>
        <v>28.519001132310215</v>
      </c>
      <c r="CW107" s="22">
        <f t="shared" si="67"/>
        <v>235.26259363877315</v>
      </c>
      <c r="CX107" s="62">
        <f t="shared" si="68"/>
        <v>528.59592697210644</v>
      </c>
      <c r="CY107" s="62">
        <f ca="1">AVERAGE(OFFSET($CX$3,0,0,'Données projet'!$E$13+1,1))-AVERAGE(OFFSET($H$3,0,0,'Données projet'!$E$13+1,1))</f>
        <v>246.64907095367749</v>
      </c>
      <c r="CZ107" s="62">
        <f t="shared" si="96"/>
        <v>145.34368562171613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207.03241199974599</v>
      </c>
      <c r="T108" s="62">
        <f t="shared" si="88"/>
        <v>314.188568589113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3.057031172106849</v>
      </c>
      <c r="AA108" s="23">
        <f>EXP(-LN(2)/25)*AA107+(1-EXP(-LN(2)/25))/(LN(2)/25)*Calculateur!V108*Calculateur!X108*VLOOKUP('Données projet'!$B$9,Paramètres!$A$1:$I$89,3,0)*0.475*44/12</f>
        <v>1.2186767039324791</v>
      </c>
      <c r="AB108" s="23">
        <f>EXP(-LN(2)/2)*AB107+(1-EXP(-LN(2)/2))/(LN(2)/2)*V108*Y108*VLOOKUP('Données projet'!$B$9,Paramètres!$A$1:$I$89,3,0)*0.475*44/12</f>
        <v>1.5045826553081899E-11</v>
      </c>
      <c r="AC108" s="24">
        <f t="shared" si="57"/>
        <v>4.2757078760543736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245.25496369542458</v>
      </c>
      <c r="AO108" s="62">
        <f t="shared" si="90"/>
        <v>342.30266518164211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2.4999999999999973</v>
      </c>
      <c r="BD108" s="13">
        <f>IF('Données projet'!$A$88&gt;35,BD107+BC108-BL107,IF(A108&lt;'Données projet'!$A$88,$BA$205^A108,IF(A108='Données projet'!$A$88,'Données projet'!$B$88,BD107+BC108-BL107)))</f>
        <v>230.44871794871798</v>
      </c>
      <c r="BE108" s="14">
        <f>BD108*VLOOKUP('Données projet'!$B$11,Paramètres!$A$1:$I$89,3,0)*VLOOKUP('Données projet'!$B$11,Paramètres!$A$1:$I$89,5,0)</f>
        <v>240.86500000000004</v>
      </c>
      <c r="BF108" s="14">
        <f t="shared" si="91"/>
        <v>58.62560045954735</v>
      </c>
      <c r="BG108" s="22">
        <f t="shared" si="61"/>
        <v>521.61279580037842</v>
      </c>
      <c r="BH108" s="62">
        <f t="shared" si="62"/>
        <v>814.94612913371179</v>
      </c>
      <c r="BI108" s="62">
        <f ca="1">AVERAGE(OFFSET($BH$3,0,0,'Données projet'!$E$11+1,1))-AVERAGE(OFFSET($H$3,0,0,'Données projet'!$E$11+1,1))</f>
        <v>377.78532142539677</v>
      </c>
      <c r="BJ108" s="62">
        <f t="shared" si="92"/>
        <v>234.27695813539111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3.1</v>
      </c>
      <c r="BY108" s="13">
        <f>IF('Données projet'!$A$114&gt;35,BY107+BX108-CG107,IF(A108&lt;'Données projet'!$A$114,$BV$205^A108,IF(A108='Données projet'!$A$114,'Données projet'!$B$114,BY107+BX108-CG107)))</f>
        <v>217.4999999999998</v>
      </c>
      <c r="BZ108" s="14">
        <f>BY108*VLOOKUP('Données projet'!$B$12,Paramètres!$A$1:$I$89,3,0)*VLOOKUP('Données projet'!$B$12,Paramètres!$A$1:$I$89,5,0)</f>
        <v>220.54499999999982</v>
      </c>
      <c r="CA108" s="14">
        <f t="shared" si="93"/>
        <v>54.233321715341418</v>
      </c>
      <c r="CB108" s="22">
        <f t="shared" si="64"/>
        <v>478.57224365421933</v>
      </c>
      <c r="CC108" s="62">
        <f t="shared" si="65"/>
        <v>771.90557698755265</v>
      </c>
      <c r="CD108" s="62">
        <f ca="1">AVERAGE(OFFSET($CC$3,0,0,'Données projet'!$E$12+1,1))-AVERAGE(OFFSET($H$3,0,0,'Données projet'!$E$12+1,1))</f>
        <v>360.32217613090035</v>
      </c>
      <c r="CE108" s="62">
        <f t="shared" si="94"/>
        <v>159.6134369231965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5.6923076923076907</v>
      </c>
      <c r="CT108" s="13">
        <f>IF('Données projet'!$A$140&gt;35,CT107+CS108-DB107,IF(A108&lt;'Données projet'!$A$140,$CQ$205^A108,IF(A108='Données projet'!$A$140,'Données projet'!$B$140,CT107+CS108-DB107)))</f>
        <v>233.38461538461479</v>
      </c>
      <c r="CU108" s="18">
        <f>CT108*VLOOKUP('Données projet'!$B$13,Paramètres!$A$1:$I$89,3,0)*VLOOKUP('Données projet'!$B$13,Paramètres!$A$1:$I$89,5,0)</f>
        <v>109.22399999999972</v>
      </c>
      <c r="CV108" s="14">
        <f t="shared" si="95"/>
        <v>29.148077656155348</v>
      </c>
      <c r="CW108" s="22">
        <f t="shared" si="67"/>
        <v>240.99803525113671</v>
      </c>
      <c r="CX108" s="62">
        <f t="shared" si="68"/>
        <v>534.33136858447006</v>
      </c>
      <c r="CY108" s="62">
        <f ca="1">AVERAGE(OFFSET($CX$3,0,0,'Données projet'!$E$13+1,1))-AVERAGE(OFFSET($H$3,0,0,'Données projet'!$E$13+1,1))</f>
        <v>246.64907095367749</v>
      </c>
      <c r="CZ108" s="62">
        <f t="shared" si="96"/>
        <v>145.34368562171613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207.03241199974599</v>
      </c>
      <c r="T109" s="62">
        <f t="shared" si="88"/>
        <v>314.188568589113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2.9970846554267343</v>
      </c>
      <c r="AA109" s="23">
        <f>EXP(-LN(2)/25)*AA108+(1-EXP(-LN(2)/25))/(LN(2)/25)*Calculateur!V109*Calculateur!X109*VLOOKUP('Données projet'!$B$9,Paramètres!$A$1:$I$89,3,0)*0.475*44/12</f>
        <v>1.185351925376023</v>
      </c>
      <c r="AB109" s="23">
        <f>EXP(-LN(2)/2)*AB108+(1-EXP(-LN(2)/2))/(LN(2)/2)*V109*Y109*VLOOKUP('Données projet'!$B$9,Paramètres!$A$1:$I$89,3,0)*0.475*44/12</f>
        <v>1.0639005984240829E-11</v>
      </c>
      <c r="AC109" s="24">
        <f t="shared" si="57"/>
        <v>4.1824365808133956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245.25496369542458</v>
      </c>
      <c r="AO109" s="62">
        <f t="shared" si="90"/>
        <v>342.30266518164211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2.4999999999999973</v>
      </c>
      <c r="BD109" s="13">
        <f>IF('Données projet'!$A$88&gt;35,BD108+BC109-BL108,IF(A109&lt;'Données projet'!$A$88,$BA$205^A109,IF(A109='Données projet'!$A$88,'Données projet'!$B$88,BD108+BC109-BL108)))</f>
        <v>232.94871794871798</v>
      </c>
      <c r="BE109" s="14">
        <f>BD109*VLOOKUP('Données projet'!$B$11,Paramètres!$A$1:$I$89,3,0)*VLOOKUP('Données projet'!$B$11,Paramètres!$A$1:$I$89,5,0)</f>
        <v>243.47800000000007</v>
      </c>
      <c r="BF109" s="14">
        <f t="shared" si="91"/>
        <v>59.187211367921961</v>
      </c>
      <c r="BG109" s="22">
        <f t="shared" si="61"/>
        <v>527.14190979913087</v>
      </c>
      <c r="BH109" s="62">
        <f t="shared" si="62"/>
        <v>820.47524313246413</v>
      </c>
      <c r="BI109" s="62">
        <f ca="1">AVERAGE(OFFSET($BH$3,0,0,'Données projet'!$E$11+1,1))-AVERAGE(OFFSET($H$3,0,0,'Données projet'!$E$11+1,1))</f>
        <v>377.78532142539677</v>
      </c>
      <c r="BJ109" s="62">
        <f t="shared" si="92"/>
        <v>234.27695813539111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3.1</v>
      </c>
      <c r="BY109" s="13">
        <f>IF('Données projet'!$A$114&gt;35,BY108+BX109-CG108,IF(A109&lt;'Données projet'!$A$114,$BV$205^A109,IF(A109='Données projet'!$A$114,'Données projet'!$B$114,BY108+BX109-CG108)))</f>
        <v>220.5999999999998</v>
      </c>
      <c r="BZ109" s="14">
        <f>BY109*VLOOKUP('Données projet'!$B$12,Paramètres!$A$1:$I$89,3,0)*VLOOKUP('Données projet'!$B$12,Paramètres!$A$1:$I$89,5,0)</f>
        <v>223.6883999999998</v>
      </c>
      <c r="CA109" s="14">
        <f t="shared" si="93"/>
        <v>54.915763859378451</v>
      </c>
      <c r="CB109" s="22">
        <f t="shared" si="64"/>
        <v>485.23558538841718</v>
      </c>
      <c r="CC109" s="62">
        <f t="shared" si="65"/>
        <v>778.56891872175049</v>
      </c>
      <c r="CD109" s="62">
        <f ca="1">AVERAGE(OFFSET($CC$3,0,0,'Données projet'!$E$12+1,1))-AVERAGE(OFFSET($H$3,0,0,'Données projet'!$E$12+1,1))</f>
        <v>360.32217613090035</v>
      </c>
      <c r="CE109" s="62">
        <f t="shared" si="94"/>
        <v>159.6134369231965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5.6923076923076907</v>
      </c>
      <c r="CT109" s="13">
        <f>IF('Données projet'!$A$140&gt;35,CT108+CS109-DB108,IF(A109&lt;'Données projet'!$A$140,$CQ$205^A109,IF(A109='Données projet'!$A$140,'Données projet'!$B$140,CT108+CS109-DB108)))</f>
        <v>239.07692307692247</v>
      </c>
      <c r="CU109" s="18">
        <f>CT109*VLOOKUP('Données projet'!$B$13,Paramètres!$A$1:$I$89,3,0)*VLOOKUP('Données projet'!$B$13,Paramètres!$A$1:$I$89,5,0)</f>
        <v>111.88799999999971</v>
      </c>
      <c r="CV109" s="14">
        <f t="shared" si="95"/>
        <v>29.775370562311089</v>
      </c>
      <c r="CW109" s="22">
        <f t="shared" si="67"/>
        <v>246.73037039602465</v>
      </c>
      <c r="CX109" s="62">
        <f t="shared" si="68"/>
        <v>540.06370372935794</v>
      </c>
      <c r="CY109" s="62">
        <f ca="1">AVERAGE(OFFSET($CX$3,0,0,'Données projet'!$E$13+1,1))-AVERAGE(OFFSET($H$3,0,0,'Données projet'!$E$13+1,1))</f>
        <v>246.64907095367749</v>
      </c>
      <c r="CZ109" s="62">
        <f t="shared" si="96"/>
        <v>145.34368562171613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207.03241199974599</v>
      </c>
      <c r="T110" s="62">
        <f t="shared" si="88"/>
        <v>314.188568589113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2.9383136533749519</v>
      </c>
      <c r="AA110" s="23">
        <f>EXP(-LN(2)/25)*AA109+(1-EXP(-LN(2)/25))/(LN(2)/25)*Calculateur!V110*Calculateur!X110*VLOOKUP('Données projet'!$B$9,Paramètres!$A$1:$I$89,3,0)*0.475*44/12</f>
        <v>1.152938414641667</v>
      </c>
      <c r="AB110" s="23">
        <f>EXP(-LN(2)/2)*AB109+(1-EXP(-LN(2)/2))/(LN(2)/2)*V110*Y110*VLOOKUP('Données projet'!$B$9,Paramètres!$A$1:$I$89,3,0)*0.475*44/12</f>
        <v>7.5229132765409496E-12</v>
      </c>
      <c r="AC110" s="24">
        <f t="shared" si="57"/>
        <v>4.0912520680241418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245.25496369542458</v>
      </c>
      <c r="AO110" s="62">
        <f t="shared" si="90"/>
        <v>342.30266518164211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2.4999999999999973</v>
      </c>
      <c r="BD110" s="13">
        <f>IF('Données projet'!$A$88&gt;35,BD109+BC110-BL109,IF(A110&lt;'Données projet'!$A$88,$BA$205^A110,IF(A110='Données projet'!$A$88,'Données projet'!$B$88,BD109+BC110-BL109)))</f>
        <v>235.44871794871798</v>
      </c>
      <c r="BE110" s="14">
        <f>BD110*VLOOKUP('Données projet'!$B$11,Paramètres!$A$1:$I$89,3,0)*VLOOKUP('Données projet'!$B$11,Paramètres!$A$1:$I$89,5,0)</f>
        <v>246.09100000000009</v>
      </c>
      <c r="BF110" s="14">
        <f t="shared" si="91"/>
        <v>59.748121134619325</v>
      </c>
      <c r="BG110" s="22">
        <f t="shared" si="61"/>
        <v>532.66980264279539</v>
      </c>
      <c r="BH110" s="62">
        <f t="shared" si="62"/>
        <v>826.00313597612876</v>
      </c>
      <c r="BI110" s="62">
        <f ca="1">AVERAGE(OFFSET($BH$3,0,0,'Données projet'!$E$11+1,1))-AVERAGE(OFFSET($H$3,0,0,'Données projet'!$E$11+1,1))</f>
        <v>377.78532142539677</v>
      </c>
      <c r="BJ110" s="62">
        <f t="shared" si="92"/>
        <v>234.27695813539111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3.1</v>
      </c>
      <c r="BY110" s="13">
        <f>IF('Données projet'!$A$114&gt;35,BY109+BX110-CG109,IF(A110&lt;'Données projet'!$A$114,$BV$205^A110,IF(A110='Données projet'!$A$114,'Données projet'!$B$114,BY109+BX110-CG109)))</f>
        <v>223.69999999999979</v>
      </c>
      <c r="BZ110" s="14">
        <f>BY110*VLOOKUP('Données projet'!$B$12,Paramètres!$A$1:$I$89,3,0)*VLOOKUP('Données projet'!$B$12,Paramètres!$A$1:$I$89,5,0)</f>
        <v>226.83179999999979</v>
      </c>
      <c r="CA110" s="14">
        <f t="shared" si="93"/>
        <v>55.597090592281752</v>
      </c>
      <c r="CB110" s="22">
        <f t="shared" si="64"/>
        <v>491.89698444822369</v>
      </c>
      <c r="CC110" s="62">
        <f t="shared" si="65"/>
        <v>785.23031778155701</v>
      </c>
      <c r="CD110" s="62">
        <f ca="1">AVERAGE(OFFSET($CC$3,0,0,'Données projet'!$E$12+1,1))-AVERAGE(OFFSET($H$3,0,0,'Données projet'!$E$12+1,1))</f>
        <v>360.32217613090035</v>
      </c>
      <c r="CE110" s="62">
        <f t="shared" si="94"/>
        <v>159.6134369231965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5.6923076923076907</v>
      </c>
      <c r="CT110" s="13">
        <f>IF('Données projet'!$A$140&gt;35,CT109+CS110-DB109,IF(A110&lt;'Données projet'!$A$140,$CQ$205^A110,IF(A110='Données projet'!$A$140,'Données projet'!$B$140,CT109+CS110-DB109)))</f>
        <v>244.76923076923015</v>
      </c>
      <c r="CU110" s="18">
        <f>CT110*VLOOKUP('Données projet'!$B$13,Paramètres!$A$1:$I$89,3,0)*VLOOKUP('Données projet'!$B$13,Paramètres!$A$1:$I$89,5,0)</f>
        <v>114.55199999999971</v>
      </c>
      <c r="CV110" s="14">
        <f t="shared" si="95"/>
        <v>30.400927204443892</v>
      </c>
      <c r="CW110" s="22">
        <f t="shared" si="67"/>
        <v>252.45968154773928</v>
      </c>
      <c r="CX110" s="62">
        <f t="shared" si="68"/>
        <v>545.79301488107262</v>
      </c>
      <c r="CY110" s="62">
        <f ca="1">AVERAGE(OFFSET($CX$3,0,0,'Données projet'!$E$13+1,1))-AVERAGE(OFFSET($H$3,0,0,'Données projet'!$E$13+1,1))</f>
        <v>246.64907095367749</v>
      </c>
      <c r="CZ110" s="62">
        <f t="shared" si="96"/>
        <v>145.34368562171613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207.03241199974599</v>
      </c>
      <c r="T111" s="62">
        <f t="shared" si="88"/>
        <v>314.188568589113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2.8806951148266333</v>
      </c>
      <c r="AA111" s="23">
        <f>EXP(-LN(2)/25)*AA110+(1-EXP(-LN(2)/25))/(LN(2)/25)*Calculateur!V111*Calculateur!X111*VLOOKUP('Données projet'!$B$9,Paramètres!$A$1:$I$89,3,0)*0.475*44/12</f>
        <v>1.1214112530628946</v>
      </c>
      <c r="AB111" s="23">
        <f>EXP(-LN(2)/2)*AB110+(1-EXP(-LN(2)/2))/(LN(2)/2)*V111*Y111*VLOOKUP('Données projet'!$B$9,Paramètres!$A$1:$I$89,3,0)*0.475*44/12</f>
        <v>5.3195029921204146E-12</v>
      </c>
      <c r="AC111" s="24">
        <f t="shared" si="57"/>
        <v>4.0021063678948474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245.25496369542458</v>
      </c>
      <c r="AO111" s="62">
        <f t="shared" si="90"/>
        <v>342.30266518164211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2.4999999999999973</v>
      </c>
      <c r="BD111" s="13">
        <f>IF('Données projet'!$A$88&gt;35,BD110+BC111-BL110,IF(A111&lt;'Données projet'!$A$88,$BA$205^A111,IF(A111='Données projet'!$A$88,'Données projet'!$B$88,BD110+BC111-BL110)))</f>
        <v>237.94871794871798</v>
      </c>
      <c r="BE111" s="14">
        <f>BD111*VLOOKUP('Données projet'!$B$11,Paramètres!$A$1:$I$89,3,0)*VLOOKUP('Données projet'!$B$11,Paramètres!$A$1:$I$89,5,0)</f>
        <v>248.70400000000006</v>
      </c>
      <c r="BF111" s="14">
        <f t="shared" si="91"/>
        <v>60.308338066125408</v>
      </c>
      <c r="BG111" s="22">
        <f t="shared" si="61"/>
        <v>538.19648879850183</v>
      </c>
      <c r="BH111" s="62">
        <f t="shared" si="62"/>
        <v>831.52982213183509</v>
      </c>
      <c r="BI111" s="62">
        <f ca="1">AVERAGE(OFFSET($BH$3,0,0,'Données projet'!$E$11+1,1))-AVERAGE(OFFSET($H$3,0,0,'Données projet'!$E$11+1,1))</f>
        <v>377.78532142539677</v>
      </c>
      <c r="BJ111" s="62">
        <f t="shared" si="92"/>
        <v>234.27695813539111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3.1</v>
      </c>
      <c r="BY111" s="13">
        <f>IF('Données projet'!$A$114&gt;35,BY110+BX111-CG110,IF(A111&lt;'Données projet'!$A$114,$BV$205^A111,IF(A111='Données projet'!$A$114,'Données projet'!$B$114,BY110+BX111-CG110)))</f>
        <v>226.79999999999978</v>
      </c>
      <c r="BZ111" s="14">
        <f>BY111*VLOOKUP('Données projet'!$B$12,Paramètres!$A$1:$I$89,3,0)*VLOOKUP('Données projet'!$B$12,Paramètres!$A$1:$I$89,5,0)</f>
        <v>229.9751999999998</v>
      </c>
      <c r="CA111" s="14">
        <f t="shared" si="93"/>
        <v>56.277319157664266</v>
      </c>
      <c r="CB111" s="22">
        <f t="shared" si="64"/>
        <v>498.55647086626499</v>
      </c>
      <c r="CC111" s="62">
        <f t="shared" si="65"/>
        <v>791.8898041995983</v>
      </c>
      <c r="CD111" s="62">
        <f ca="1">AVERAGE(OFFSET($CC$3,0,0,'Données projet'!$E$12+1,1))-AVERAGE(OFFSET($H$3,0,0,'Données projet'!$E$12+1,1))</f>
        <v>360.32217613090035</v>
      </c>
      <c r="CE111" s="62">
        <f t="shared" si="94"/>
        <v>159.6134369231965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5.6923076923076907</v>
      </c>
      <c r="CT111" s="13">
        <f>IF('Données projet'!$A$140&gt;35,CT110+CS111-DB110,IF(A111&lt;'Données projet'!$A$140,$CQ$205^A111,IF(A111='Données projet'!$A$140,'Données projet'!$B$140,CT110+CS111-DB110)))</f>
        <v>250.46153846153783</v>
      </c>
      <c r="CU111" s="18">
        <f>CT111*VLOOKUP('Données projet'!$B$13,Paramètres!$A$1:$I$89,3,0)*VLOOKUP('Données projet'!$B$13,Paramètres!$A$1:$I$89,5,0)</f>
        <v>117.21599999999971</v>
      </c>
      <c r="CV111" s="14">
        <f t="shared" si="95"/>
        <v>31.024792608059023</v>
      </c>
      <c r="CW111" s="22">
        <f t="shared" si="67"/>
        <v>258.18604712570226</v>
      </c>
      <c r="CX111" s="62">
        <f t="shared" si="68"/>
        <v>551.51938045903557</v>
      </c>
      <c r="CY111" s="62">
        <f ca="1">AVERAGE(OFFSET($CX$3,0,0,'Données projet'!$E$13+1,1))-AVERAGE(OFFSET($H$3,0,0,'Données projet'!$E$13+1,1))</f>
        <v>246.64907095367749</v>
      </c>
      <c r="CZ111" s="62">
        <f t="shared" si="96"/>
        <v>145.34368562171613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207.03241199974599</v>
      </c>
      <c r="T112" s="62">
        <f t="shared" si="88"/>
        <v>314.188568589113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2.8242064406754088</v>
      </c>
      <c r="AA112" s="23">
        <f>EXP(-LN(2)/25)*AA111+(1-EXP(-LN(2)/25))/(LN(2)/25)*Calculateur!V112*Calculateur!X112*VLOOKUP('Données projet'!$B$9,Paramètres!$A$1:$I$89,3,0)*0.475*44/12</f>
        <v>1.0907462033754349</v>
      </c>
      <c r="AB112" s="23">
        <f>EXP(-LN(2)/2)*AB111+(1-EXP(-LN(2)/2))/(LN(2)/2)*V112*Y112*VLOOKUP('Données projet'!$B$9,Paramètres!$A$1:$I$89,3,0)*0.475*44/12</f>
        <v>3.7614566382704748E-12</v>
      </c>
      <c r="AC112" s="24">
        <f t="shared" si="57"/>
        <v>3.9149526440546052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245.25496369542458</v>
      </c>
      <c r="AO112" s="62">
        <f t="shared" si="90"/>
        <v>342.30266518164211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2.4999999999999973</v>
      </c>
      <c r="BD112" s="13">
        <f>IF('Données projet'!$A$88&gt;35,BD111+BC112-BL111,IF(A112&lt;'Données projet'!$A$88,$BA$205^A112,IF(A112='Données projet'!$A$88,'Données projet'!$B$88,BD111+BC112-BL111)))</f>
        <v>240.44871794871798</v>
      </c>
      <c r="BE112" s="14">
        <f>BD112*VLOOKUP('Données projet'!$B$11,Paramètres!$A$1:$I$89,3,0)*VLOOKUP('Données projet'!$B$11,Paramètres!$A$1:$I$89,5,0)</f>
        <v>251.31700000000006</v>
      </c>
      <c r="BF112" s="14">
        <f t="shared" si="91"/>
        <v>60.867870284326941</v>
      </c>
      <c r="BG112" s="22">
        <f t="shared" si="61"/>
        <v>543.72198241186959</v>
      </c>
      <c r="BH112" s="62">
        <f t="shared" si="62"/>
        <v>837.05531574520296</v>
      </c>
      <c r="BI112" s="62">
        <f ca="1">AVERAGE(OFFSET($BH$3,0,0,'Données projet'!$E$11+1,1))-AVERAGE(OFFSET($H$3,0,0,'Données projet'!$E$11+1,1))</f>
        <v>377.78532142539677</v>
      </c>
      <c r="BJ112" s="62">
        <f t="shared" si="92"/>
        <v>234.27695813539111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3.1</v>
      </c>
      <c r="BY112" s="13">
        <f>IF('Données projet'!$A$114&gt;35,BY111+BX112-CG111,IF(A112&lt;'Données projet'!$A$114,$BV$205^A112,IF(A112='Données projet'!$A$114,'Données projet'!$B$114,BY111+BX112-CG111)))</f>
        <v>229.89999999999978</v>
      </c>
      <c r="BZ112" s="14">
        <f>BY112*VLOOKUP('Données projet'!$B$12,Paramètres!$A$1:$I$89,3,0)*VLOOKUP('Données projet'!$B$12,Paramètres!$A$1:$I$89,5,0)</f>
        <v>233.11859999999979</v>
      </c>
      <c r="CA112" s="14">
        <f t="shared" si="93"/>
        <v>56.956466300668282</v>
      </c>
      <c r="CB112" s="22">
        <f t="shared" si="64"/>
        <v>505.21407380699685</v>
      </c>
      <c r="CC112" s="62">
        <f t="shared" si="65"/>
        <v>798.54740714033017</v>
      </c>
      <c r="CD112" s="62">
        <f ca="1">AVERAGE(OFFSET($CC$3,0,0,'Données projet'!$E$12+1,1))-AVERAGE(OFFSET($H$3,0,0,'Données projet'!$E$12+1,1))</f>
        <v>360.32217613090035</v>
      </c>
      <c r="CE112" s="62">
        <f t="shared" si="94"/>
        <v>159.6134369231965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256.15384615384613</v>
      </c>
      <c r="CR112" s="13">
        <f>VLOOKUP(A112,'Données projet'!$A$139:$I$159,9,0)</f>
        <v>5.6923076923076907</v>
      </c>
      <c r="CS112" s="13">
        <f t="array" ref="CS112">INDEX(CR:CR,MIN(IF(ISNUMBER(CR112:CR308),ROW(CR112:CR308),"")))</f>
        <v>5.6923076923076907</v>
      </c>
      <c r="CT112" s="13">
        <f>IF('Données projet'!$A$140&gt;35,CT111+CS112-DB111,IF(A112&lt;'Données projet'!$A$140,$CQ$205^A112,IF(A112='Données projet'!$A$140,'Données projet'!$B$140,CT111+CS112-DB111)))</f>
        <v>256.15384615384551</v>
      </c>
      <c r="CU112" s="18">
        <f>CT112*VLOOKUP('Données projet'!$B$13,Paramètres!$A$1:$I$89,3,0)*VLOOKUP('Données projet'!$B$13,Paramètres!$A$1:$I$89,5,0)</f>
        <v>119.8799999999997</v>
      </c>
      <c r="CV112" s="14">
        <f t="shared" si="95"/>
        <v>31.647009635236898</v>
      </c>
      <c r="CW112" s="22">
        <f t="shared" si="67"/>
        <v>263.90954178137036</v>
      </c>
      <c r="CX112" s="62">
        <f t="shared" si="68"/>
        <v>557.24287511470368</v>
      </c>
      <c r="CY112" s="62">
        <f ca="1">AVERAGE(OFFSET($CX$3,0,0,'Données projet'!$E$13+1,1))-AVERAGE(OFFSET($H$3,0,0,'Données projet'!$E$13+1,1))</f>
        <v>246.64907095367749</v>
      </c>
      <c r="CZ112" s="62">
        <f t="shared" si="96"/>
        <v>145.34368562171613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256.15384615384613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207.03241199974599</v>
      </c>
      <c r="T113" s="62">
        <f t="shared" si="88"/>
        <v>314.188568589113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2.7688254749696006</v>
      </c>
      <c r="AA113" s="23">
        <f>EXP(-LN(2)/25)*AA112+(1-EXP(-LN(2)/25))/(LN(2)/25)*Calculateur!V113*Calculateur!X113*VLOOKUP('Données projet'!$B$9,Paramètres!$A$1:$I$89,3,0)*0.475*44/12</f>
        <v>1.0609196910842837</v>
      </c>
      <c r="AB113" s="23">
        <f>EXP(-LN(2)/2)*AB112+(1-EXP(-LN(2)/2))/(LN(2)/2)*V113*Y113*VLOOKUP('Données projet'!$B$9,Paramètres!$A$1:$I$89,3,0)*0.475*44/12</f>
        <v>2.6597514960602073E-12</v>
      </c>
      <c r="AC113" s="24">
        <f t="shared" si="57"/>
        <v>3.829745166056544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245.25496369542458</v>
      </c>
      <c r="AO113" s="62">
        <f t="shared" si="90"/>
        <v>342.30266518164211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242.94871794871793</v>
      </c>
      <c r="BB113" s="13">
        <f>VLOOKUP(A113,'Données projet'!$A$87:$I$107,9,0)</f>
        <v>2.4999999999999973</v>
      </c>
      <c r="BC113" s="13">
        <f t="array" ref="BC113">INDEX(BB:BB,MIN(IF(ISNUMBER(BB113:BB309),ROW(BB113:BB309),"")))</f>
        <v>2.4999999999999973</v>
      </c>
      <c r="BD113" s="13">
        <f>IF('Données projet'!$A$88&gt;35,BD112+BC113-BL112,IF(A113&lt;'Données projet'!$A$88,$BA$205^A113,IF(A113='Données projet'!$A$88,'Données projet'!$B$88,BD112+BC113-BL112)))</f>
        <v>242.94871794871798</v>
      </c>
      <c r="BE113" s="14">
        <f>BD113*VLOOKUP('Données projet'!$B$11,Paramètres!$A$1:$I$89,3,0)*VLOOKUP('Données projet'!$B$11,Paramètres!$A$1:$I$89,5,0)</f>
        <v>253.93000000000004</v>
      </c>
      <c r="BF113" s="14">
        <f t="shared" si="91"/>
        <v>61.426725732489594</v>
      </c>
      <c r="BG113" s="22">
        <f t="shared" si="61"/>
        <v>549.24629731741936</v>
      </c>
      <c r="BH113" s="62">
        <f t="shared" si="62"/>
        <v>842.57963065075273</v>
      </c>
      <c r="BI113" s="62">
        <f ca="1">AVERAGE(OFFSET($BH$3,0,0,'Données projet'!$E$11+1,1))-AVERAGE(OFFSET($H$3,0,0,'Données projet'!$E$11+1,1))</f>
        <v>377.78532142539677</v>
      </c>
      <c r="BJ113" s="62">
        <f t="shared" si="92"/>
        <v>234.27695813539111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14.102564102564102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233</v>
      </c>
      <c r="BW113" s="13">
        <f>VLOOKUP(A113,'Données projet'!$A$113:$I$133,9,0)</f>
        <v>3.1</v>
      </c>
      <c r="BX113" s="13">
        <f t="array" ref="BX113">INDEX(BW:BW,MIN(IF(ISNUMBER(BW113:BW309),ROW(BW113:BW309),"")))</f>
        <v>3.1</v>
      </c>
      <c r="BY113" s="13">
        <f>IF('Données projet'!$A$114&gt;35,BY112+BX113-CG112,IF(A113&lt;'Données projet'!$A$114,$BV$205^A113,IF(A113='Données projet'!$A$114,'Données projet'!$B$114,BY112+BX113-CG112)))</f>
        <v>232.99999999999977</v>
      </c>
      <c r="BZ113" s="14">
        <f>BY113*VLOOKUP('Données projet'!$B$12,Paramètres!$A$1:$I$89,3,0)*VLOOKUP('Données projet'!$B$12,Paramètres!$A$1:$I$89,5,0)</f>
        <v>236.26199999999977</v>
      </c>
      <c r="CA113" s="14">
        <f t="shared" si="93"/>
        <v>57.634548288898394</v>
      </c>
      <c r="CB113" s="22">
        <f t="shared" si="64"/>
        <v>511.86982160316421</v>
      </c>
      <c r="CC113" s="62">
        <f t="shared" si="65"/>
        <v>805.20315493649753</v>
      </c>
      <c r="CD113" s="62">
        <f ca="1">AVERAGE(OFFSET($CC$3,0,0,'Données projet'!$E$12+1,1))-AVERAGE(OFFSET($H$3,0,0,'Données projet'!$E$12+1,1))</f>
        <v>360.32217613090035</v>
      </c>
      <c r="CE113" s="62">
        <f t="shared" si="94"/>
        <v>159.6134369231965</v>
      </c>
      <c r="CF113" s="16">
        <f>IF(ISNA(VLOOKUP(A113,'Données projet'!$A$113:$I$133,3,0)),0,VLOOKUP(A113,'Données projet'!$A$113:$I$133,3,0))</f>
        <v>8</v>
      </c>
      <c r="CG113" s="16">
        <f>IF(ISNA(VLOOKUP(A113,'Données projet'!$A$113:$I$133,4,0)),0,VLOOKUP(A113,'Données projet'!$A$113:$I$133,4,0))</f>
        <v>27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-6.2527760746888816E-13</v>
      </c>
      <c r="CU113" s="18">
        <f>CT113*VLOOKUP('Données projet'!$B$13,Paramètres!$A$1:$I$89,3,0)*VLOOKUP('Données projet'!$B$13,Paramètres!$A$1:$I$89,5,0)</f>
        <v>-2.9262992029543964E-13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246.64907095367749</v>
      </c>
      <c r="CZ113" s="62">
        <f t="shared" si="96"/>
        <v>145.34368562171613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207.03241199974599</v>
      </c>
      <c r="T114" s="62">
        <f t="shared" si="88"/>
        <v>314.188568589113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2.7145304962222299</v>
      </c>
      <c r="AA114" s="23">
        <f>EXP(-LN(2)/25)*AA113+(1-EXP(-LN(2)/25))/(LN(2)/25)*Calculateur!V114*Calculateur!X114*VLOOKUP('Données projet'!$B$9,Paramètres!$A$1:$I$89,3,0)*0.475*44/12</f>
        <v>1.0319087863402423</v>
      </c>
      <c r="AB114" s="23">
        <f>EXP(-LN(2)/2)*AB113+(1-EXP(-LN(2)/2))/(LN(2)/2)*V114*Y114*VLOOKUP('Données projet'!$B$9,Paramètres!$A$1:$I$89,3,0)*0.475*44/12</f>
        <v>1.8807283191352374E-12</v>
      </c>
      <c r="AC114" s="24">
        <f t="shared" si="57"/>
        <v>3.7464392825643529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245.25496369542458</v>
      </c>
      <c r="AO114" s="62">
        <f t="shared" si="90"/>
        <v>342.30266518164211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2.3076923076923093</v>
      </c>
      <c r="BD114" s="13">
        <f>IF('Données projet'!$A$88&gt;35,BD113+BC114-BL113,IF(A114&lt;'Données projet'!$A$88,$BA$205^A114,IF(A114='Données projet'!$A$88,'Données projet'!$B$88,BD113+BC114-BL113)))</f>
        <v>231.15384615384619</v>
      </c>
      <c r="BE114" s="14">
        <f>BD114*VLOOKUP('Données projet'!$B$11,Paramètres!$A$1:$I$89,3,0)*VLOOKUP('Données projet'!$B$11,Paramètres!$A$1:$I$89,5,0)</f>
        <v>241.60200000000006</v>
      </c>
      <c r="BF114" s="14">
        <f t="shared" si="91"/>
        <v>58.784075015353388</v>
      </c>
      <c r="BG114" s="22">
        <f t="shared" si="61"/>
        <v>523.17241398507394</v>
      </c>
      <c r="BH114" s="62">
        <f t="shared" si="62"/>
        <v>816.5057473184072</v>
      </c>
      <c r="BI114" s="62">
        <f ca="1">AVERAGE(OFFSET($BH$3,0,0,'Données projet'!$E$11+1,1))-AVERAGE(OFFSET($H$3,0,0,'Données projet'!$E$11+1,1))</f>
        <v>377.78532142539677</v>
      </c>
      <c r="BJ114" s="62">
        <f t="shared" si="92"/>
        <v>234.27695813539111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2.9</v>
      </c>
      <c r="BY114" s="13">
        <f>IF('Données projet'!$A$114&gt;35,BY113+BX114-CG113,IF(A114&lt;'Données projet'!$A$114,$BV$205^A114,IF(A114='Données projet'!$A$114,'Données projet'!$B$114,BY113+BX114-CG113)))</f>
        <v>208.89999999999978</v>
      </c>
      <c r="BZ114" s="14">
        <f>BY114*VLOOKUP('Données projet'!$B$12,Paramètres!$A$1:$I$89,3,0)*VLOOKUP('Données projet'!$B$12,Paramètres!$A$1:$I$89,5,0)</f>
        <v>211.82459999999978</v>
      </c>
      <c r="CA114" s="14">
        <f t="shared" si="93"/>
        <v>52.334105730309012</v>
      </c>
      <c r="CB114" s="22">
        <f t="shared" si="64"/>
        <v>460.07641248028773</v>
      </c>
      <c r="CC114" s="62">
        <f t="shared" si="65"/>
        <v>753.40974581362104</v>
      </c>
      <c r="CD114" s="62">
        <f ca="1">AVERAGE(OFFSET($CC$3,0,0,'Données projet'!$E$12+1,1))-AVERAGE(OFFSET($H$3,0,0,'Données projet'!$E$12+1,1))</f>
        <v>360.32217613090035</v>
      </c>
      <c r="CE114" s="62">
        <f t="shared" si="94"/>
        <v>159.6134369231965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-6.2527760746888816E-13</v>
      </c>
      <c r="CU114" s="18">
        <f>CT114*VLOOKUP('Données projet'!$B$13,Paramètres!$A$1:$I$89,3,0)*VLOOKUP('Données projet'!$B$13,Paramètres!$A$1:$I$89,5,0)</f>
        <v>-2.9262992029543964E-13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246.64907095367749</v>
      </c>
      <c r="CZ114" s="62">
        <f t="shared" si="96"/>
        <v>145.34368562171613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207.03241199974599</v>
      </c>
      <c r="T115" s="62">
        <f t="shared" si="88"/>
        <v>314.188568589113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2.6613002088914279</v>
      </c>
      <c r="AA115" s="23">
        <f>EXP(-LN(2)/25)*AA114+(1-EXP(-LN(2)/25))/(LN(2)/25)*Calculateur!V115*Calculateur!X115*VLOOKUP('Données projet'!$B$9,Paramètres!$A$1:$I$89,3,0)*0.475*44/12</f>
        <v>1.0036911863120437</v>
      </c>
      <c r="AB115" s="23">
        <f>EXP(-LN(2)/2)*AB114+(1-EXP(-LN(2)/2))/(LN(2)/2)*V115*Y115*VLOOKUP('Données projet'!$B$9,Paramètres!$A$1:$I$89,3,0)*0.475*44/12</f>
        <v>1.3298757480301037E-12</v>
      </c>
      <c r="AC115" s="24">
        <f t="shared" si="57"/>
        <v>3.6649913952048014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245.25496369542458</v>
      </c>
      <c r="AO115" s="62">
        <f t="shared" si="90"/>
        <v>342.30266518164211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2.3076923076923093</v>
      </c>
      <c r="BD115" s="13">
        <f>IF('Données projet'!$A$88&gt;35,BD114+BC115-BL114,IF(A115&lt;'Données projet'!$A$88,$BA$205^A115,IF(A115='Données projet'!$A$88,'Données projet'!$B$88,BD114+BC115-BL114)))</f>
        <v>233.46153846153851</v>
      </c>
      <c r="BE115" s="14">
        <f>BD115*VLOOKUP('Données projet'!$B$11,Paramètres!$A$1:$I$89,3,0)*VLOOKUP('Données projet'!$B$11,Paramètres!$A$1:$I$89,5,0)</f>
        <v>244.01400000000007</v>
      </c>
      <c r="BF115" s="14">
        <f t="shared" si="91"/>
        <v>59.302326667601335</v>
      </c>
      <c r="BG115" s="22">
        <f t="shared" si="61"/>
        <v>528.27593561273909</v>
      </c>
      <c r="BH115" s="62">
        <f t="shared" si="62"/>
        <v>821.60926894607246</v>
      </c>
      <c r="BI115" s="62">
        <f ca="1">AVERAGE(OFFSET($BH$3,0,0,'Données projet'!$E$11+1,1))-AVERAGE(OFFSET($H$3,0,0,'Données projet'!$E$11+1,1))</f>
        <v>377.78532142539677</v>
      </c>
      <c r="BJ115" s="62">
        <f t="shared" si="92"/>
        <v>234.27695813539111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2.9</v>
      </c>
      <c r="BY115" s="13">
        <f>IF('Données projet'!$A$114&gt;35,BY114+BX115-CG114,IF(A115&lt;'Données projet'!$A$114,$BV$205^A115,IF(A115='Données projet'!$A$114,'Données projet'!$B$114,BY114+BX115-CG114)))</f>
        <v>211.79999999999978</v>
      </c>
      <c r="BZ115" s="14">
        <f>BY115*VLOOKUP('Données projet'!$B$12,Paramètres!$A$1:$I$89,3,0)*VLOOKUP('Données projet'!$B$12,Paramètres!$A$1:$I$89,5,0)</f>
        <v>214.76519999999982</v>
      </c>
      <c r="CA115" s="14">
        <f t="shared" si="93"/>
        <v>52.975538059190704</v>
      </c>
      <c r="CB115" s="22">
        <f t="shared" si="64"/>
        <v>466.3151187864234</v>
      </c>
      <c r="CC115" s="62">
        <f t="shared" si="65"/>
        <v>759.64845211975671</v>
      </c>
      <c r="CD115" s="62">
        <f ca="1">AVERAGE(OFFSET($CC$3,0,0,'Données projet'!$E$12+1,1))-AVERAGE(OFFSET($H$3,0,0,'Données projet'!$E$12+1,1))</f>
        <v>360.32217613090035</v>
      </c>
      <c r="CE115" s="62">
        <f t="shared" si="94"/>
        <v>159.6134369231965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-6.2527760746888816E-13</v>
      </c>
      <c r="CU115" s="18">
        <f>CT115*VLOOKUP('Données projet'!$B$13,Paramètres!$A$1:$I$89,3,0)*VLOOKUP('Données projet'!$B$13,Paramètres!$A$1:$I$89,5,0)</f>
        <v>-2.9262992029543964E-13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246.64907095367749</v>
      </c>
      <c r="CZ115" s="62">
        <f t="shared" si="96"/>
        <v>145.34368562171613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207.03241199974599</v>
      </c>
      <c r="T116" s="62">
        <f t="shared" si="88"/>
        <v>314.188568589113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2.6091137350279134</v>
      </c>
      <c r="AA116" s="23">
        <f>EXP(-LN(2)/25)*AA115+(1-EXP(-LN(2)/25))/(LN(2)/25)*Calculateur!V116*Calculateur!X116*VLOOKUP('Données projet'!$B$9,Paramètres!$A$1:$I$89,3,0)*0.475*44/12</f>
        <v>0.97624519804051535</v>
      </c>
      <c r="AB116" s="23">
        <f>EXP(-LN(2)/2)*AB115+(1-EXP(-LN(2)/2))/(LN(2)/2)*V116*Y116*VLOOKUP('Données projet'!$B$9,Paramètres!$A$1:$I$89,3,0)*0.475*44/12</f>
        <v>9.403641595676187E-13</v>
      </c>
      <c r="AC116" s="24">
        <f t="shared" si="57"/>
        <v>3.5853589330693696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245.25496369542458</v>
      </c>
      <c r="AO116" s="62">
        <f t="shared" si="90"/>
        <v>342.30266518164211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2.3076923076923093</v>
      </c>
      <c r="BD116" s="13">
        <f>IF('Données projet'!$A$88&gt;35,BD115+BC116-BL115,IF(A116&lt;'Données projet'!$A$88,$BA$205^A116,IF(A116='Données projet'!$A$88,'Données projet'!$B$88,BD115+BC116-BL115)))</f>
        <v>235.76923076923083</v>
      </c>
      <c r="BE116" s="14">
        <f>BD116*VLOOKUP('Données projet'!$B$11,Paramètres!$A$1:$I$89,3,0)*VLOOKUP('Données projet'!$B$11,Paramètres!$A$1:$I$89,5,0)</f>
        <v>246.42600000000007</v>
      </c>
      <c r="BF116" s="14">
        <f t="shared" si="91"/>
        <v>59.819982364264135</v>
      </c>
      <c r="BG116" s="22">
        <f t="shared" si="61"/>
        <v>533.37841928442674</v>
      </c>
      <c r="BH116" s="62">
        <f t="shared" si="62"/>
        <v>826.71175261776011</v>
      </c>
      <c r="BI116" s="62">
        <f ca="1">AVERAGE(OFFSET($BH$3,0,0,'Données projet'!$E$11+1,1))-AVERAGE(OFFSET($H$3,0,0,'Données projet'!$E$11+1,1))</f>
        <v>377.78532142539677</v>
      </c>
      <c r="BJ116" s="62">
        <f t="shared" si="92"/>
        <v>234.27695813539111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2.9</v>
      </c>
      <c r="BY116" s="13">
        <f>IF('Données projet'!$A$114&gt;35,BY115+BX116-CG115,IF(A116&lt;'Données projet'!$A$114,$BV$205^A116,IF(A116='Données projet'!$A$114,'Données projet'!$B$114,BY115+BX116-CG115)))</f>
        <v>214.69999999999979</v>
      </c>
      <c r="BZ116" s="14">
        <f>BY116*VLOOKUP('Données projet'!$B$12,Paramètres!$A$1:$I$89,3,0)*VLOOKUP('Données projet'!$B$12,Paramètres!$A$1:$I$89,5,0)</f>
        <v>217.70579999999978</v>
      </c>
      <c r="CA116" s="14">
        <f t="shared" si="93"/>
        <v>53.615948874408069</v>
      </c>
      <c r="CB116" s="22">
        <f t="shared" si="64"/>
        <v>472.55204595626032</v>
      </c>
      <c r="CC116" s="62">
        <f t="shared" si="65"/>
        <v>765.88537928959363</v>
      </c>
      <c r="CD116" s="62">
        <f ca="1">AVERAGE(OFFSET($CC$3,0,0,'Données projet'!$E$12+1,1))-AVERAGE(OFFSET($H$3,0,0,'Données projet'!$E$12+1,1))</f>
        <v>360.32217613090035</v>
      </c>
      <c r="CE116" s="62">
        <f t="shared" si="94"/>
        <v>159.6134369231965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-6.2527760746888816E-13</v>
      </c>
      <c r="CU116" s="18">
        <f>CT116*VLOOKUP('Données projet'!$B$13,Paramètres!$A$1:$I$89,3,0)*VLOOKUP('Données projet'!$B$13,Paramètres!$A$1:$I$89,5,0)</f>
        <v>-2.9262992029543964E-13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246.64907095367749</v>
      </c>
      <c r="CZ116" s="62">
        <f t="shared" si="96"/>
        <v>145.34368562171613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207.03241199974599</v>
      </c>
      <c r="T117" s="62">
        <f t="shared" si="88"/>
        <v>314.188568589113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2.5579506060862567</v>
      </c>
      <c r="AA117" s="23">
        <f>EXP(-LN(2)/25)*AA116+(1-EXP(-LN(2)/25))/(LN(2)/25)*Calculateur!V117*Calculateur!X117*VLOOKUP('Données projet'!$B$9,Paramètres!$A$1:$I$89,3,0)*0.475*44/12</f>
        <v>0.94954972176159369</v>
      </c>
      <c r="AB117" s="23">
        <f>EXP(-LN(2)/2)*AB116+(1-EXP(-LN(2)/2))/(LN(2)/2)*V117*Y117*VLOOKUP('Données projet'!$B$9,Paramètres!$A$1:$I$89,3,0)*0.475*44/12</f>
        <v>6.6493787401505183E-13</v>
      </c>
      <c r="AC117" s="24">
        <f t="shared" si="57"/>
        <v>3.5075003278485153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245.25496369542458</v>
      </c>
      <c r="AO117" s="62">
        <f t="shared" si="90"/>
        <v>342.30266518164211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2.3076923076923093</v>
      </c>
      <c r="BD117" s="13">
        <f>IF('Données projet'!$A$88&gt;35,BD116+BC117-BL116,IF(A117&lt;'Données projet'!$A$88,$BA$205^A117,IF(A117='Données projet'!$A$88,'Données projet'!$B$88,BD116+BC117-BL116)))</f>
        <v>238.07692307692315</v>
      </c>
      <c r="BE117" s="14">
        <f>BD117*VLOOKUP('Données projet'!$B$11,Paramètres!$A$1:$I$89,3,0)*VLOOKUP('Données projet'!$B$11,Paramètres!$A$1:$I$89,5,0)</f>
        <v>248.83800000000011</v>
      </c>
      <c r="BF117" s="14">
        <f t="shared" si="91"/>
        <v>60.337048613993865</v>
      </c>
      <c r="BG117" s="22">
        <f t="shared" si="61"/>
        <v>538.47987633603952</v>
      </c>
      <c r="BH117" s="62">
        <f t="shared" si="62"/>
        <v>831.81320966937278</v>
      </c>
      <c r="BI117" s="62">
        <f ca="1">AVERAGE(OFFSET($BH$3,0,0,'Données projet'!$E$11+1,1))-AVERAGE(OFFSET($H$3,0,0,'Données projet'!$E$11+1,1))</f>
        <v>377.78532142539677</v>
      </c>
      <c r="BJ117" s="62">
        <f t="shared" si="92"/>
        <v>234.27695813539111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2.9</v>
      </c>
      <c r="BY117" s="13">
        <f>IF('Données projet'!$A$114&gt;35,BY116+BX117-CG116,IF(A117&lt;'Données projet'!$A$114,$BV$205^A117,IF(A117='Données projet'!$A$114,'Données projet'!$B$114,BY116+BX117-CG116)))</f>
        <v>217.5999999999998</v>
      </c>
      <c r="BZ117" s="14">
        <f>BY117*VLOOKUP('Données projet'!$B$12,Paramètres!$A$1:$I$89,3,0)*VLOOKUP('Données projet'!$B$12,Paramètres!$A$1:$I$89,5,0)</f>
        <v>220.64639999999983</v>
      </c>
      <c r="CA117" s="14">
        <f t="shared" si="93"/>
        <v>54.255353568674273</v>
      </c>
      <c r="CB117" s="22">
        <f t="shared" si="64"/>
        <v>478.78722079877406</v>
      </c>
      <c r="CC117" s="62">
        <f t="shared" si="65"/>
        <v>772.12055413210737</v>
      </c>
      <c r="CD117" s="62">
        <f ca="1">AVERAGE(OFFSET($CC$3,0,0,'Données projet'!$E$12+1,1))-AVERAGE(OFFSET($H$3,0,0,'Données projet'!$E$12+1,1))</f>
        <v>360.32217613090035</v>
      </c>
      <c r="CE117" s="62">
        <f t="shared" si="94"/>
        <v>159.6134369231965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-6.2527760746888816E-13</v>
      </c>
      <c r="CU117" s="18">
        <f>CT117*VLOOKUP('Données projet'!$B$13,Paramètres!$A$1:$I$89,3,0)*VLOOKUP('Données projet'!$B$13,Paramètres!$A$1:$I$89,5,0)</f>
        <v>-2.9262992029543964E-13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246.64907095367749</v>
      </c>
      <c r="CZ117" s="62">
        <f t="shared" si="96"/>
        <v>145.34368562171613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207.03241199974599</v>
      </c>
      <c r="T118" s="62">
        <f t="shared" si="88"/>
        <v>314.188568589113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2.5077907548967184</v>
      </c>
      <c r="AA118" s="23">
        <f>EXP(-LN(2)/25)*AA117+(1-EXP(-LN(2)/25))/(LN(2)/25)*Calculateur!V118*Calculateur!X118*VLOOKUP('Données projet'!$B$9,Paramètres!$A$1:$I$89,3,0)*0.475*44/12</f>
        <v>0.92358423468537332</v>
      </c>
      <c r="AB118" s="23">
        <f>EXP(-LN(2)/2)*AB117+(1-EXP(-LN(2)/2))/(LN(2)/2)*V118*Y118*VLOOKUP('Données projet'!$B$9,Paramètres!$A$1:$I$89,3,0)*0.475*44/12</f>
        <v>4.7018207978380935E-13</v>
      </c>
      <c r="AC118" s="24">
        <f t="shared" si="57"/>
        <v>3.431374989582562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245.25496369542458</v>
      </c>
      <c r="AO118" s="62">
        <f t="shared" si="90"/>
        <v>342.30266518164211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2.3076923076923093</v>
      </c>
      <c r="BD118" s="13">
        <f>IF('Données projet'!$A$88&gt;35,BD117+BC118-BL117,IF(A118&lt;'Données projet'!$A$88,$BA$205^A118,IF(A118='Données projet'!$A$88,'Données projet'!$B$88,BD117+BC118-BL117)))</f>
        <v>240.38461538461547</v>
      </c>
      <c r="BE118" s="14">
        <f>BD118*VLOOKUP('Données projet'!$B$11,Paramètres!$A$1:$I$89,3,0)*VLOOKUP('Données projet'!$B$11,Paramètres!$A$1:$I$89,5,0)</f>
        <v>251.25000000000011</v>
      </c>
      <c r="BF118" s="14">
        <f t="shared" si="91"/>
        <v>60.853531791990697</v>
      </c>
      <c r="BG118" s="22">
        <f t="shared" si="61"/>
        <v>543.58031787105062</v>
      </c>
      <c r="BH118" s="62">
        <f t="shared" si="62"/>
        <v>836.913651204384</v>
      </c>
      <c r="BI118" s="62">
        <f ca="1">AVERAGE(OFFSET($BH$3,0,0,'Données projet'!$E$11+1,1))-AVERAGE(OFFSET($H$3,0,0,'Données projet'!$E$11+1,1))</f>
        <v>377.78532142539677</v>
      </c>
      <c r="BJ118" s="62">
        <f t="shared" si="92"/>
        <v>234.27695813539111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2.9</v>
      </c>
      <c r="BY118" s="13">
        <f>IF('Données projet'!$A$114&gt;35,BY117+BX118-CG117,IF(A118&lt;'Données projet'!$A$114,$BV$205^A118,IF(A118='Données projet'!$A$114,'Données projet'!$B$114,BY117+BX118-CG117)))</f>
        <v>220.4999999999998</v>
      </c>
      <c r="BZ118" s="14">
        <f>BY118*VLOOKUP('Données projet'!$B$12,Paramètres!$A$1:$I$89,3,0)*VLOOKUP('Données projet'!$B$12,Paramètres!$A$1:$I$89,5,0)</f>
        <v>223.58699999999982</v>
      </c>
      <c r="CA118" s="14">
        <f t="shared" si="93"/>
        <v>54.893767100838247</v>
      </c>
      <c r="CB118" s="22">
        <f t="shared" si="64"/>
        <v>485.0206693672929</v>
      </c>
      <c r="CC118" s="62">
        <f t="shared" si="65"/>
        <v>778.35400270062621</v>
      </c>
      <c r="CD118" s="62">
        <f ca="1">AVERAGE(OFFSET($CC$3,0,0,'Données projet'!$E$12+1,1))-AVERAGE(OFFSET($H$3,0,0,'Données projet'!$E$12+1,1))</f>
        <v>360.32217613090035</v>
      </c>
      <c r="CE118" s="62">
        <f t="shared" si="94"/>
        <v>159.6134369231965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-6.2527760746888816E-13</v>
      </c>
      <c r="CU118" s="18">
        <f>CT118*VLOOKUP('Données projet'!$B$13,Paramètres!$A$1:$I$89,3,0)*VLOOKUP('Données projet'!$B$13,Paramètres!$A$1:$I$89,5,0)</f>
        <v>-2.9262992029543964E-13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246.64907095367749</v>
      </c>
      <c r="CZ118" s="62">
        <f t="shared" si="96"/>
        <v>145.34368562171613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207.03241199974599</v>
      </c>
      <c r="T119" s="62">
        <f t="shared" si="88"/>
        <v>314.188568589113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2.4586145077945187</v>
      </c>
      <c r="AA119" s="23">
        <f>EXP(-LN(2)/25)*AA118+(1-EXP(-LN(2)/25))/(LN(2)/25)*Calculateur!V119*Calculateur!X119*VLOOKUP('Données projet'!$B$9,Paramètres!$A$1:$I$89,3,0)*0.475*44/12</f>
        <v>0.89832877521871779</v>
      </c>
      <c r="AB119" s="23">
        <f>EXP(-LN(2)/2)*AB118+(1-EXP(-LN(2)/2))/(LN(2)/2)*V119*Y119*VLOOKUP('Données projet'!$B$9,Paramètres!$A$1:$I$89,3,0)*0.475*44/12</f>
        <v>3.3246893700752591E-13</v>
      </c>
      <c r="AC119" s="24">
        <f t="shared" si="57"/>
        <v>3.3569432830135693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245.25496369542458</v>
      </c>
      <c r="AO119" s="62">
        <f t="shared" si="90"/>
        <v>342.30266518164211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2.3076923076923093</v>
      </c>
      <c r="BD119" s="13">
        <f>IF('Données projet'!$A$88&gt;35,BD118+BC119-BL118,IF(A119&lt;'Données projet'!$A$88,$BA$205^A119,IF(A119='Données projet'!$A$88,'Données projet'!$B$88,BD118+BC119-BL118)))</f>
        <v>242.69230769230779</v>
      </c>
      <c r="BE119" s="14">
        <f>BD119*VLOOKUP('Données projet'!$B$11,Paramètres!$A$1:$I$89,3,0)*VLOOKUP('Données projet'!$B$11,Paramètres!$A$1:$I$89,5,0)</f>
        <v>253.66200000000015</v>
      </c>
      <c r="BF119" s="14">
        <f t="shared" si="91"/>
        <v>61.369438143993413</v>
      </c>
      <c r="BG119" s="22">
        <f t="shared" si="61"/>
        <v>548.67975476745539</v>
      </c>
      <c r="BH119" s="62">
        <f t="shared" si="62"/>
        <v>842.01308810078876</v>
      </c>
      <c r="BI119" s="62">
        <f ca="1">AVERAGE(OFFSET($BH$3,0,0,'Données projet'!$E$11+1,1))-AVERAGE(OFFSET($H$3,0,0,'Données projet'!$E$11+1,1))</f>
        <v>377.78532142539677</v>
      </c>
      <c r="BJ119" s="62">
        <f t="shared" si="92"/>
        <v>234.27695813539111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2.9</v>
      </c>
      <c r="BY119" s="13">
        <f>IF('Données projet'!$A$114&gt;35,BY118+BX119-CG118,IF(A119&lt;'Données projet'!$A$114,$BV$205^A119,IF(A119='Données projet'!$A$114,'Données projet'!$B$114,BY118+BX119-CG118)))</f>
        <v>223.39999999999981</v>
      </c>
      <c r="BZ119" s="14">
        <f>BY119*VLOOKUP('Données projet'!$B$12,Paramètres!$A$1:$I$89,3,0)*VLOOKUP('Données projet'!$B$12,Paramètres!$A$1:$I$89,5,0)</f>
        <v>226.52759999999981</v>
      </c>
      <c r="CA119" s="14">
        <f t="shared" si="93"/>
        <v>55.531204013656321</v>
      </c>
      <c r="CB119" s="22">
        <f t="shared" si="64"/>
        <v>491.25241699045108</v>
      </c>
      <c r="CC119" s="62">
        <f t="shared" si="65"/>
        <v>784.5857503237844</v>
      </c>
      <c r="CD119" s="62">
        <f ca="1">AVERAGE(OFFSET($CC$3,0,0,'Données projet'!$E$12+1,1))-AVERAGE(OFFSET($H$3,0,0,'Données projet'!$E$12+1,1))</f>
        <v>360.32217613090035</v>
      </c>
      <c r="CE119" s="62">
        <f t="shared" si="94"/>
        <v>159.6134369231965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-6.2527760746888816E-13</v>
      </c>
      <c r="CU119" s="18">
        <f>CT119*VLOOKUP('Données projet'!$B$13,Paramètres!$A$1:$I$89,3,0)*VLOOKUP('Données projet'!$B$13,Paramètres!$A$1:$I$89,5,0)</f>
        <v>-2.9262992029543964E-13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246.64907095367749</v>
      </c>
      <c r="CZ119" s="62">
        <f t="shared" si="96"/>
        <v>145.34368562171613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207.03241199974599</v>
      </c>
      <c r="T120" s="62">
        <f t="shared" si="88"/>
        <v>314.188568589113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2.4104025769034441</v>
      </c>
      <c r="AA120" s="23">
        <f>EXP(-LN(2)/25)*AA119+(1-EXP(-LN(2)/25))/(LN(2)/25)*Calculateur!V120*Calculateur!X120*VLOOKUP('Données projet'!$B$9,Paramètres!$A$1:$I$89,3,0)*0.475*44/12</f>
        <v>0.87376392761930477</v>
      </c>
      <c r="AB120" s="23">
        <f>EXP(-LN(2)/2)*AB119+(1-EXP(-LN(2)/2))/(LN(2)/2)*V120*Y120*VLOOKUP('Données projet'!$B$9,Paramètres!$A$1:$I$89,3,0)*0.475*44/12</f>
        <v>2.3509103989190468E-13</v>
      </c>
      <c r="AC120" s="24">
        <f t="shared" si="57"/>
        <v>3.2841665045229838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245.25496369542458</v>
      </c>
      <c r="AO120" s="62">
        <f t="shared" si="90"/>
        <v>342.30266518164211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2.3076923076923093</v>
      </c>
      <c r="BD120" s="13">
        <f>IF('Données projet'!$A$88&gt;35,BD119+BC120-BL119,IF(A120&lt;'Données projet'!$A$88,$BA$205^A120,IF(A120='Données projet'!$A$88,'Données projet'!$B$88,BD119+BC120-BL119)))</f>
        <v>245.00000000000011</v>
      </c>
      <c r="BE120" s="14">
        <f>BD120*VLOOKUP('Données projet'!$B$11,Paramètres!$A$1:$I$89,3,0)*VLOOKUP('Données projet'!$B$11,Paramètres!$A$1:$I$89,5,0)</f>
        <v>256.07400000000013</v>
      </c>
      <c r="BF120" s="14">
        <f t="shared" si="91"/>
        <v>61.884773790113961</v>
      </c>
      <c r="BG120" s="22">
        <f t="shared" si="61"/>
        <v>553.77819768444863</v>
      </c>
      <c r="BH120" s="62">
        <f t="shared" si="62"/>
        <v>847.111531017782</v>
      </c>
      <c r="BI120" s="62">
        <f ca="1">AVERAGE(OFFSET($BH$3,0,0,'Données projet'!$E$11+1,1))-AVERAGE(OFFSET($H$3,0,0,'Données projet'!$E$11+1,1))</f>
        <v>377.78532142539677</v>
      </c>
      <c r="BJ120" s="62">
        <f t="shared" si="92"/>
        <v>234.27695813539111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2.9</v>
      </c>
      <c r="BY120" s="13">
        <f>IF('Données projet'!$A$114&gt;35,BY119+BX120-CG119,IF(A120&lt;'Données projet'!$A$114,$BV$205^A120,IF(A120='Données projet'!$A$114,'Données projet'!$B$114,BY119+BX120-CG119)))</f>
        <v>226.29999999999981</v>
      </c>
      <c r="BZ120" s="14">
        <f>BY120*VLOOKUP('Données projet'!$B$12,Paramètres!$A$1:$I$89,3,0)*VLOOKUP('Données projet'!$B$12,Paramètres!$A$1:$I$89,5,0)</f>
        <v>229.46819999999983</v>
      </c>
      <c r="CA120" s="14">
        <f t="shared" si="93"/>
        <v>56.167678450613906</v>
      </c>
      <c r="CB120" s="22">
        <f t="shared" si="64"/>
        <v>497.48248830148555</v>
      </c>
      <c r="CC120" s="62">
        <f t="shared" si="65"/>
        <v>790.8158216348188</v>
      </c>
      <c r="CD120" s="62">
        <f ca="1">AVERAGE(OFFSET($CC$3,0,0,'Données projet'!$E$12+1,1))-AVERAGE(OFFSET($H$3,0,0,'Données projet'!$E$12+1,1))</f>
        <v>360.32217613090035</v>
      </c>
      <c r="CE120" s="62">
        <f t="shared" si="94"/>
        <v>159.6134369231965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-6.2527760746888816E-13</v>
      </c>
      <c r="CU120" s="18">
        <f>CT120*VLOOKUP('Données projet'!$B$13,Paramètres!$A$1:$I$89,3,0)*VLOOKUP('Données projet'!$B$13,Paramètres!$A$1:$I$89,5,0)</f>
        <v>-2.9262992029543964E-13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246.64907095367749</v>
      </c>
      <c r="CZ120" s="62">
        <f t="shared" si="96"/>
        <v>145.34368562171613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207.03241199974599</v>
      </c>
      <c r="T121" s="62">
        <f t="shared" si="88"/>
        <v>314.188568589113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2.3631360525707694</v>
      </c>
      <c r="AA121" s="23">
        <f>EXP(-LN(2)/25)*AA120+(1-EXP(-LN(2)/25))/(LN(2)/25)*Calculateur!V121*Calculateur!X121*VLOOKUP('Données projet'!$B$9,Paramètres!$A$1:$I$89,3,0)*0.475*44/12</f>
        <v>0.84987080706930695</v>
      </c>
      <c r="AB121" s="23">
        <f>EXP(-LN(2)/2)*AB120+(1-EXP(-LN(2)/2))/(LN(2)/2)*V121*Y121*VLOOKUP('Données projet'!$B$9,Paramètres!$A$1:$I$89,3,0)*0.475*44/12</f>
        <v>1.6623446850376296E-13</v>
      </c>
      <c r="AC121" s="24">
        <f t="shared" si="57"/>
        <v>3.2130068596402426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245.25496369542458</v>
      </c>
      <c r="AO121" s="62">
        <f t="shared" si="90"/>
        <v>342.30266518164211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2.3076923076923093</v>
      </c>
      <c r="BD121" s="13">
        <f>IF('Données projet'!$A$88&gt;35,BD120+BC121-BL120,IF(A121&lt;'Données projet'!$A$88,$BA$205^A121,IF(A121='Données projet'!$A$88,'Données projet'!$B$88,BD120+BC121-BL120)))</f>
        <v>247.30769230769243</v>
      </c>
      <c r="BE121" s="14">
        <f>BD121*VLOOKUP('Données projet'!$B$11,Paramètres!$A$1:$I$89,3,0)*VLOOKUP('Données projet'!$B$11,Paramètres!$A$1:$I$89,5,0)</f>
        <v>258.48600000000016</v>
      </c>
      <c r="BF121" s="14">
        <f t="shared" si="91"/>
        <v>62.399544728523388</v>
      </c>
      <c r="BG121" s="22">
        <f t="shared" si="61"/>
        <v>558.87565706884516</v>
      </c>
      <c r="BH121" s="62">
        <f t="shared" si="62"/>
        <v>852.20899040217842</v>
      </c>
      <c r="BI121" s="62">
        <f ca="1">AVERAGE(OFFSET($BH$3,0,0,'Données projet'!$E$11+1,1))-AVERAGE(OFFSET($H$3,0,0,'Données projet'!$E$11+1,1))</f>
        <v>377.78532142539677</v>
      </c>
      <c r="BJ121" s="62">
        <f t="shared" si="92"/>
        <v>234.27695813539111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2.9</v>
      </c>
      <c r="BY121" s="13">
        <f>IF('Données projet'!$A$114&gt;35,BY120+BX121-CG120,IF(A121&lt;'Données projet'!$A$114,$BV$205^A121,IF(A121='Données projet'!$A$114,'Données projet'!$B$114,BY120+BX121-CG120)))</f>
        <v>229.19999999999982</v>
      </c>
      <c r="BZ121" s="14">
        <f>BY121*VLOOKUP('Données projet'!$B$12,Paramètres!$A$1:$I$89,3,0)*VLOOKUP('Données projet'!$B$12,Paramètres!$A$1:$I$89,5,0)</f>
        <v>232.40879999999981</v>
      </c>
      <c r="CA121" s="14">
        <f t="shared" si="93"/>
        <v>56.803204171860791</v>
      </c>
      <c r="CB121" s="22">
        <f t="shared" si="64"/>
        <v>503.7109072659905</v>
      </c>
      <c r="CC121" s="62">
        <f t="shared" si="65"/>
        <v>797.04424059932376</v>
      </c>
      <c r="CD121" s="62">
        <f ca="1">AVERAGE(OFFSET($CC$3,0,0,'Données projet'!$E$12+1,1))-AVERAGE(OFFSET($H$3,0,0,'Données projet'!$E$12+1,1))</f>
        <v>360.32217613090035</v>
      </c>
      <c r="CE121" s="62">
        <f t="shared" si="94"/>
        <v>159.6134369231965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-6.2527760746888816E-13</v>
      </c>
      <c r="CU121" s="18">
        <f>CT121*VLOOKUP('Données projet'!$B$13,Paramètres!$A$1:$I$89,3,0)*VLOOKUP('Données projet'!$B$13,Paramètres!$A$1:$I$89,5,0)</f>
        <v>-2.9262992029543964E-13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246.64907095367749</v>
      </c>
      <c r="CZ121" s="62">
        <f t="shared" si="96"/>
        <v>145.34368562171613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207.03241199974599</v>
      </c>
      <c r="T122" s="62">
        <f t="shared" si="88"/>
        <v>314.188568589113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2.3167963959505253</v>
      </c>
      <c r="AA122" s="23">
        <f>EXP(-LN(2)/25)*AA121+(1-EXP(-LN(2)/25))/(LN(2)/25)*Calculateur!V122*Calculateur!X122*VLOOKUP('Données projet'!$B$9,Paramètres!$A$1:$I$89,3,0)*0.475*44/12</f>
        <v>0.8266310451572334</v>
      </c>
      <c r="AB122" s="23">
        <f>EXP(-LN(2)/2)*AB121+(1-EXP(-LN(2)/2))/(LN(2)/2)*V122*Y122*VLOOKUP('Données projet'!$B$9,Paramètres!$A$1:$I$89,3,0)*0.475*44/12</f>
        <v>1.1754551994595234E-13</v>
      </c>
      <c r="AC122" s="24">
        <f t="shared" si="57"/>
        <v>3.1434274411078764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245.25496369542458</v>
      </c>
      <c r="AO122" s="62">
        <f t="shared" si="90"/>
        <v>342.30266518164211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2.3076923076923093</v>
      </c>
      <c r="BD122" s="13">
        <f>IF('Données projet'!$A$88&gt;35,BD121+BC122-BL121,IF(A122&lt;'Données projet'!$A$88,$BA$205^A122,IF(A122='Données projet'!$A$88,'Données projet'!$B$88,BD121+BC122-BL121)))</f>
        <v>249.61538461538476</v>
      </c>
      <c r="BE122" s="14">
        <f>BD122*VLOOKUP('Données projet'!$B$11,Paramètres!$A$1:$I$89,3,0)*VLOOKUP('Données projet'!$B$11,Paramètres!$A$1:$I$89,5,0)</f>
        <v>260.8980000000002</v>
      </c>
      <c r="BF122" s="14">
        <f t="shared" si="91"/>
        <v>62.913756838995681</v>
      </c>
      <c r="BG122" s="22">
        <f t="shared" si="61"/>
        <v>563.97214316125098</v>
      </c>
      <c r="BH122" s="62">
        <f t="shared" si="62"/>
        <v>857.30547649458435</v>
      </c>
      <c r="BI122" s="62">
        <f ca="1">AVERAGE(OFFSET($BH$3,0,0,'Données projet'!$E$11+1,1))-AVERAGE(OFFSET($H$3,0,0,'Données projet'!$E$11+1,1))</f>
        <v>377.78532142539677</v>
      </c>
      <c r="BJ122" s="62">
        <f t="shared" si="92"/>
        <v>234.27695813539111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2.9</v>
      </c>
      <c r="BY122" s="13">
        <f>IF('Données projet'!$A$114&gt;35,BY121+BX122-CG121,IF(A122&lt;'Données projet'!$A$114,$BV$205^A122,IF(A122='Données projet'!$A$114,'Données projet'!$B$114,BY121+BX122-CG121)))</f>
        <v>232.09999999999982</v>
      </c>
      <c r="BZ122" s="14">
        <f>BY122*VLOOKUP('Données projet'!$B$12,Paramètres!$A$1:$I$89,3,0)*VLOOKUP('Données projet'!$B$12,Paramètres!$A$1:$I$89,5,0)</f>
        <v>235.34939999999983</v>
      </c>
      <c r="CA122" s="14">
        <f t="shared" si="93"/>
        <v>57.437794569316878</v>
      </c>
      <c r="CB122" s="22">
        <f t="shared" si="64"/>
        <v>509.93769720822661</v>
      </c>
      <c r="CC122" s="62">
        <f t="shared" si="65"/>
        <v>803.27103054155987</v>
      </c>
      <c r="CD122" s="62">
        <f ca="1">AVERAGE(OFFSET($CC$3,0,0,'Données projet'!$E$12+1,1))-AVERAGE(OFFSET($H$3,0,0,'Données projet'!$E$12+1,1))</f>
        <v>360.32217613090035</v>
      </c>
      <c r="CE122" s="62">
        <f t="shared" si="94"/>
        <v>159.6134369231965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-6.2527760746888816E-13</v>
      </c>
      <c r="CU122" s="18">
        <f>CT122*VLOOKUP('Données projet'!$B$13,Paramètres!$A$1:$I$89,3,0)*VLOOKUP('Données projet'!$B$13,Paramètres!$A$1:$I$89,5,0)</f>
        <v>-2.9262992029543964E-13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246.64907095367749</v>
      </c>
      <c r="CZ122" s="62">
        <f t="shared" si="96"/>
        <v>145.34368562171613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207.03241199974599</v>
      </c>
      <c r="T123" s="62">
        <f t="shared" si="88"/>
        <v>314.188568589113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2.2713654317322045</v>
      </c>
      <c r="AA123" s="23">
        <f>EXP(-LN(2)/25)*AA122+(1-EXP(-LN(2)/25))/(LN(2)/25)*Calculateur!V123*Calculateur!X123*VLOOKUP('Données projet'!$B$9,Paramètres!$A$1:$I$89,3,0)*0.475*44/12</f>
        <v>0.80402677575677151</v>
      </c>
      <c r="AB123" s="23">
        <f>EXP(-LN(2)/2)*AB122+(1-EXP(-LN(2)/2))/(LN(2)/2)*V123*Y123*VLOOKUP('Données projet'!$B$9,Paramètres!$A$1:$I$89,3,0)*0.475*44/12</f>
        <v>8.3117234251881479E-14</v>
      </c>
      <c r="AC123" s="24">
        <f t="shared" si="57"/>
        <v>3.0753922074890592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245.25496369542458</v>
      </c>
      <c r="AO123" s="62">
        <f t="shared" si="90"/>
        <v>342.30266518164211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251.92307692307691</v>
      </c>
      <c r="BB123" s="13">
        <f>VLOOKUP(A123,'Données projet'!$A$87:$I$107,9,0)</f>
        <v>2.3076923076923093</v>
      </c>
      <c r="BC123" s="13">
        <f t="array" ref="BC123">INDEX(BB:BB,MIN(IF(ISNUMBER(BB123:BB319),ROW(BB123:BB319),"")))</f>
        <v>2.3076923076923093</v>
      </c>
      <c r="BD123" s="13">
        <f>IF('Données projet'!$A$88&gt;35,BD122+BC123-BL122,IF(A123&lt;'Données projet'!$A$88,$BA$205^A123,IF(A123='Données projet'!$A$88,'Données projet'!$B$88,BD122+BC123-BL122)))</f>
        <v>251.92307692307708</v>
      </c>
      <c r="BE123" s="14">
        <f>BD123*VLOOKUP('Données projet'!$B$11,Paramètres!$A$1:$I$89,3,0)*VLOOKUP('Données projet'!$B$11,Paramètres!$A$1:$I$89,5,0)</f>
        <v>263.31000000000017</v>
      </c>
      <c r="BF123" s="14">
        <f t="shared" si="91"/>
        <v>63.427415886317931</v>
      </c>
      <c r="BG123" s="22">
        <f t="shared" si="61"/>
        <v>569.06766600200399</v>
      </c>
      <c r="BH123" s="62">
        <f t="shared" si="62"/>
        <v>862.40099933533725</v>
      </c>
      <c r="BI123" s="62">
        <f ca="1">AVERAGE(OFFSET($BH$3,0,0,'Données projet'!$E$11+1,1))-AVERAGE(OFFSET($H$3,0,0,'Données projet'!$E$11+1,1))</f>
        <v>377.78532142539677</v>
      </c>
      <c r="BJ123" s="62">
        <f t="shared" si="92"/>
        <v>234.27695813539111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13.461538461538462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235</v>
      </c>
      <c r="BW123" s="13">
        <f>VLOOKUP(A123,'Données projet'!$A$113:$I$133,9,0)</f>
        <v>2.9</v>
      </c>
      <c r="BX123" s="13">
        <f t="array" ref="BX123">INDEX(BW:BW,MIN(IF(ISNUMBER(BW123:BW319),ROW(BW123:BW319),"")))</f>
        <v>2.9</v>
      </c>
      <c r="BY123" s="13">
        <f>IF('Données projet'!$A$114&gt;35,BY122+BX123-CG122,IF(A123&lt;'Données projet'!$A$114,$BV$205^A123,IF(A123='Données projet'!$A$114,'Données projet'!$B$114,BY122+BX123-CG122)))</f>
        <v>234.99999999999983</v>
      </c>
      <c r="BZ123" s="14">
        <f>BY123*VLOOKUP('Données projet'!$B$12,Paramètres!$A$1:$I$89,3,0)*VLOOKUP('Données projet'!$B$12,Paramètres!$A$1:$I$89,5,0)</f>
        <v>238.28999999999982</v>
      </c>
      <c r="CA123" s="14">
        <f t="shared" si="93"/>
        <v>58.071462681001464</v>
      </c>
      <c r="CB123" s="22">
        <f t="shared" si="64"/>
        <v>516.16288083607731</v>
      </c>
      <c r="CC123" s="62">
        <f t="shared" si="65"/>
        <v>809.49621416941068</v>
      </c>
      <c r="CD123" s="62">
        <f ca="1">AVERAGE(OFFSET($CC$3,0,0,'Données projet'!$E$12+1,1))-AVERAGE(OFFSET($H$3,0,0,'Données projet'!$E$12+1,1))</f>
        <v>360.32217613090035</v>
      </c>
      <c r="CE123" s="62">
        <f t="shared" si="94"/>
        <v>159.6134369231965</v>
      </c>
      <c r="CF123" s="16">
        <f>IF(ISNA(VLOOKUP(A123,'Données projet'!$A$113:$I$133,3,0)),0,VLOOKUP(A123,'Données projet'!$A$113:$I$133,3,0))</f>
        <v>9</v>
      </c>
      <c r="CG123" s="16">
        <f>IF(ISNA(VLOOKUP(A123,'Données projet'!$A$113:$I$133,4,0)),0,VLOOKUP(A123,'Données projet'!$A$113:$I$133,4,0))</f>
        <v>25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-6.2527760746888816E-13</v>
      </c>
      <c r="CU123" s="18">
        <f>CT123*VLOOKUP('Données projet'!$B$13,Paramètres!$A$1:$I$89,3,0)*VLOOKUP('Données projet'!$B$13,Paramètres!$A$1:$I$89,5,0)</f>
        <v>-2.9262992029543964E-13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246.64907095367749</v>
      </c>
      <c r="CZ123" s="62">
        <f t="shared" si="96"/>
        <v>145.34368562171613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207.03241199974599</v>
      </c>
      <c r="T124" s="62">
        <f t="shared" si="88"/>
        <v>314.188568589113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2.2268253410120527</v>
      </c>
      <c r="AA124" s="23">
        <f>EXP(-LN(2)/25)*AA123+(1-EXP(-LN(2)/25))/(LN(2)/25)*Calculateur!V124*Calculateur!X124*VLOOKUP('Données projet'!$B$9,Paramètres!$A$1:$I$89,3,0)*0.475*44/12</f>
        <v>0.7820406212917721</v>
      </c>
      <c r="AB124" s="23">
        <f>EXP(-LN(2)/2)*AB123+(1-EXP(-LN(2)/2))/(LN(2)/2)*V124*Y124*VLOOKUP('Données projet'!$B$9,Paramètres!$A$1:$I$89,3,0)*0.475*44/12</f>
        <v>5.8772759972976169E-14</v>
      </c>
      <c r="AC124" s="24">
        <f t="shared" si="57"/>
        <v>3.0088659623038834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245.25496369542458</v>
      </c>
      <c r="AO124" s="62">
        <f t="shared" si="90"/>
        <v>342.30266518164211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2.0512820512820498</v>
      </c>
      <c r="BD124" s="13">
        <f>IF('Données projet'!$A$88&gt;35,BD123+BC124-BL123,IF(A124&lt;'Données projet'!$A$88,$BA$205^A124,IF(A124='Données projet'!$A$88,'Données projet'!$B$88,BD123+BC124-BL123)))</f>
        <v>240.51282051282067</v>
      </c>
      <c r="BE124" s="14">
        <f>BD124*VLOOKUP('Données projet'!$B$11,Paramètres!$A$1:$I$89,3,0)*VLOOKUP('Données projet'!$B$11,Paramètres!$A$1:$I$89,5,0)</f>
        <v>251.38400000000016</v>
      </c>
      <c r="BF124" s="14">
        <f t="shared" si="91"/>
        <v>60.882208331721962</v>
      </c>
      <c r="BG124" s="22">
        <f t="shared" si="61"/>
        <v>543.86364617774927</v>
      </c>
      <c r="BH124" s="62">
        <f t="shared" si="62"/>
        <v>837.19697951108265</v>
      </c>
      <c r="BI124" s="62">
        <f ca="1">AVERAGE(OFFSET($BH$3,0,0,'Données projet'!$E$11+1,1))-AVERAGE(OFFSET($H$3,0,0,'Données projet'!$E$11+1,1))</f>
        <v>377.78532142539677</v>
      </c>
      <c r="BJ124" s="62">
        <f t="shared" si="92"/>
        <v>234.27695813539111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2.1</v>
      </c>
      <c r="BY124" s="13">
        <f>IF('Données projet'!$A$114&gt;35,BY123+BX124-CG123,IF(A124&lt;'Données projet'!$A$114,$BV$205^A124,IF(A124='Données projet'!$A$114,'Données projet'!$B$114,BY123+BX124-CG123)))</f>
        <v>212.09999999999982</v>
      </c>
      <c r="BZ124" s="14">
        <f>BY124*VLOOKUP('Données projet'!$B$12,Paramètres!$A$1:$I$89,3,0)*VLOOKUP('Données projet'!$B$12,Paramètres!$A$1:$I$89,5,0)</f>
        <v>215.06939999999983</v>
      </c>
      <c r="CA124" s="14">
        <f t="shared" si="93"/>
        <v>53.04183455874783</v>
      </c>
      <c r="CB124" s="22">
        <f t="shared" si="64"/>
        <v>466.96040018981876</v>
      </c>
      <c r="CC124" s="62">
        <f t="shared" si="65"/>
        <v>760.29373352315201</v>
      </c>
      <c r="CD124" s="62">
        <f ca="1">AVERAGE(OFFSET($CC$3,0,0,'Données projet'!$E$12+1,1))-AVERAGE(OFFSET($H$3,0,0,'Données projet'!$E$12+1,1))</f>
        <v>360.32217613090035</v>
      </c>
      <c r="CE124" s="62">
        <f t="shared" si="94"/>
        <v>159.6134369231965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-6.2527760746888816E-13</v>
      </c>
      <c r="CU124" s="18">
        <f>CT124*VLOOKUP('Données projet'!$B$13,Paramètres!$A$1:$I$89,3,0)*VLOOKUP('Données projet'!$B$13,Paramètres!$A$1:$I$89,5,0)</f>
        <v>-2.9262992029543964E-13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246.64907095367749</v>
      </c>
      <c r="CZ124" s="62">
        <f t="shared" si="96"/>
        <v>145.34368562171613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207.03241199974599</v>
      </c>
      <c r="T125" s="62">
        <f t="shared" si="88"/>
        <v>314.188568589113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2.1831586543041501</v>
      </c>
      <c r="AA125" s="23">
        <f>EXP(-LN(2)/25)*AA124+(1-EXP(-LN(2)/25))/(LN(2)/25)*Calculateur!V125*Calculateur!X125*VLOOKUP('Données projet'!$B$9,Paramètres!$A$1:$I$89,3,0)*0.475*44/12</f>
        <v>0.76065567937681966</v>
      </c>
      <c r="AB125" s="23">
        <f>EXP(-LN(2)/2)*AB124+(1-EXP(-LN(2)/2))/(LN(2)/2)*V125*Y125*VLOOKUP('Données projet'!$B$9,Paramètres!$A$1:$I$89,3,0)*0.475*44/12</f>
        <v>4.1558617125940739E-14</v>
      </c>
      <c r="AC125" s="24">
        <f t="shared" si="57"/>
        <v>2.9438143336810114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245.25496369542458</v>
      </c>
      <c r="AO125" s="62">
        <f t="shared" si="90"/>
        <v>342.30266518164211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2.0512820512820498</v>
      </c>
      <c r="BD125" s="13">
        <f>IF('Données projet'!$A$88&gt;35,BD124+BC125-BL124,IF(A125&lt;'Données projet'!$A$88,$BA$205^A125,IF(A125='Données projet'!$A$88,'Données projet'!$B$88,BD124+BC125-BL124)))</f>
        <v>242.56410256410271</v>
      </c>
      <c r="BE125" s="14">
        <f>BD125*VLOOKUP('Données projet'!$B$11,Paramètres!$A$1:$I$89,3,0)*VLOOKUP('Données projet'!$B$11,Paramètres!$A$1:$I$89,5,0)</f>
        <v>253.52800000000019</v>
      </c>
      <c r="BF125" s="14">
        <f t="shared" si="91"/>
        <v>61.340791708154434</v>
      </c>
      <c r="BG125" s="22">
        <f t="shared" si="61"/>
        <v>548.39647889170249</v>
      </c>
      <c r="BH125" s="62">
        <f t="shared" si="62"/>
        <v>841.72981222503586</v>
      </c>
      <c r="BI125" s="62">
        <f ca="1">AVERAGE(OFFSET($BH$3,0,0,'Données projet'!$E$11+1,1))-AVERAGE(OFFSET($H$3,0,0,'Données projet'!$E$11+1,1))</f>
        <v>377.78532142539677</v>
      </c>
      <c r="BJ125" s="62">
        <f t="shared" si="92"/>
        <v>234.27695813539111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2.1</v>
      </c>
      <c r="BY125" s="13">
        <f>IF('Données projet'!$A$114&gt;35,BY124+BX125-CG124,IF(A125&lt;'Données projet'!$A$114,$BV$205^A125,IF(A125='Données projet'!$A$114,'Données projet'!$B$114,BY124+BX125-CG124)))</f>
        <v>214.19999999999982</v>
      </c>
      <c r="BZ125" s="14">
        <f>BY125*VLOOKUP('Données projet'!$B$12,Paramètres!$A$1:$I$89,3,0)*VLOOKUP('Données projet'!$B$12,Paramètres!$A$1:$I$89,5,0)</f>
        <v>217.19879999999981</v>
      </c>
      <c r="CA125" s="14">
        <f t="shared" si="93"/>
        <v>53.505605420483946</v>
      </c>
      <c r="CB125" s="22">
        <f t="shared" si="64"/>
        <v>471.47683944067586</v>
      </c>
      <c r="CC125" s="62">
        <f t="shared" si="65"/>
        <v>764.81017277400917</v>
      </c>
      <c r="CD125" s="62">
        <f ca="1">AVERAGE(OFFSET($CC$3,0,0,'Données projet'!$E$12+1,1))-AVERAGE(OFFSET($H$3,0,0,'Données projet'!$E$12+1,1))</f>
        <v>360.32217613090035</v>
      </c>
      <c r="CE125" s="62">
        <f t="shared" si="94"/>
        <v>159.6134369231965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-6.2527760746888816E-13</v>
      </c>
      <c r="CU125" s="18">
        <f>CT125*VLOOKUP('Données projet'!$B$13,Paramètres!$A$1:$I$89,3,0)*VLOOKUP('Données projet'!$B$13,Paramètres!$A$1:$I$89,5,0)</f>
        <v>-2.9262992029543964E-13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246.64907095367749</v>
      </c>
      <c r="CZ125" s="62">
        <f t="shared" si="96"/>
        <v>145.34368562171613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207.03241199974599</v>
      </c>
      <c r="T126" s="62">
        <f t="shared" si="88"/>
        <v>314.188568589113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2.1403482446885409</v>
      </c>
      <c r="AA126" s="23">
        <f>EXP(-LN(2)/25)*AA125+(1-EXP(-LN(2)/25))/(LN(2)/25)*Calculateur!V126*Calculateur!X126*VLOOKUP('Données projet'!$B$9,Paramètres!$A$1:$I$89,3,0)*0.475*44/12</f>
        <v>0.73985550982311687</v>
      </c>
      <c r="AB126" s="23">
        <f>EXP(-LN(2)/2)*AB125+(1-EXP(-LN(2)/2))/(LN(2)/2)*V126*Y126*VLOOKUP('Données projet'!$B$9,Paramètres!$A$1:$I$89,3,0)*0.475*44/12</f>
        <v>2.9386379986488084E-14</v>
      </c>
      <c r="AC126" s="24">
        <f t="shared" si="57"/>
        <v>2.8802037545116872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245.25496369542458</v>
      </c>
      <c r="AO126" s="62">
        <f t="shared" si="90"/>
        <v>342.30266518164211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2.0512820512820498</v>
      </c>
      <c r="BD126" s="13">
        <f>IF('Données projet'!$A$88&gt;35,BD125+BC126-BL125,IF(A126&lt;'Données projet'!$A$88,$BA$205^A126,IF(A126='Données projet'!$A$88,'Données projet'!$B$88,BD125+BC126-BL125)))</f>
        <v>244.61538461538476</v>
      </c>
      <c r="BE126" s="14">
        <f>BD126*VLOOKUP('Données projet'!$B$11,Paramètres!$A$1:$I$89,3,0)*VLOOKUP('Données projet'!$B$11,Paramètres!$A$1:$I$89,5,0)</f>
        <v>255.6720000000002</v>
      </c>
      <c r="BF126" s="14">
        <f t="shared" si="91"/>
        <v>61.798923892077319</v>
      </c>
      <c r="BG126" s="22">
        <f t="shared" si="61"/>
        <v>552.92852577870167</v>
      </c>
      <c r="BH126" s="62">
        <f t="shared" si="62"/>
        <v>846.26185911203493</v>
      </c>
      <c r="BI126" s="62">
        <f ca="1">AVERAGE(OFFSET($BH$3,0,0,'Données projet'!$E$11+1,1))-AVERAGE(OFFSET($H$3,0,0,'Données projet'!$E$11+1,1))</f>
        <v>377.78532142539677</v>
      </c>
      <c r="BJ126" s="62">
        <f t="shared" si="92"/>
        <v>234.27695813539111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2.1</v>
      </c>
      <c r="BY126" s="13">
        <f>IF('Données projet'!$A$114&gt;35,BY125+BX126-CG125,IF(A126&lt;'Données projet'!$A$114,$BV$205^A126,IF(A126='Données projet'!$A$114,'Données projet'!$B$114,BY125+BX126-CG125)))</f>
        <v>216.29999999999981</v>
      </c>
      <c r="BZ126" s="14">
        <f>BY126*VLOOKUP('Données projet'!$B$12,Paramètres!$A$1:$I$89,3,0)*VLOOKUP('Données projet'!$B$12,Paramètres!$A$1:$I$89,5,0)</f>
        <v>219.32819999999984</v>
      </c>
      <c r="CA126" s="14">
        <f t="shared" si="93"/>
        <v>53.968847330728984</v>
      </c>
      <c r="CB126" s="22">
        <f t="shared" si="64"/>
        <v>475.9923574343527</v>
      </c>
      <c r="CC126" s="62">
        <f t="shared" si="65"/>
        <v>769.32569076768596</v>
      </c>
      <c r="CD126" s="62">
        <f ca="1">AVERAGE(OFFSET($CC$3,0,0,'Données projet'!$E$12+1,1))-AVERAGE(OFFSET($H$3,0,0,'Données projet'!$E$12+1,1))</f>
        <v>360.32217613090035</v>
      </c>
      <c r="CE126" s="62">
        <f t="shared" si="94"/>
        <v>159.6134369231965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-6.2527760746888816E-13</v>
      </c>
      <c r="CU126" s="18">
        <f>CT126*VLOOKUP('Données projet'!$B$13,Paramètres!$A$1:$I$89,3,0)*VLOOKUP('Données projet'!$B$13,Paramètres!$A$1:$I$89,5,0)</f>
        <v>-2.9262992029543964E-13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246.64907095367749</v>
      </c>
      <c r="CZ126" s="62">
        <f t="shared" si="96"/>
        <v>145.34368562171613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207.03241199974599</v>
      </c>
      <c r="T127" s="62">
        <f t="shared" si="88"/>
        <v>314.188568589113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2.098377321093722</v>
      </c>
      <c r="AA127" s="23">
        <f>EXP(-LN(2)/25)*AA126+(1-EXP(-LN(2)/25))/(LN(2)/25)*Calculateur!V127*Calculateur!X127*VLOOKUP('Données projet'!$B$9,Paramètres!$A$1:$I$89,3,0)*0.475*44/12</f>
        <v>0.7196241219996935</v>
      </c>
      <c r="AB127" s="23">
        <f>EXP(-LN(2)/2)*AB126+(1-EXP(-LN(2)/2))/(LN(2)/2)*V127*Y127*VLOOKUP('Données projet'!$B$9,Paramètres!$A$1:$I$89,3,0)*0.475*44/12</f>
        <v>2.077930856297037E-14</v>
      </c>
      <c r="AC127" s="24">
        <f t="shared" si="57"/>
        <v>2.8180014430934364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245.25496369542458</v>
      </c>
      <c r="AO127" s="62">
        <f t="shared" si="90"/>
        <v>342.30266518164211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2.0512820512820498</v>
      </c>
      <c r="BD127" s="13">
        <f>IF('Données projet'!$A$88&gt;35,BD126+BC127-BL126,IF(A127&lt;'Données projet'!$A$88,$BA$205^A127,IF(A127='Données projet'!$A$88,'Données projet'!$B$88,BD126+BC127-BL126)))</f>
        <v>246.6666666666668</v>
      </c>
      <c r="BE127" s="14">
        <f>BD127*VLOOKUP('Données projet'!$B$11,Paramètres!$A$1:$I$89,3,0)*VLOOKUP('Données projet'!$B$11,Paramètres!$A$1:$I$89,5,0)</f>
        <v>257.81600000000014</v>
      </c>
      <c r="BF127" s="14">
        <f t="shared" si="91"/>
        <v>62.256609105523367</v>
      </c>
      <c r="BG127" s="22">
        <f t="shared" si="61"/>
        <v>557.45979419212006</v>
      </c>
      <c r="BH127" s="62">
        <f t="shared" si="62"/>
        <v>850.79312752545343</v>
      </c>
      <c r="BI127" s="62">
        <f ca="1">AVERAGE(OFFSET($BH$3,0,0,'Données projet'!$E$11+1,1))-AVERAGE(OFFSET($H$3,0,0,'Données projet'!$E$11+1,1))</f>
        <v>377.78532142539677</v>
      </c>
      <c r="BJ127" s="62">
        <f t="shared" si="92"/>
        <v>234.27695813539111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2.1</v>
      </c>
      <c r="BY127" s="13">
        <f>IF('Données projet'!$A$114&gt;35,BY126+BX127-CG126,IF(A127&lt;'Données projet'!$A$114,$BV$205^A127,IF(A127='Données projet'!$A$114,'Données projet'!$B$114,BY126+BX127-CG126)))</f>
        <v>218.39999999999981</v>
      </c>
      <c r="BZ127" s="14">
        <f>BY127*VLOOKUP('Données projet'!$B$12,Paramètres!$A$1:$I$89,3,0)*VLOOKUP('Données projet'!$B$12,Paramètres!$A$1:$I$89,5,0)</f>
        <v>221.45759999999979</v>
      </c>
      <c r="CA127" s="14">
        <f t="shared" si="93"/>
        <v>54.431566019643213</v>
      </c>
      <c r="CB127" s="22">
        <f t="shared" si="64"/>
        <v>480.5069641508781</v>
      </c>
      <c r="CC127" s="62">
        <f t="shared" si="65"/>
        <v>773.84029748421142</v>
      </c>
      <c r="CD127" s="62">
        <f ca="1">AVERAGE(OFFSET($CC$3,0,0,'Données projet'!$E$12+1,1))-AVERAGE(OFFSET($H$3,0,0,'Données projet'!$E$12+1,1))</f>
        <v>360.32217613090035</v>
      </c>
      <c r="CE127" s="62">
        <f t="shared" si="94"/>
        <v>159.6134369231965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-6.2527760746888816E-13</v>
      </c>
      <c r="CU127" s="18">
        <f>CT127*VLOOKUP('Données projet'!$B$13,Paramètres!$A$1:$I$89,3,0)*VLOOKUP('Données projet'!$B$13,Paramètres!$A$1:$I$89,5,0)</f>
        <v>-2.9262992029543964E-13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246.64907095367749</v>
      </c>
      <c r="CZ127" s="62">
        <f t="shared" si="96"/>
        <v>145.34368562171613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207.03241199974599</v>
      </c>
      <c r="T128" s="62">
        <f t="shared" si="88"/>
        <v>314.188568589113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2.0572294217108618</v>
      </c>
      <c r="AA128" s="23">
        <f>EXP(-LN(2)/25)*AA127+(1-EXP(-LN(2)/25))/(LN(2)/25)*Calculateur!V128*Calculateur!X128*VLOOKUP('Données projet'!$B$9,Paramètres!$A$1:$I$89,3,0)*0.475*44/12</f>
        <v>0.69994596254022401</v>
      </c>
      <c r="AB128" s="23">
        <f>EXP(-LN(2)/2)*AB127+(1-EXP(-LN(2)/2))/(LN(2)/2)*V128*Y128*VLOOKUP('Données projet'!$B$9,Paramètres!$A$1:$I$89,3,0)*0.475*44/12</f>
        <v>1.4693189993244042E-14</v>
      </c>
      <c r="AC128" s="24">
        <f t="shared" si="57"/>
        <v>2.7571753842511004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245.25496369542458</v>
      </c>
      <c r="AO128" s="62">
        <f t="shared" si="90"/>
        <v>342.30266518164211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2.0512820512820498</v>
      </c>
      <c r="BD128" s="13">
        <f>IF('Données projet'!$A$88&gt;35,BD127+BC128-BL127,IF(A128&lt;'Données projet'!$A$88,$BA$205^A128,IF(A128='Données projet'!$A$88,'Données projet'!$B$88,BD127+BC128-BL127)))</f>
        <v>248.71794871794884</v>
      </c>
      <c r="BE128" s="14">
        <f>BD128*VLOOKUP('Données projet'!$B$11,Paramètres!$A$1:$I$89,3,0)*VLOOKUP('Données projet'!$B$11,Paramètres!$A$1:$I$89,5,0)</f>
        <v>259.96000000000015</v>
      </c>
      <c r="BF128" s="14">
        <f t="shared" si="91"/>
        <v>62.713851496251003</v>
      </c>
      <c r="BG128" s="22">
        <f t="shared" si="61"/>
        <v>561.99029135597073</v>
      </c>
      <c r="BH128" s="62">
        <f t="shared" si="62"/>
        <v>855.3236246893041</v>
      </c>
      <c r="BI128" s="62">
        <f ca="1">AVERAGE(OFFSET($BH$3,0,0,'Données projet'!$E$11+1,1))-AVERAGE(OFFSET($H$3,0,0,'Données projet'!$E$11+1,1))</f>
        <v>377.78532142539677</v>
      </c>
      <c r="BJ128" s="62">
        <f t="shared" si="92"/>
        <v>234.27695813539111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2.1</v>
      </c>
      <c r="BY128" s="13">
        <f>IF('Données projet'!$A$114&gt;35,BY127+BX128-CG127,IF(A128&lt;'Données projet'!$A$114,$BV$205^A128,IF(A128='Données projet'!$A$114,'Données projet'!$B$114,BY127+BX128-CG127)))</f>
        <v>220.4999999999998</v>
      </c>
      <c r="BZ128" s="14">
        <f>BY128*VLOOKUP('Données projet'!$B$12,Paramètres!$A$1:$I$89,3,0)*VLOOKUP('Données projet'!$B$12,Paramètres!$A$1:$I$89,5,0)</f>
        <v>223.58699999999982</v>
      </c>
      <c r="CA128" s="14">
        <f t="shared" si="93"/>
        <v>54.893767100838247</v>
      </c>
      <c r="CB128" s="22">
        <f t="shared" si="64"/>
        <v>485.0206693672929</v>
      </c>
      <c r="CC128" s="62">
        <f t="shared" si="65"/>
        <v>778.35400270062621</v>
      </c>
      <c r="CD128" s="62">
        <f ca="1">AVERAGE(OFFSET($CC$3,0,0,'Données projet'!$E$12+1,1))-AVERAGE(OFFSET($H$3,0,0,'Données projet'!$E$12+1,1))</f>
        <v>360.32217613090035</v>
      </c>
      <c r="CE128" s="62">
        <f t="shared" si="94"/>
        <v>159.6134369231965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-6.2527760746888816E-13</v>
      </c>
      <c r="CU128" s="18">
        <f>CT128*VLOOKUP('Données projet'!$B$13,Paramètres!$A$1:$I$89,3,0)*VLOOKUP('Données projet'!$B$13,Paramètres!$A$1:$I$89,5,0)</f>
        <v>-2.9262992029543964E-13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246.64907095367749</v>
      </c>
      <c r="CZ128" s="62">
        <f t="shared" si="96"/>
        <v>145.34368562171613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207.03241199974599</v>
      </c>
      <c r="T129" s="62">
        <f t="shared" si="88"/>
        <v>314.188568589113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2.0168884075371594</v>
      </c>
      <c r="AA129" s="23">
        <f>EXP(-LN(2)/25)*AA128+(1-EXP(-LN(2)/25))/(LN(2)/25)*Calculateur!V129*Calculateur!X129*VLOOKUP('Données projet'!$B$9,Paramètres!$A$1:$I$89,3,0)*0.475*44/12</f>
        <v>0.68080590338600311</v>
      </c>
      <c r="AB129" s="23">
        <f>EXP(-LN(2)/2)*AB128+(1-EXP(-LN(2)/2))/(LN(2)/2)*V129*Y129*VLOOKUP('Données projet'!$B$9,Paramètres!$A$1:$I$89,3,0)*0.475*44/12</f>
        <v>1.0389654281485185E-14</v>
      </c>
      <c r="AC129" s="24">
        <f t="shared" si="57"/>
        <v>2.6976943109231728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245.25496369542458</v>
      </c>
      <c r="AO129" s="62">
        <f t="shared" si="90"/>
        <v>342.30266518164211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2.0512820512820498</v>
      </c>
      <c r="BD129" s="13">
        <f>IF('Données projet'!$A$88&gt;35,BD128+BC129-BL128,IF(A129&lt;'Données projet'!$A$88,$BA$205^A129,IF(A129='Données projet'!$A$88,'Données projet'!$B$88,BD128+BC129-BL128)))</f>
        <v>250.76923076923089</v>
      </c>
      <c r="BE129" s="14">
        <f>BD129*VLOOKUP('Données projet'!$B$11,Paramètres!$A$1:$I$89,3,0)*VLOOKUP('Données projet'!$B$11,Paramètres!$A$1:$I$89,5,0)</f>
        <v>262.10400000000016</v>
      </c>
      <c r="BF129" s="14">
        <f t="shared" si="91"/>
        <v>63.17065513965251</v>
      </c>
      <c r="BG129" s="22">
        <f t="shared" si="61"/>
        <v>566.52002436822829</v>
      </c>
      <c r="BH129" s="62">
        <f t="shared" si="62"/>
        <v>859.85335770156166</v>
      </c>
      <c r="BI129" s="62">
        <f ca="1">AVERAGE(OFFSET($BH$3,0,0,'Données projet'!$E$11+1,1))-AVERAGE(OFFSET($H$3,0,0,'Données projet'!$E$11+1,1))</f>
        <v>377.78532142539677</v>
      </c>
      <c r="BJ129" s="62">
        <f t="shared" si="92"/>
        <v>234.27695813539111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2.1</v>
      </c>
      <c r="BY129" s="13">
        <f>IF('Données projet'!$A$114&gt;35,BY128+BX129-CG128,IF(A129&lt;'Données projet'!$A$114,$BV$205^A129,IF(A129='Données projet'!$A$114,'Données projet'!$B$114,BY128+BX129-CG128)))</f>
        <v>222.5999999999998</v>
      </c>
      <c r="BZ129" s="14">
        <f>BY129*VLOOKUP('Données projet'!$B$12,Paramètres!$A$1:$I$89,3,0)*VLOOKUP('Données projet'!$B$12,Paramètres!$A$1:$I$89,5,0)</f>
        <v>225.71639999999982</v>
      </c>
      <c r="CA129" s="14">
        <f t="shared" si="93"/>
        <v>55.355456074834237</v>
      </c>
      <c r="CB129" s="22">
        <f t="shared" si="64"/>
        <v>489.5334826636693</v>
      </c>
      <c r="CC129" s="62">
        <f t="shared" si="65"/>
        <v>782.86681599700262</v>
      </c>
      <c r="CD129" s="62">
        <f ca="1">AVERAGE(OFFSET($CC$3,0,0,'Données projet'!$E$12+1,1))-AVERAGE(OFFSET($H$3,0,0,'Données projet'!$E$12+1,1))</f>
        <v>360.32217613090035</v>
      </c>
      <c r="CE129" s="62">
        <f t="shared" si="94"/>
        <v>159.6134369231965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-6.2527760746888816E-13</v>
      </c>
      <c r="CU129" s="18">
        <f>CT129*VLOOKUP('Données projet'!$B$13,Paramètres!$A$1:$I$89,3,0)*VLOOKUP('Données projet'!$B$13,Paramètres!$A$1:$I$89,5,0)</f>
        <v>-2.9262992029543964E-13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246.64907095367749</v>
      </c>
      <c r="CZ129" s="62">
        <f t="shared" si="96"/>
        <v>145.34368562171613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207.03241199974599</v>
      </c>
      <c r="T130" s="62">
        <f t="shared" si="88"/>
        <v>314.188568589113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1.977338456045814</v>
      </c>
      <c r="AA130" s="23">
        <f>EXP(-LN(2)/25)*AA129+(1-EXP(-LN(2)/25))/(LN(2)/25)*Calculateur!V130*Calculateur!X130*VLOOKUP('Données projet'!$B$9,Paramètres!$A$1:$I$89,3,0)*0.475*44/12</f>
        <v>0.66218923015588638</v>
      </c>
      <c r="AB130" s="23">
        <f>EXP(-LN(2)/2)*AB129+(1-EXP(-LN(2)/2))/(LN(2)/2)*V130*Y130*VLOOKUP('Données projet'!$B$9,Paramètres!$A$1:$I$89,3,0)*0.475*44/12</f>
        <v>7.3465949966220211E-15</v>
      </c>
      <c r="AC130" s="24">
        <f t="shared" si="57"/>
        <v>2.6395276862017081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245.25496369542458</v>
      </c>
      <c r="AO130" s="62">
        <f t="shared" si="90"/>
        <v>342.30266518164211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2.0512820512820498</v>
      </c>
      <c r="BD130" s="13">
        <f>IF('Données projet'!$A$88&gt;35,BD129+BC130-BL129,IF(A130&lt;'Données projet'!$A$88,$BA$205^A130,IF(A130='Données projet'!$A$88,'Données projet'!$B$88,BD129+BC130-BL129)))</f>
        <v>252.82051282051293</v>
      </c>
      <c r="BE130" s="14">
        <f>BD130*VLOOKUP('Données projet'!$B$11,Paramètres!$A$1:$I$89,3,0)*VLOOKUP('Données projet'!$B$11,Paramètres!$A$1:$I$89,5,0)</f>
        <v>264.24800000000016</v>
      </c>
      <c r="BF130" s="14">
        <f t="shared" si="91"/>
        <v>63.627024040597796</v>
      </c>
      <c r="BG130" s="22">
        <f t="shared" si="61"/>
        <v>571.04900020404136</v>
      </c>
      <c r="BH130" s="62">
        <f t="shared" si="62"/>
        <v>864.38233353737473</v>
      </c>
      <c r="BI130" s="62">
        <f ca="1">AVERAGE(OFFSET($BH$3,0,0,'Données projet'!$E$11+1,1))-AVERAGE(OFFSET($H$3,0,0,'Données projet'!$E$11+1,1))</f>
        <v>377.78532142539677</v>
      </c>
      <c r="BJ130" s="62">
        <f t="shared" si="92"/>
        <v>234.27695813539111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2.1</v>
      </c>
      <c r="BY130" s="13">
        <f>IF('Données projet'!$A$114&gt;35,BY129+BX130-CG129,IF(A130&lt;'Données projet'!$A$114,$BV$205^A130,IF(A130='Données projet'!$A$114,'Données projet'!$B$114,BY129+BX130-CG129)))</f>
        <v>224.69999999999979</v>
      </c>
      <c r="BZ130" s="14">
        <f>BY130*VLOOKUP('Données projet'!$B$12,Paramètres!$A$1:$I$89,3,0)*VLOOKUP('Données projet'!$B$12,Paramètres!$A$1:$I$89,5,0)</f>
        <v>227.8457999999998</v>
      </c>
      <c r="CA130" s="14">
        <f t="shared" si="93"/>
        <v>55.816638332383114</v>
      </c>
      <c r="CB130" s="22">
        <f t="shared" si="64"/>
        <v>494.04541342890025</v>
      </c>
      <c r="CC130" s="62">
        <f t="shared" si="65"/>
        <v>787.3787467622335</v>
      </c>
      <c r="CD130" s="62">
        <f ca="1">AVERAGE(OFFSET($CC$3,0,0,'Données projet'!$E$12+1,1))-AVERAGE(OFFSET($H$3,0,0,'Données projet'!$E$12+1,1))</f>
        <v>360.32217613090035</v>
      </c>
      <c r="CE130" s="62">
        <f t="shared" si="94"/>
        <v>159.6134369231965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-6.2527760746888816E-13</v>
      </c>
      <c r="CU130" s="18">
        <f>CT130*VLOOKUP('Données projet'!$B$13,Paramètres!$A$1:$I$89,3,0)*VLOOKUP('Données projet'!$B$13,Paramètres!$A$1:$I$89,5,0)</f>
        <v>-2.9262992029543964E-13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246.64907095367749</v>
      </c>
      <c r="CZ130" s="62">
        <f t="shared" si="96"/>
        <v>145.34368562171613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207.03241199974599</v>
      </c>
      <c r="T131" s="62">
        <f t="shared" si="88"/>
        <v>314.188568589113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1.9385640549801255</v>
      </c>
      <c r="AA131" s="23">
        <f>EXP(-LN(2)/25)*AA130+(1-EXP(-LN(2)/25))/(LN(2)/25)*Calculateur!V131*Calculateur!X131*VLOOKUP('Données projet'!$B$9,Paramètres!$A$1:$I$89,3,0)*0.475*44/12</f>
        <v>0.64408163083425551</v>
      </c>
      <c r="AB131" s="23">
        <f>EXP(-LN(2)/2)*AB130+(1-EXP(-LN(2)/2))/(LN(2)/2)*V131*Y131*VLOOKUP('Données projet'!$B$9,Paramètres!$A$1:$I$89,3,0)*0.475*44/12</f>
        <v>5.1948271407425924E-15</v>
      </c>
      <c r="AC131" s="24">
        <f t="shared" si="57"/>
        <v>2.5826456858143865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245.25496369542458</v>
      </c>
      <c r="AO131" s="62">
        <f t="shared" si="90"/>
        <v>342.30266518164211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2.0512820512820498</v>
      </c>
      <c r="BD131" s="13">
        <f>IF('Données projet'!$A$88&gt;35,BD130+BC131-BL130,IF(A131&lt;'Données projet'!$A$88,$BA$205^A131,IF(A131='Données projet'!$A$88,'Données projet'!$B$88,BD130+BC131-BL130)))</f>
        <v>254.87179487179498</v>
      </c>
      <c r="BE131" s="14">
        <f>BD131*VLOOKUP('Données projet'!$B$11,Paramètres!$A$1:$I$89,3,0)*VLOOKUP('Données projet'!$B$11,Paramètres!$A$1:$I$89,5,0)</f>
        <v>266.39200000000011</v>
      </c>
      <c r="BF131" s="14">
        <f t="shared" si="91"/>
        <v>64.08296213521713</v>
      </c>
      <c r="BG131" s="22">
        <f t="shared" si="61"/>
        <v>575.57722571883676</v>
      </c>
      <c r="BH131" s="62">
        <f t="shared" si="62"/>
        <v>868.91055905217013</v>
      </c>
      <c r="BI131" s="62">
        <f ca="1">AVERAGE(OFFSET($BH$3,0,0,'Données projet'!$E$11+1,1))-AVERAGE(OFFSET($H$3,0,0,'Données projet'!$E$11+1,1))</f>
        <v>377.78532142539677</v>
      </c>
      <c r="BJ131" s="62">
        <f t="shared" si="92"/>
        <v>234.27695813539111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2.1</v>
      </c>
      <c r="BY131" s="13">
        <f>IF('Données projet'!$A$114&gt;35,BY130+BX131-CG130,IF(A131&lt;'Données projet'!$A$114,$BV$205^A131,IF(A131='Données projet'!$A$114,'Données projet'!$B$114,BY130+BX131-CG130)))</f>
        <v>226.79999999999978</v>
      </c>
      <c r="BZ131" s="14">
        <f>BY131*VLOOKUP('Données projet'!$B$12,Paramètres!$A$1:$I$89,3,0)*VLOOKUP('Données projet'!$B$12,Paramètres!$A$1:$I$89,5,0)</f>
        <v>229.9751999999998</v>
      </c>
      <c r="CA131" s="14">
        <f t="shared" si="93"/>
        <v>56.277319157664266</v>
      </c>
      <c r="CB131" s="22">
        <f t="shared" si="64"/>
        <v>498.55647086626499</v>
      </c>
      <c r="CC131" s="62">
        <f t="shared" si="65"/>
        <v>791.8898041995983</v>
      </c>
      <c r="CD131" s="62">
        <f ca="1">AVERAGE(OFFSET($CC$3,0,0,'Données projet'!$E$12+1,1))-AVERAGE(OFFSET($H$3,0,0,'Données projet'!$E$12+1,1))</f>
        <v>360.32217613090035</v>
      </c>
      <c r="CE131" s="62">
        <f t="shared" si="94"/>
        <v>159.6134369231965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-6.2527760746888816E-13</v>
      </c>
      <c r="CU131" s="18">
        <f>CT131*VLOOKUP('Données projet'!$B$13,Paramètres!$A$1:$I$89,3,0)*VLOOKUP('Données projet'!$B$13,Paramètres!$A$1:$I$89,5,0)</f>
        <v>-2.9262992029543964E-13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246.64907095367749</v>
      </c>
      <c r="CZ131" s="62">
        <f t="shared" si="96"/>
        <v>145.34368562171613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207.03241199974599</v>
      </c>
      <c r="T132" s="62">
        <f t="shared" si="88"/>
        <v>314.188568589113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1.9005499962692858</v>
      </c>
      <c r="AA132" s="23">
        <f>EXP(-LN(2)/25)*AA131+(1-EXP(-LN(2)/25))/(LN(2)/25)*Calculateur!V132*Calculateur!X132*VLOOKUP('Données projet'!$B$9,Paramètres!$A$1:$I$89,3,0)*0.475*44/12</f>
        <v>0.62646918476831193</v>
      </c>
      <c r="AB132" s="23">
        <f>EXP(-LN(2)/2)*AB131+(1-EXP(-LN(2)/2))/(LN(2)/2)*V132*Y132*VLOOKUP('Données projet'!$B$9,Paramètres!$A$1:$I$89,3,0)*0.475*44/12</f>
        <v>3.6732974983110106E-15</v>
      </c>
      <c r="AC132" s="24">
        <f t="shared" ref="AC132:AC153" si="111">SUM(Z132:AB132)</f>
        <v>2.527019181037601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245.25496369542458</v>
      </c>
      <c r="AO132" s="62">
        <f t="shared" si="90"/>
        <v>342.30266518164211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2.0512820512820498</v>
      </c>
      <c r="BD132" s="13">
        <f>IF('Données projet'!$A$88&gt;35,BD131+BC132-BL131,IF(A132&lt;'Données projet'!$A$88,$BA$205^A132,IF(A132='Données projet'!$A$88,'Données projet'!$B$88,BD131+BC132-BL131)))</f>
        <v>256.92307692307702</v>
      </c>
      <c r="BE132" s="14">
        <f>BD132*VLOOKUP('Données projet'!$B$11,Paramètres!$A$1:$I$89,3,0)*VLOOKUP('Données projet'!$B$11,Paramètres!$A$1:$I$89,5,0)</f>
        <v>268.53600000000017</v>
      </c>
      <c r="BF132" s="14">
        <f t="shared" si="91"/>
        <v>64.538473292624303</v>
      </c>
      <c r="BG132" s="22">
        <f t="shared" ref="BG132:BG153" si="115">(BE132+BF132)*0.475*44/12</f>
        <v>580.10470765132095</v>
      </c>
      <c r="BH132" s="62">
        <f t="shared" ref="BH132:BH195" si="116">BG132+(AY132+AZ132)*44/12</f>
        <v>873.43804098465421</v>
      </c>
      <c r="BI132" s="62">
        <f ca="1">AVERAGE(OFFSET($BH$3,0,0,'Données projet'!$E$11+1,1))-AVERAGE(OFFSET($H$3,0,0,'Données projet'!$E$11+1,1))</f>
        <v>377.78532142539677</v>
      </c>
      <c r="BJ132" s="62">
        <f t="shared" si="92"/>
        <v>234.27695813539111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2.1</v>
      </c>
      <c r="BY132" s="13">
        <f>IF('Données projet'!$A$114&gt;35,BY131+BX132-CG131,IF(A132&lt;'Données projet'!$A$114,$BV$205^A132,IF(A132='Données projet'!$A$114,'Données projet'!$B$114,BY131+BX132-CG131)))</f>
        <v>228.89999999999978</v>
      </c>
      <c r="BZ132" s="14">
        <f>BY132*VLOOKUP('Données projet'!$B$12,Paramètres!$A$1:$I$89,3,0)*VLOOKUP('Données projet'!$B$12,Paramètres!$A$1:$I$89,5,0)</f>
        <v>232.10459999999978</v>
      </c>
      <c r="CA132" s="14">
        <f t="shared" si="93"/>
        <v>56.737503731358004</v>
      </c>
      <c r="CB132" s="22">
        <f t="shared" ref="CB132:CB153" si="118">(BZ132+CA132)*0.475*44/12</f>
        <v>503.06666399878145</v>
      </c>
      <c r="CC132" s="62">
        <f t="shared" ref="CC132:CC195" si="119">CB132+(BT132+BU132)*44/12</f>
        <v>796.39999733211471</v>
      </c>
      <c r="CD132" s="62">
        <f ca="1">AVERAGE(OFFSET($CC$3,0,0,'Données projet'!$E$12+1,1))-AVERAGE(OFFSET($H$3,0,0,'Données projet'!$E$12+1,1))</f>
        <v>360.32217613090035</v>
      </c>
      <c r="CE132" s="62">
        <f t="shared" si="94"/>
        <v>159.6134369231965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-6.2527760746888816E-13</v>
      </c>
      <c r="CU132" s="18">
        <f>CT132*VLOOKUP('Données projet'!$B$13,Paramètres!$A$1:$I$89,3,0)*VLOOKUP('Données projet'!$B$13,Paramètres!$A$1:$I$89,5,0)</f>
        <v>-2.9262992029543964E-13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246.64907095367749</v>
      </c>
      <c r="CZ132" s="62">
        <f t="shared" si="96"/>
        <v>145.34368562171613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207.03241199974599</v>
      </c>
      <c r="T133" s="62">
        <f t="shared" ref="T133:T196" si="142">$T$3</f>
        <v>314.188568589113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1.8632813700634792</v>
      </c>
      <c r="AA133" s="23">
        <f>EXP(-LN(2)/25)*AA132+(1-EXP(-LN(2)/25))/(LN(2)/25)*Calculateur!V133*Calculateur!X133*VLOOKUP('Données projet'!$B$9,Paramètres!$A$1:$I$89,3,0)*0.475*44/12</f>
        <v>0.60933835196623987</v>
      </c>
      <c r="AB133" s="23">
        <f>EXP(-LN(2)/2)*AB132+(1-EXP(-LN(2)/2))/(LN(2)/2)*V133*Y133*VLOOKUP('Données projet'!$B$9,Paramètres!$A$1:$I$89,3,0)*0.475*44/12</f>
        <v>2.5974135703712962E-15</v>
      </c>
      <c r="AC133" s="24">
        <f t="shared" si="111"/>
        <v>2.4726197220297217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245.25496369542458</v>
      </c>
      <c r="AO133" s="62">
        <f t="shared" ref="AO133:AO196" si="144">$AO$3</f>
        <v>342.30266518164211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258.97435897435895</v>
      </c>
      <c r="BB133" s="13">
        <f>VLOOKUP(A133,'Données projet'!$A$87:$I$107,9,0)</f>
        <v>2.0512820512820498</v>
      </c>
      <c r="BC133" s="13">
        <f t="array" ref="BC133">INDEX(BB:BB,MIN(IF(ISNUMBER(BB133:BB329),ROW(BB133:BB329),"")))</f>
        <v>2.0512820512820498</v>
      </c>
      <c r="BD133" s="13">
        <f>IF('Données projet'!$A$88&gt;35,BD132+BC133-BL132,IF(A133&lt;'Données projet'!$A$88,$BA$205^A133,IF(A133='Données projet'!$A$88,'Données projet'!$B$88,BD132+BC133-BL132)))</f>
        <v>258.97435897435906</v>
      </c>
      <c r="BE133" s="14">
        <f>BD133*VLOOKUP('Données projet'!$B$11,Paramètres!$A$1:$I$89,3,0)*VLOOKUP('Données projet'!$B$11,Paramètres!$A$1:$I$89,5,0)</f>
        <v>270.68000000000012</v>
      </c>
      <c r="BF133" s="14">
        <f t="shared" ref="BF133:BF153" si="145">EXP(-1.0587+0.8836*LN(BE133)+0.284)</f>
        <v>64.993561316583325</v>
      </c>
      <c r="BG133" s="22">
        <f t="shared" si="115"/>
        <v>584.63145262638284</v>
      </c>
      <c r="BH133" s="62">
        <f t="shared" si="116"/>
        <v>877.96478595971621</v>
      </c>
      <c r="BI133" s="62">
        <f ca="1">AVERAGE(OFFSET($BH$3,0,0,'Données projet'!$E$11+1,1))-AVERAGE(OFFSET($H$3,0,0,'Données projet'!$E$11+1,1))</f>
        <v>377.78532142539677</v>
      </c>
      <c r="BJ133" s="62">
        <f t="shared" ref="BJ133:BJ196" si="146">$BJ$3</f>
        <v>234.27695813539111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258.97435897435895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231</v>
      </c>
      <c r="BW133" s="13">
        <f>VLOOKUP(A133,'Données projet'!$A$113:$I$133,9,0)</f>
        <v>2.1</v>
      </c>
      <c r="BX133" s="13">
        <f t="array" ref="BX133">INDEX(BW:BW,MIN(IF(ISNUMBER(BW133:BW329),ROW(BW133:BW329),"")))</f>
        <v>2.1</v>
      </c>
      <c r="BY133" s="13">
        <f>IF('Données projet'!$A$114&gt;35,BY132+BX133-CG132,IF(A133&lt;'Données projet'!$A$114,$BV$205^A133,IF(A133='Données projet'!$A$114,'Données projet'!$B$114,BY132+BX133-CG132)))</f>
        <v>230.99999999999977</v>
      </c>
      <c r="BZ133" s="14">
        <f>BY133*VLOOKUP('Données projet'!$B$12,Paramètres!$A$1:$I$89,3,0)*VLOOKUP('Données projet'!$B$12,Paramètres!$A$1:$I$89,5,0)</f>
        <v>234.23399999999978</v>
      </c>
      <c r="CA133" s="14">
        <f t="shared" ref="CA133:CA153" si="147">EXP(-1.0587+0.8836*LN(BZ133)+0.284)</f>
        <v>57.197197133603439</v>
      </c>
      <c r="CB133" s="22">
        <f t="shared" si="118"/>
        <v>507.57600167435902</v>
      </c>
      <c r="CC133" s="62">
        <f t="shared" si="119"/>
        <v>800.90933500769233</v>
      </c>
      <c r="CD133" s="62">
        <f ca="1">AVERAGE(OFFSET($CC$3,0,0,'Données projet'!$E$12+1,1))-AVERAGE(OFFSET($H$3,0,0,'Données projet'!$E$12+1,1))</f>
        <v>360.32217613090035</v>
      </c>
      <c r="CE133" s="62">
        <f t="shared" ref="CE133:CE196" si="148">$CE$3</f>
        <v>159.6134369231965</v>
      </c>
      <c r="CF133" s="16">
        <f>IF(ISNA(VLOOKUP(A133,'Données projet'!$A$113:$I$133,3,0)),0,VLOOKUP(A133,'Données projet'!$A$113:$I$133,3,0))</f>
        <v>10</v>
      </c>
      <c r="CG133" s="16">
        <f>IF(ISNA(VLOOKUP(A133,'Données projet'!$A$113:$I$133,4,0)),0,VLOOKUP(A133,'Données projet'!$A$113:$I$133,4,0))</f>
        <v>21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-6.2527760746888816E-13</v>
      </c>
      <c r="CU133" s="18">
        <f>CT133*VLOOKUP('Données projet'!$B$13,Paramètres!$A$1:$I$89,3,0)*VLOOKUP('Données projet'!$B$13,Paramètres!$A$1:$I$89,5,0)</f>
        <v>-2.9262992029543964E-13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246.64907095367749</v>
      </c>
      <c r="CZ133" s="62">
        <f t="shared" ref="CZ133:CZ196" si="150">$CZ$3</f>
        <v>145.34368562171613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207.03241199974599</v>
      </c>
      <c r="T134" s="62">
        <f t="shared" si="142"/>
        <v>314.188568589113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1.8267435588859511</v>
      </c>
      <c r="AA134" s="23">
        <f>EXP(-LN(2)/25)*AA133+(1-EXP(-LN(2)/25))/(LN(2)/25)*Calculateur!V134*Calculateur!X134*VLOOKUP('Données projet'!$B$9,Paramètres!$A$1:$I$89,3,0)*0.475*44/12</f>
        <v>0.59267596268801181</v>
      </c>
      <c r="AB134" s="23">
        <f>EXP(-LN(2)/2)*AB133+(1-EXP(-LN(2)/2))/(LN(2)/2)*V134*Y134*VLOOKUP('Données projet'!$B$9,Paramètres!$A$1:$I$89,3,0)*0.475*44/12</f>
        <v>1.8366487491555053E-15</v>
      </c>
      <c r="AC134" s="24">
        <f t="shared" si="111"/>
        <v>2.4194195215739649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245.25496369542458</v>
      </c>
      <c r="AO134" s="62">
        <f t="shared" si="144"/>
        <v>342.30266518164211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1.1882548278663309E-13</v>
      </c>
      <c r="BF134" s="14">
        <f t="shared" si="145"/>
        <v>1.7496137229198366E-12</v>
      </c>
      <c r="BG134" s="22">
        <f t="shared" si="115"/>
        <v>3.2541982832721012E-12</v>
      </c>
      <c r="BH134" s="62">
        <f t="shared" si="116"/>
        <v>293.33333333333655</v>
      </c>
      <c r="BI134" s="62">
        <f ca="1">AVERAGE(OFFSET($BH$3,0,0,'Données projet'!$E$11+1,1))-AVERAGE(OFFSET($H$3,0,0,'Données projet'!$E$11+1,1))</f>
        <v>377.78532142539677</v>
      </c>
      <c r="BJ134" s="62">
        <f t="shared" si="146"/>
        <v>234.27695813539111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1.7</v>
      </c>
      <c r="BY134" s="13">
        <f>IF('Données projet'!$A$114&gt;35,BY133+BX134-CG133,IF(A134&lt;'Données projet'!$A$114,$BV$205^A134,IF(A134='Données projet'!$A$114,'Données projet'!$B$114,BY133+BX134-CG133)))</f>
        <v>211.69999999999976</v>
      </c>
      <c r="BZ134" s="14">
        <f>BY134*VLOOKUP('Données projet'!$B$12,Paramètres!$A$1:$I$89,3,0)*VLOOKUP('Données projet'!$B$12,Paramètres!$A$1:$I$89,5,0)</f>
        <v>214.66379999999978</v>
      </c>
      <c r="CA134" s="14">
        <f t="shared" si="147"/>
        <v>52.95343679766416</v>
      </c>
      <c r="CB134" s="22">
        <f t="shared" si="118"/>
        <v>466.10002075593138</v>
      </c>
      <c r="CC134" s="62">
        <f t="shared" si="119"/>
        <v>759.43335408926464</v>
      </c>
      <c r="CD134" s="62">
        <f ca="1">AVERAGE(OFFSET($CC$3,0,0,'Données projet'!$E$12+1,1))-AVERAGE(OFFSET($H$3,0,0,'Données projet'!$E$12+1,1))</f>
        <v>360.32217613090035</v>
      </c>
      <c r="CE134" s="62">
        <f t="shared" si="148"/>
        <v>159.6134369231965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-6.2527760746888816E-13</v>
      </c>
      <c r="CU134" s="18">
        <f>CT134*VLOOKUP('Données projet'!$B$13,Paramètres!$A$1:$I$89,3,0)*VLOOKUP('Données projet'!$B$13,Paramètres!$A$1:$I$89,5,0)</f>
        <v>-2.9262992029543964E-13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246.64907095367749</v>
      </c>
      <c r="CZ134" s="62">
        <f t="shared" si="150"/>
        <v>145.34368562171613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207.03241199974599</v>
      </c>
      <c r="T135" s="62">
        <f t="shared" si="142"/>
        <v>314.188568589113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1.79092223189975</v>
      </c>
      <c r="AA135" s="23">
        <f>EXP(-LN(2)/25)*AA134+(1-EXP(-LN(2)/25))/(LN(2)/25)*Calculateur!V135*Calculateur!X135*VLOOKUP('Données projet'!$B$9,Paramètres!$A$1:$I$89,3,0)*0.475*44/12</f>
        <v>0.57646920732083384</v>
      </c>
      <c r="AB135" s="23">
        <f>EXP(-LN(2)/2)*AB134+(1-EXP(-LN(2)/2))/(LN(2)/2)*V135*Y135*VLOOKUP('Données projet'!$B$9,Paramètres!$A$1:$I$89,3,0)*0.475*44/12</f>
        <v>1.2987067851856481E-15</v>
      </c>
      <c r="AC135" s="24">
        <f t="shared" si="111"/>
        <v>2.3673914392205853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245.25496369542458</v>
      </c>
      <c r="AO135" s="62">
        <f t="shared" si="144"/>
        <v>342.30266518164211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1.1882548278663309E-13</v>
      </c>
      <c r="BF135" s="14">
        <f t="shared" si="145"/>
        <v>1.7496137229198366E-12</v>
      </c>
      <c r="BG135" s="22">
        <f t="shared" si="115"/>
        <v>3.2541982832721012E-12</v>
      </c>
      <c r="BH135" s="62">
        <f t="shared" si="116"/>
        <v>293.33333333333655</v>
      </c>
      <c r="BI135" s="62">
        <f ca="1">AVERAGE(OFFSET($BH$3,0,0,'Données projet'!$E$11+1,1))-AVERAGE(OFFSET($H$3,0,0,'Données projet'!$E$11+1,1))</f>
        <v>377.78532142539677</v>
      </c>
      <c r="BJ135" s="62">
        <f t="shared" si="146"/>
        <v>234.27695813539111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1.7</v>
      </c>
      <c r="BY135" s="13">
        <f>IF('Données projet'!$A$114&gt;35,BY134+BX135-CG134,IF(A135&lt;'Données projet'!$A$114,$BV$205^A135,IF(A135='Données projet'!$A$114,'Données projet'!$B$114,BY134+BX135-CG134)))</f>
        <v>213.39999999999975</v>
      </c>
      <c r="BZ135" s="14">
        <f>BY135*VLOOKUP('Données projet'!$B$12,Paramètres!$A$1:$I$89,3,0)*VLOOKUP('Données projet'!$B$12,Paramètres!$A$1:$I$89,5,0)</f>
        <v>216.38759999999976</v>
      </c>
      <c r="CA135" s="14">
        <f t="shared" si="147"/>
        <v>53.328993492050309</v>
      </c>
      <c r="CB135" s="22">
        <f t="shared" si="118"/>
        <v>469.75640033198715</v>
      </c>
      <c r="CC135" s="62">
        <f t="shared" si="119"/>
        <v>763.08973366532041</v>
      </c>
      <c r="CD135" s="62">
        <f ca="1">AVERAGE(OFFSET($CC$3,0,0,'Données projet'!$E$12+1,1))-AVERAGE(OFFSET($H$3,0,0,'Données projet'!$E$12+1,1))</f>
        <v>360.32217613090035</v>
      </c>
      <c r="CE135" s="62">
        <f t="shared" si="148"/>
        <v>159.6134369231965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-6.2527760746888816E-13</v>
      </c>
      <c r="CU135" s="18">
        <f>CT135*VLOOKUP('Données projet'!$B$13,Paramètres!$A$1:$I$89,3,0)*VLOOKUP('Données projet'!$B$13,Paramètres!$A$1:$I$89,5,0)</f>
        <v>-2.9262992029543964E-13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246.64907095367749</v>
      </c>
      <c r="CZ135" s="62">
        <f t="shared" si="150"/>
        <v>145.34368562171613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207.03241199974599</v>
      </c>
      <c r="T136" s="62">
        <f t="shared" si="142"/>
        <v>314.188568589113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1.7558033392868964</v>
      </c>
      <c r="AA136" s="23">
        <f>EXP(-LN(2)/25)*AA135+(1-EXP(-LN(2)/25))/(LN(2)/25)*Calculateur!V136*Calculateur!X136*VLOOKUP('Données projet'!$B$9,Paramètres!$A$1:$I$89,3,0)*0.475*44/12</f>
        <v>0.56070562653144762</v>
      </c>
      <c r="AB136" s="23">
        <f>EXP(-LN(2)/2)*AB135+(1-EXP(-LN(2)/2))/(LN(2)/2)*V136*Y136*VLOOKUP('Données projet'!$B$9,Paramètres!$A$1:$I$89,3,0)*0.475*44/12</f>
        <v>9.1832437457775264E-16</v>
      </c>
      <c r="AC136" s="24">
        <f t="shared" si="111"/>
        <v>2.3165089658183451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245.25496369542458</v>
      </c>
      <c r="AO136" s="62">
        <f t="shared" si="144"/>
        <v>342.30266518164211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1.1882548278663309E-13</v>
      </c>
      <c r="BF136" s="14">
        <f t="shared" si="145"/>
        <v>1.7496137229198366E-12</v>
      </c>
      <c r="BG136" s="22">
        <f t="shared" si="115"/>
        <v>3.2541982832721012E-12</v>
      </c>
      <c r="BH136" s="62">
        <f t="shared" si="116"/>
        <v>293.33333333333655</v>
      </c>
      <c r="BI136" s="62">
        <f ca="1">AVERAGE(OFFSET($BH$3,0,0,'Données projet'!$E$11+1,1))-AVERAGE(OFFSET($H$3,0,0,'Données projet'!$E$11+1,1))</f>
        <v>377.78532142539677</v>
      </c>
      <c r="BJ136" s="62">
        <f t="shared" si="146"/>
        <v>234.27695813539111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1.7</v>
      </c>
      <c r="BY136" s="13">
        <f>IF('Données projet'!$A$114&gt;35,BY135+BX136-CG135,IF(A136&lt;'Données projet'!$A$114,$BV$205^A136,IF(A136='Données projet'!$A$114,'Données projet'!$B$114,BY135+BX136-CG135)))</f>
        <v>215.09999999999974</v>
      </c>
      <c r="BZ136" s="14">
        <f>BY136*VLOOKUP('Données projet'!$B$12,Paramètres!$A$1:$I$89,3,0)*VLOOKUP('Données projet'!$B$12,Paramètres!$A$1:$I$89,5,0)</f>
        <v>218.11139999999975</v>
      </c>
      <c r="CA136" s="14">
        <f t="shared" si="147"/>
        <v>53.704202100470489</v>
      </c>
      <c r="CB136" s="22">
        <f t="shared" si="118"/>
        <v>473.41217365831903</v>
      </c>
      <c r="CC136" s="62">
        <f t="shared" si="119"/>
        <v>766.74550699165229</v>
      </c>
      <c r="CD136" s="62">
        <f ca="1">AVERAGE(OFFSET($CC$3,0,0,'Données projet'!$E$12+1,1))-AVERAGE(OFFSET($H$3,0,0,'Données projet'!$E$12+1,1))</f>
        <v>360.32217613090035</v>
      </c>
      <c r="CE136" s="62">
        <f t="shared" si="148"/>
        <v>159.6134369231965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-6.2527760746888816E-13</v>
      </c>
      <c r="CU136" s="18">
        <f>CT136*VLOOKUP('Données projet'!$B$13,Paramètres!$A$1:$I$89,3,0)*VLOOKUP('Données projet'!$B$13,Paramètres!$A$1:$I$89,5,0)</f>
        <v>-2.9262992029543964E-13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246.64907095367749</v>
      </c>
      <c r="CZ136" s="62">
        <f t="shared" si="150"/>
        <v>145.34368562171613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207.03241199974599</v>
      </c>
      <c r="T137" s="62">
        <f t="shared" si="142"/>
        <v>314.188568589113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1.7213731067377713</v>
      </c>
      <c r="AA137" s="23">
        <f>EXP(-LN(2)/25)*AA136+(1-EXP(-LN(2)/25))/(LN(2)/25)*Calculateur!V137*Calculateur!X137*VLOOKUP('Données projet'!$B$9,Paramètres!$A$1:$I$89,3,0)*0.475*44/12</f>
        <v>0.5453731016877178</v>
      </c>
      <c r="AB137" s="23">
        <f>EXP(-LN(2)/2)*AB136+(1-EXP(-LN(2)/2))/(LN(2)/2)*V137*Y137*VLOOKUP('Données projet'!$B$9,Paramètres!$A$1:$I$89,3,0)*0.475*44/12</f>
        <v>6.4935339259282405E-16</v>
      </c>
      <c r="AC137" s="24">
        <f t="shared" si="111"/>
        <v>2.2667462084254897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245.25496369542458</v>
      </c>
      <c r="AO137" s="62">
        <f t="shared" si="144"/>
        <v>342.30266518164211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1.1882548278663309E-13</v>
      </c>
      <c r="BF137" s="14">
        <f t="shared" si="145"/>
        <v>1.7496137229198366E-12</v>
      </c>
      <c r="BG137" s="22">
        <f t="shared" si="115"/>
        <v>3.2541982832721012E-12</v>
      </c>
      <c r="BH137" s="62">
        <f t="shared" si="116"/>
        <v>293.33333333333655</v>
      </c>
      <c r="BI137" s="62">
        <f ca="1">AVERAGE(OFFSET($BH$3,0,0,'Données projet'!$E$11+1,1))-AVERAGE(OFFSET($H$3,0,0,'Données projet'!$E$11+1,1))</f>
        <v>377.78532142539677</v>
      </c>
      <c r="BJ137" s="62">
        <f t="shared" si="146"/>
        <v>234.27695813539111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1.7</v>
      </c>
      <c r="BY137" s="13">
        <f>IF('Données projet'!$A$114&gt;35,BY136+BX137-CG136,IF(A137&lt;'Données projet'!$A$114,$BV$205^A137,IF(A137='Données projet'!$A$114,'Données projet'!$B$114,BY136+BX137-CG136)))</f>
        <v>216.79999999999973</v>
      </c>
      <c r="BZ137" s="14">
        <f>BY137*VLOOKUP('Données projet'!$B$12,Paramètres!$A$1:$I$89,3,0)*VLOOKUP('Données projet'!$B$12,Paramètres!$A$1:$I$89,5,0)</f>
        <v>219.83519999999973</v>
      </c>
      <c r="CA137" s="14">
        <f t="shared" si="147"/>
        <v>54.079065692824344</v>
      </c>
      <c r="CB137" s="22">
        <f t="shared" si="118"/>
        <v>477.06734608166857</v>
      </c>
      <c r="CC137" s="62">
        <f t="shared" si="119"/>
        <v>770.40067941500183</v>
      </c>
      <c r="CD137" s="62">
        <f ca="1">AVERAGE(OFFSET($CC$3,0,0,'Données projet'!$E$12+1,1))-AVERAGE(OFFSET($H$3,0,0,'Données projet'!$E$12+1,1))</f>
        <v>360.32217613090035</v>
      </c>
      <c r="CE137" s="62">
        <f t="shared" si="148"/>
        <v>159.6134369231965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-6.2527760746888816E-13</v>
      </c>
      <c r="CU137" s="18">
        <f>CT137*VLOOKUP('Données projet'!$B$13,Paramètres!$A$1:$I$89,3,0)*VLOOKUP('Données projet'!$B$13,Paramètres!$A$1:$I$89,5,0)</f>
        <v>-2.9262992029543964E-13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246.64907095367749</v>
      </c>
      <c r="CZ137" s="62">
        <f t="shared" si="150"/>
        <v>145.34368562171613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207.03241199974599</v>
      </c>
      <c r="T138" s="62">
        <f t="shared" si="142"/>
        <v>314.188568589113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1.6876180300485664</v>
      </c>
      <c r="AA138" s="23">
        <f>EXP(-LN(2)/25)*AA137+(1-EXP(-LN(2)/25))/(LN(2)/25)*Calculateur!V138*Calculateur!X138*VLOOKUP('Données projet'!$B$9,Paramètres!$A$1:$I$89,3,0)*0.475*44/12</f>
        <v>0.53045984554214221</v>
      </c>
      <c r="AB138" s="23">
        <f>EXP(-LN(2)/2)*AB137+(1-EXP(-LN(2)/2))/(LN(2)/2)*V138*Y138*VLOOKUP('Données projet'!$B$9,Paramètres!$A$1:$I$89,3,0)*0.475*44/12</f>
        <v>4.5916218728887632E-16</v>
      </c>
      <c r="AC138" s="24">
        <f t="shared" si="111"/>
        <v>2.2180778755907089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245.25496369542458</v>
      </c>
      <c r="AO138" s="62">
        <f t="shared" si="144"/>
        <v>342.30266518164211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1.1882548278663309E-13</v>
      </c>
      <c r="BF138" s="14">
        <f t="shared" si="145"/>
        <v>1.7496137229198366E-12</v>
      </c>
      <c r="BG138" s="22">
        <f t="shared" si="115"/>
        <v>3.2541982832721012E-12</v>
      </c>
      <c r="BH138" s="62">
        <f t="shared" si="116"/>
        <v>293.33333333333655</v>
      </c>
      <c r="BI138" s="62">
        <f ca="1">AVERAGE(OFFSET($BH$3,0,0,'Données projet'!$E$11+1,1))-AVERAGE(OFFSET($H$3,0,0,'Données projet'!$E$11+1,1))</f>
        <v>377.78532142539677</v>
      </c>
      <c r="BJ138" s="62">
        <f t="shared" si="146"/>
        <v>234.27695813539111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1.7</v>
      </c>
      <c r="BY138" s="13">
        <f>IF('Données projet'!$A$114&gt;35,BY137+BX138-CG137,IF(A138&lt;'Données projet'!$A$114,$BV$205^A138,IF(A138='Données projet'!$A$114,'Données projet'!$B$114,BY137+BX138-CG137)))</f>
        <v>218.49999999999972</v>
      </c>
      <c r="BZ138" s="14">
        <f>BY138*VLOOKUP('Données projet'!$B$12,Paramètres!$A$1:$I$89,3,0)*VLOOKUP('Données projet'!$B$12,Paramètres!$A$1:$I$89,5,0)</f>
        <v>221.55899999999971</v>
      </c>
      <c r="CA138" s="14">
        <f t="shared" si="147"/>
        <v>54.453587288087022</v>
      </c>
      <c r="CB138" s="22">
        <f t="shared" si="118"/>
        <v>480.72192286008431</v>
      </c>
      <c r="CC138" s="62">
        <f t="shared" si="119"/>
        <v>774.05525619341756</v>
      </c>
      <c r="CD138" s="62">
        <f ca="1">AVERAGE(OFFSET($CC$3,0,0,'Données projet'!$E$12+1,1))-AVERAGE(OFFSET($H$3,0,0,'Données projet'!$E$12+1,1))</f>
        <v>360.32217613090035</v>
      </c>
      <c r="CE138" s="62">
        <f t="shared" si="148"/>
        <v>159.6134369231965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-6.2527760746888816E-13</v>
      </c>
      <c r="CU138" s="18">
        <f>CT138*VLOOKUP('Données projet'!$B$13,Paramètres!$A$1:$I$89,3,0)*VLOOKUP('Données projet'!$B$13,Paramètres!$A$1:$I$89,5,0)</f>
        <v>-2.9262992029543964E-13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246.64907095367749</v>
      </c>
      <c r="CZ138" s="62">
        <f t="shared" si="150"/>
        <v>145.34368562171613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207.03241199974599</v>
      </c>
      <c r="T139" s="62">
        <f t="shared" si="142"/>
        <v>314.188568589113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1.6545248698246728</v>
      </c>
      <c r="AA139" s="23">
        <f>EXP(-LN(2)/25)*AA138+(1-EXP(-LN(2)/25))/(LN(2)/25)*Calculateur!V139*Calculateur!X139*VLOOKUP('Données projet'!$B$9,Paramètres!$A$1:$I$89,3,0)*0.475*44/12</f>
        <v>0.51595439317012148</v>
      </c>
      <c r="AB139" s="23">
        <f>EXP(-LN(2)/2)*AB138+(1-EXP(-LN(2)/2))/(LN(2)/2)*V139*Y139*VLOOKUP('Données projet'!$B$9,Paramètres!$A$1:$I$89,3,0)*0.475*44/12</f>
        <v>3.2467669629641203E-16</v>
      </c>
      <c r="AC139" s="24">
        <f t="shared" si="111"/>
        <v>2.1704792629947947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245.25496369542458</v>
      </c>
      <c r="AO139" s="62">
        <f t="shared" si="144"/>
        <v>342.30266518164211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1.1882548278663309E-13</v>
      </c>
      <c r="BF139" s="14">
        <f t="shared" si="145"/>
        <v>1.7496137229198366E-12</v>
      </c>
      <c r="BG139" s="22">
        <f t="shared" si="115"/>
        <v>3.2541982832721012E-12</v>
      </c>
      <c r="BH139" s="62">
        <f t="shared" si="116"/>
        <v>293.33333333333655</v>
      </c>
      <c r="BI139" s="62">
        <f ca="1">AVERAGE(OFFSET($BH$3,0,0,'Données projet'!$E$11+1,1))-AVERAGE(OFFSET($H$3,0,0,'Données projet'!$E$11+1,1))</f>
        <v>377.78532142539677</v>
      </c>
      <c r="BJ139" s="62">
        <f t="shared" si="146"/>
        <v>234.27695813539111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1.7</v>
      </c>
      <c r="BY139" s="13">
        <f>IF('Données projet'!$A$114&gt;35,BY138+BX139-CG138,IF(A139&lt;'Données projet'!$A$114,$BV$205^A139,IF(A139='Données projet'!$A$114,'Données projet'!$B$114,BY138+BX139-CG138)))</f>
        <v>220.1999999999997</v>
      </c>
      <c r="BZ139" s="14">
        <f>BY139*VLOOKUP('Données projet'!$B$12,Paramètres!$A$1:$I$89,3,0)*VLOOKUP('Données projet'!$B$12,Paramètres!$A$1:$I$89,5,0)</f>
        <v>223.28279999999972</v>
      </c>
      <c r="CA139" s="14">
        <f t="shared" si="147"/>
        <v>54.82776985554343</v>
      </c>
      <c r="CB139" s="22">
        <f t="shared" si="118"/>
        <v>484.37590916507088</v>
      </c>
      <c r="CC139" s="62">
        <f t="shared" si="119"/>
        <v>777.70924249840414</v>
      </c>
      <c r="CD139" s="62">
        <f ca="1">AVERAGE(OFFSET($CC$3,0,0,'Données projet'!$E$12+1,1))-AVERAGE(OFFSET($H$3,0,0,'Données projet'!$E$12+1,1))</f>
        <v>360.32217613090035</v>
      </c>
      <c r="CE139" s="62">
        <f t="shared" si="148"/>
        <v>159.6134369231965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-6.2527760746888816E-13</v>
      </c>
      <c r="CU139" s="18">
        <f>CT139*VLOOKUP('Données projet'!$B$13,Paramètres!$A$1:$I$89,3,0)*VLOOKUP('Données projet'!$B$13,Paramètres!$A$1:$I$89,5,0)</f>
        <v>-2.9262992029543964E-13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246.64907095367749</v>
      </c>
      <c r="CZ139" s="62">
        <f t="shared" si="150"/>
        <v>145.34368562171613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207.03241199974599</v>
      </c>
      <c r="T140" s="62">
        <f t="shared" si="142"/>
        <v>314.188568589113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1.6220806462879354</v>
      </c>
      <c r="AA140" s="23">
        <f>EXP(-LN(2)/25)*AA139+(1-EXP(-LN(2)/25))/(LN(2)/25)*Calculateur!V140*Calculateur!X140*VLOOKUP('Données projet'!$B$9,Paramètres!$A$1:$I$89,3,0)*0.475*44/12</f>
        <v>0.50184559315602217</v>
      </c>
      <c r="AB140" s="23">
        <f>EXP(-LN(2)/2)*AB139+(1-EXP(-LN(2)/2))/(LN(2)/2)*V140*Y140*VLOOKUP('Données projet'!$B$9,Paramètres!$A$1:$I$89,3,0)*0.475*44/12</f>
        <v>2.2958109364443816E-16</v>
      </c>
      <c r="AC140" s="24">
        <f t="shared" si="111"/>
        <v>2.123926239443958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245.25496369542458</v>
      </c>
      <c r="AO140" s="62">
        <f t="shared" si="144"/>
        <v>342.30266518164211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1.1882548278663309E-13</v>
      </c>
      <c r="BF140" s="14">
        <f t="shared" si="145"/>
        <v>1.7496137229198366E-12</v>
      </c>
      <c r="BG140" s="22">
        <f t="shared" si="115"/>
        <v>3.2541982832721012E-12</v>
      </c>
      <c r="BH140" s="62">
        <f t="shared" si="116"/>
        <v>293.33333333333655</v>
      </c>
      <c r="BI140" s="62">
        <f ca="1">AVERAGE(OFFSET($BH$3,0,0,'Données projet'!$E$11+1,1))-AVERAGE(OFFSET($H$3,0,0,'Données projet'!$E$11+1,1))</f>
        <v>377.78532142539677</v>
      </c>
      <c r="BJ140" s="62">
        <f t="shared" si="146"/>
        <v>234.27695813539111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1.7</v>
      </c>
      <c r="BY140" s="13">
        <f>IF('Données projet'!$A$114&gt;35,BY139+BX140-CG139,IF(A140&lt;'Données projet'!$A$114,$BV$205^A140,IF(A140='Données projet'!$A$114,'Données projet'!$B$114,BY139+BX140-CG139)))</f>
        <v>221.89999999999969</v>
      </c>
      <c r="BZ140" s="14">
        <f>BY140*VLOOKUP('Données projet'!$B$12,Paramètres!$A$1:$I$89,3,0)*VLOOKUP('Données projet'!$B$12,Paramètres!$A$1:$I$89,5,0)</f>
        <v>225.00659999999971</v>
      </c>
      <c r="CA140" s="14">
        <f t="shared" si="147"/>
        <v>55.201616315983308</v>
      </c>
      <c r="CB140" s="22">
        <f t="shared" si="118"/>
        <v>488.0293100836704</v>
      </c>
      <c r="CC140" s="62">
        <f t="shared" si="119"/>
        <v>781.36264341700371</v>
      </c>
      <c r="CD140" s="62">
        <f ca="1">AVERAGE(OFFSET($CC$3,0,0,'Données projet'!$E$12+1,1))-AVERAGE(OFFSET($H$3,0,0,'Données projet'!$E$12+1,1))</f>
        <v>360.32217613090035</v>
      </c>
      <c r="CE140" s="62">
        <f t="shared" si="148"/>
        <v>159.6134369231965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-6.2527760746888816E-13</v>
      </c>
      <c r="CU140" s="18">
        <f>CT140*VLOOKUP('Données projet'!$B$13,Paramètres!$A$1:$I$89,3,0)*VLOOKUP('Données projet'!$B$13,Paramètres!$A$1:$I$89,5,0)</f>
        <v>-2.9262992029543964E-13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246.64907095367749</v>
      </c>
      <c r="CZ140" s="62">
        <f t="shared" si="150"/>
        <v>145.34368562171613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207.03241199974599</v>
      </c>
      <c r="T141" s="62">
        <f t="shared" si="142"/>
        <v>314.188568589113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1.5902726341857309</v>
      </c>
      <c r="AA141" s="23">
        <f>EXP(-LN(2)/25)*AA140+(1-EXP(-LN(2)/25))/(LN(2)/25)*Calculateur!V141*Calculateur!X141*VLOOKUP('Données projet'!$B$9,Paramètres!$A$1:$I$89,3,0)*0.475*44/12</f>
        <v>0.48812259902025801</v>
      </c>
      <c r="AB141" s="23">
        <f>EXP(-LN(2)/2)*AB140+(1-EXP(-LN(2)/2))/(LN(2)/2)*V141*Y141*VLOOKUP('Données projet'!$B$9,Paramètres!$A$1:$I$89,3,0)*0.475*44/12</f>
        <v>1.6233834814820601E-16</v>
      </c>
      <c r="AC141" s="24">
        <f t="shared" si="111"/>
        <v>2.0783952332059892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245.25496369542458</v>
      </c>
      <c r="AO141" s="62">
        <f t="shared" si="144"/>
        <v>342.30266518164211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1.1882548278663309E-13</v>
      </c>
      <c r="BF141" s="14">
        <f t="shared" si="145"/>
        <v>1.7496137229198366E-12</v>
      </c>
      <c r="BG141" s="22">
        <f t="shared" si="115"/>
        <v>3.2541982832721012E-12</v>
      </c>
      <c r="BH141" s="62">
        <f t="shared" si="116"/>
        <v>293.33333333333655</v>
      </c>
      <c r="BI141" s="62">
        <f ca="1">AVERAGE(OFFSET($BH$3,0,0,'Données projet'!$E$11+1,1))-AVERAGE(OFFSET($H$3,0,0,'Données projet'!$E$11+1,1))</f>
        <v>377.78532142539677</v>
      </c>
      <c r="BJ141" s="62">
        <f t="shared" si="146"/>
        <v>234.27695813539111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1.7</v>
      </c>
      <c r="BY141" s="13">
        <f>IF('Données projet'!$A$114&gt;35,BY140+BX141-CG140,IF(A141&lt;'Données projet'!$A$114,$BV$205^A141,IF(A141='Données projet'!$A$114,'Données projet'!$B$114,BY140+BX141-CG140)))</f>
        <v>223.59999999999968</v>
      </c>
      <c r="BZ141" s="14">
        <f>BY141*VLOOKUP('Données projet'!$B$12,Paramètres!$A$1:$I$89,3,0)*VLOOKUP('Données projet'!$B$12,Paramètres!$A$1:$I$89,5,0)</f>
        <v>226.73039999999969</v>
      </c>
      <c r="CA141" s="14">
        <f t="shared" si="147"/>
        <v>55.575129542858477</v>
      </c>
      <c r="CB141" s="22">
        <f t="shared" si="118"/>
        <v>491.68213062047795</v>
      </c>
      <c r="CC141" s="62">
        <f t="shared" si="119"/>
        <v>785.01546395381126</v>
      </c>
      <c r="CD141" s="62">
        <f ca="1">AVERAGE(OFFSET($CC$3,0,0,'Données projet'!$E$12+1,1))-AVERAGE(OFFSET($H$3,0,0,'Données projet'!$E$12+1,1))</f>
        <v>360.32217613090035</v>
      </c>
      <c r="CE141" s="62">
        <f t="shared" si="148"/>
        <v>159.6134369231965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-6.2527760746888816E-13</v>
      </c>
      <c r="CU141" s="18">
        <f>CT141*VLOOKUP('Données projet'!$B$13,Paramètres!$A$1:$I$89,3,0)*VLOOKUP('Données projet'!$B$13,Paramètres!$A$1:$I$89,5,0)</f>
        <v>-2.9262992029543964E-13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246.64907095367749</v>
      </c>
      <c r="CZ141" s="62">
        <f t="shared" si="150"/>
        <v>145.34368562171613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207.03241199974599</v>
      </c>
      <c r="T142" s="62">
        <f t="shared" si="142"/>
        <v>314.188568589113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1.5590883577998791</v>
      </c>
      <c r="AA142" s="23">
        <f>EXP(-LN(2)/25)*AA141+(1-EXP(-LN(2)/25))/(LN(2)/25)*Calculateur!V142*Calculateur!X142*VLOOKUP('Données projet'!$B$9,Paramètres!$A$1:$I$89,3,0)*0.475*44/12</f>
        <v>0.47477486088079718</v>
      </c>
      <c r="AB142" s="23">
        <f>EXP(-LN(2)/2)*AB141+(1-EXP(-LN(2)/2))/(LN(2)/2)*V142*Y142*VLOOKUP('Données projet'!$B$9,Paramètres!$A$1:$I$89,3,0)*0.475*44/12</f>
        <v>1.1479054682221908E-16</v>
      </c>
      <c r="AC142" s="24">
        <f t="shared" si="111"/>
        <v>2.0338632186806764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245.25496369542458</v>
      </c>
      <c r="AO142" s="62">
        <f t="shared" si="144"/>
        <v>342.30266518164211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1.1882548278663309E-13</v>
      </c>
      <c r="BF142" s="14">
        <f t="shared" si="145"/>
        <v>1.7496137229198366E-12</v>
      </c>
      <c r="BG142" s="22">
        <f t="shared" si="115"/>
        <v>3.2541982832721012E-12</v>
      </c>
      <c r="BH142" s="62">
        <f t="shared" si="116"/>
        <v>293.33333333333655</v>
      </c>
      <c r="BI142" s="62">
        <f ca="1">AVERAGE(OFFSET($BH$3,0,0,'Données projet'!$E$11+1,1))-AVERAGE(OFFSET($H$3,0,0,'Données projet'!$E$11+1,1))</f>
        <v>377.78532142539677</v>
      </c>
      <c r="BJ142" s="62">
        <f t="shared" si="146"/>
        <v>234.27695813539111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1.7</v>
      </c>
      <c r="BY142" s="13">
        <f>IF('Données projet'!$A$114&gt;35,BY141+BX142-CG141,IF(A142&lt;'Données projet'!$A$114,$BV$205^A142,IF(A142='Données projet'!$A$114,'Données projet'!$B$114,BY141+BX142-CG141)))</f>
        <v>225.29999999999967</v>
      </c>
      <c r="BZ142" s="14">
        <f>BY142*VLOOKUP('Données projet'!$B$12,Paramètres!$A$1:$I$89,3,0)*VLOOKUP('Données projet'!$B$12,Paramètres!$A$1:$I$89,5,0)</f>
        <v>228.45419999999967</v>
      </c>
      <c r="CA142" s="14">
        <f t="shared" si="147"/>
        <v>55.948312363404135</v>
      </c>
      <c r="CB142" s="22">
        <f t="shared" si="118"/>
        <v>495.33437569959489</v>
      </c>
      <c r="CC142" s="62">
        <f t="shared" si="119"/>
        <v>788.6677090329282</v>
      </c>
      <c r="CD142" s="62">
        <f ca="1">AVERAGE(OFFSET($CC$3,0,0,'Données projet'!$E$12+1,1))-AVERAGE(OFFSET($H$3,0,0,'Données projet'!$E$12+1,1))</f>
        <v>360.32217613090035</v>
      </c>
      <c r="CE142" s="62">
        <f t="shared" si="148"/>
        <v>159.6134369231965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-6.2527760746888816E-13</v>
      </c>
      <c r="CU142" s="18">
        <f>CT142*VLOOKUP('Données projet'!$B$13,Paramètres!$A$1:$I$89,3,0)*VLOOKUP('Données projet'!$B$13,Paramètres!$A$1:$I$89,5,0)</f>
        <v>-2.9262992029543964E-13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246.64907095367749</v>
      </c>
      <c r="CZ142" s="62">
        <f t="shared" si="150"/>
        <v>145.34368562171613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207.03241199974599</v>
      </c>
      <c r="T143" s="62">
        <f t="shared" si="142"/>
        <v>314.188568589113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1.5285155860534232</v>
      </c>
      <c r="AA143" s="23">
        <f>EXP(-LN(2)/25)*AA142+(1-EXP(-LN(2)/25))/(LN(2)/25)*Calculateur!V143*Calculateur!X143*VLOOKUP('Données projet'!$B$9,Paramètres!$A$1:$I$89,3,0)*0.475*44/12</f>
        <v>0.46179211734268694</v>
      </c>
      <c r="AB143" s="23">
        <f>EXP(-LN(2)/2)*AB142+(1-EXP(-LN(2)/2))/(LN(2)/2)*V143*Y143*VLOOKUP('Données projet'!$B$9,Paramètres!$A$1:$I$89,3,0)*0.475*44/12</f>
        <v>8.1169174074103006E-17</v>
      </c>
      <c r="AC143" s="24">
        <f t="shared" si="111"/>
        <v>1.9903077033961101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245.25496369542458</v>
      </c>
      <c r="AO143" s="62">
        <f t="shared" si="144"/>
        <v>342.30266518164211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1.1882548278663309E-13</v>
      </c>
      <c r="BF143" s="14">
        <f t="shared" si="145"/>
        <v>1.7496137229198366E-12</v>
      </c>
      <c r="BG143" s="22">
        <f t="shared" si="115"/>
        <v>3.2541982832721012E-12</v>
      </c>
      <c r="BH143" s="62">
        <f t="shared" si="116"/>
        <v>293.33333333333655</v>
      </c>
      <c r="BI143" s="62">
        <f ca="1">AVERAGE(OFFSET($BH$3,0,0,'Données projet'!$E$11+1,1))-AVERAGE(OFFSET($H$3,0,0,'Données projet'!$E$11+1,1))</f>
        <v>377.78532142539677</v>
      </c>
      <c r="BJ143" s="62">
        <f t="shared" si="146"/>
        <v>234.27695813539111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227</v>
      </c>
      <c r="BW143" s="13">
        <f>VLOOKUP(A143,'Données projet'!$A$113:$I$133,9,0)</f>
        <v>1.7</v>
      </c>
      <c r="BX143" s="13">
        <f t="array" ref="BX143">INDEX(BW:BW,MIN(IF(ISNUMBER(BW143:BW339),ROW(BW143:BW339),"")))</f>
        <v>1.7</v>
      </c>
      <c r="BY143" s="13">
        <f>IF('Données projet'!$A$114&gt;35,BY142+BX143-CG142,IF(A143&lt;'Données projet'!$A$114,$BV$205^A143,IF(A143='Données projet'!$A$114,'Données projet'!$B$114,BY142+BX143-CG142)))</f>
        <v>226.99999999999966</v>
      </c>
      <c r="BZ143" s="14">
        <f>BY143*VLOOKUP('Données projet'!$B$12,Paramètres!$A$1:$I$89,3,0)*VLOOKUP('Données projet'!$B$12,Paramètres!$A$1:$I$89,5,0)</f>
        <v>230.17799999999968</v>
      </c>
      <c r="CA143" s="14">
        <f t="shared" si="147"/>
        <v>56.321167559724955</v>
      </c>
      <c r="CB143" s="22">
        <f t="shared" si="118"/>
        <v>498.98605016652033</v>
      </c>
      <c r="CC143" s="62">
        <f t="shared" si="119"/>
        <v>792.31938349985364</v>
      </c>
      <c r="CD143" s="62">
        <f ca="1">AVERAGE(OFFSET($CC$3,0,0,'Données projet'!$E$12+1,1))-AVERAGE(OFFSET($H$3,0,0,'Données projet'!$E$12+1,1))</f>
        <v>360.32217613090035</v>
      </c>
      <c r="CE143" s="62">
        <f t="shared" si="148"/>
        <v>159.6134369231965</v>
      </c>
      <c r="CF143" s="16">
        <f>IF(ISNA(VLOOKUP(A143,'Données projet'!$A$113:$I$133,3,0)),0,VLOOKUP(A143,'Données projet'!$A$113:$I$133,3,0))</f>
        <v>11</v>
      </c>
      <c r="CG143" s="16">
        <f>IF(ISNA(VLOOKUP(A143,'Données projet'!$A$113:$I$133,4,0)),0,VLOOKUP(A143,'Données projet'!$A$113:$I$133,4,0))</f>
        <v>17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-6.2527760746888816E-13</v>
      </c>
      <c r="CU143" s="18">
        <f>CT143*VLOOKUP('Données projet'!$B$13,Paramètres!$A$1:$I$89,3,0)*VLOOKUP('Données projet'!$B$13,Paramètres!$A$1:$I$89,5,0)</f>
        <v>-2.9262992029543964E-13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246.64907095367749</v>
      </c>
      <c r="CZ143" s="62">
        <f t="shared" si="150"/>
        <v>145.34368562171613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207.03241199974599</v>
      </c>
      <c r="T144" s="62">
        <f t="shared" si="142"/>
        <v>314.188568589113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1.4985423277133658</v>
      </c>
      <c r="AA144" s="23">
        <f>EXP(-LN(2)/25)*AA143+(1-EXP(-LN(2)/25))/(LN(2)/25)*Calculateur!V144*Calculateur!X144*VLOOKUP('Données projet'!$B$9,Paramètres!$A$1:$I$89,3,0)*0.475*44/12</f>
        <v>0.44916438760935917</v>
      </c>
      <c r="AB144" s="23">
        <f>EXP(-LN(2)/2)*AB143+(1-EXP(-LN(2)/2))/(LN(2)/2)*V144*Y144*VLOOKUP('Données projet'!$B$9,Paramètres!$A$1:$I$89,3,0)*0.475*44/12</f>
        <v>5.739527341110954E-17</v>
      </c>
      <c r="AC144" s="24">
        <f t="shared" si="111"/>
        <v>1.947706715322725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245.25496369542458</v>
      </c>
      <c r="AO144" s="62">
        <f t="shared" si="144"/>
        <v>342.30266518164211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1.1882548278663309E-13</v>
      </c>
      <c r="BF144" s="14">
        <f t="shared" si="145"/>
        <v>1.7496137229198366E-12</v>
      </c>
      <c r="BG144" s="22">
        <f t="shared" si="115"/>
        <v>3.2541982832721012E-12</v>
      </c>
      <c r="BH144" s="62">
        <f t="shared" si="116"/>
        <v>293.33333333333655</v>
      </c>
      <c r="BI144" s="62">
        <f ca="1">AVERAGE(OFFSET($BH$3,0,0,'Données projet'!$E$11+1,1))-AVERAGE(OFFSET($H$3,0,0,'Données projet'!$E$11+1,1))</f>
        <v>377.78532142539677</v>
      </c>
      <c r="BJ144" s="62">
        <f t="shared" si="146"/>
        <v>234.27695813539111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1.4</v>
      </c>
      <c r="BY144" s="13">
        <f>IF('Données projet'!$A$114&gt;35,BY143+BX144-CG143,IF(A144&lt;'Données projet'!$A$114,$BV$205^A144,IF(A144='Données projet'!$A$114,'Données projet'!$B$114,BY143+BX144-CG143)))</f>
        <v>211.39999999999966</v>
      </c>
      <c r="BZ144" s="14">
        <f>BY144*VLOOKUP('Données projet'!$B$12,Paramètres!$A$1:$I$89,3,0)*VLOOKUP('Données projet'!$B$12,Paramètres!$A$1:$I$89,5,0)</f>
        <v>214.35959999999969</v>
      </c>
      <c r="CA144" s="14">
        <f t="shared" si="147"/>
        <v>52.88712571909452</v>
      </c>
      <c r="CB144" s="22">
        <f t="shared" si="118"/>
        <v>465.45471396075578</v>
      </c>
      <c r="CC144" s="62">
        <f t="shared" si="119"/>
        <v>758.7880472940891</v>
      </c>
      <c r="CD144" s="62">
        <f ca="1">AVERAGE(OFFSET($CC$3,0,0,'Données projet'!$E$12+1,1))-AVERAGE(OFFSET($H$3,0,0,'Données projet'!$E$12+1,1))</f>
        <v>360.32217613090035</v>
      </c>
      <c r="CE144" s="62">
        <f t="shared" si="148"/>
        <v>159.6134369231965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-6.2527760746888816E-13</v>
      </c>
      <c r="CU144" s="18">
        <f>CT144*VLOOKUP('Données projet'!$B$13,Paramètres!$A$1:$I$89,3,0)*VLOOKUP('Données projet'!$B$13,Paramètres!$A$1:$I$89,5,0)</f>
        <v>-2.9262992029543964E-13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246.64907095367749</v>
      </c>
      <c r="CZ144" s="62">
        <f t="shared" si="150"/>
        <v>145.34368562171613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207.03241199974599</v>
      </c>
      <c r="T145" s="62">
        <f t="shared" si="142"/>
        <v>314.188568589113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1.4691568266874746</v>
      </c>
      <c r="AA145" s="23">
        <f>EXP(-LN(2)/25)*AA144+(1-EXP(-LN(2)/25))/(LN(2)/25)*Calculateur!V145*Calculateur!X145*VLOOKUP('Données projet'!$B$9,Paramètres!$A$1:$I$89,3,0)*0.475*44/12</f>
        <v>0.43688196380965266</v>
      </c>
      <c r="AB145" s="23">
        <f>EXP(-LN(2)/2)*AB144+(1-EXP(-LN(2)/2))/(LN(2)/2)*V145*Y145*VLOOKUP('Données projet'!$B$9,Paramètres!$A$1:$I$89,3,0)*0.475*44/12</f>
        <v>4.0584587037051503E-17</v>
      </c>
      <c r="AC145" s="24">
        <f t="shared" si="111"/>
        <v>1.9060387904971272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245.25496369542458</v>
      </c>
      <c r="AO145" s="62">
        <f t="shared" si="144"/>
        <v>342.30266518164211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1.1882548278663309E-13</v>
      </c>
      <c r="BF145" s="14">
        <f t="shared" si="145"/>
        <v>1.7496137229198366E-12</v>
      </c>
      <c r="BG145" s="22">
        <f t="shared" si="115"/>
        <v>3.2541982832721012E-12</v>
      </c>
      <c r="BH145" s="62">
        <f t="shared" si="116"/>
        <v>293.33333333333655</v>
      </c>
      <c r="BI145" s="62">
        <f ca="1">AVERAGE(OFFSET($BH$3,0,0,'Données projet'!$E$11+1,1))-AVERAGE(OFFSET($H$3,0,0,'Données projet'!$E$11+1,1))</f>
        <v>377.78532142539677</v>
      </c>
      <c r="BJ145" s="62">
        <f t="shared" si="146"/>
        <v>234.27695813539111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1.4</v>
      </c>
      <c r="BY145" s="13">
        <f>IF('Données projet'!$A$114&gt;35,BY144+BX145-CG144,IF(A145&lt;'Données projet'!$A$114,$BV$205^A145,IF(A145='Données projet'!$A$114,'Données projet'!$B$114,BY144+BX145-CG144)))</f>
        <v>212.79999999999967</v>
      </c>
      <c r="BZ145" s="14">
        <f>BY145*VLOOKUP('Données projet'!$B$12,Paramètres!$A$1:$I$89,3,0)*VLOOKUP('Données projet'!$B$12,Paramètres!$A$1:$I$89,5,0)</f>
        <v>215.77919999999969</v>
      </c>
      <c r="CA145" s="14">
        <f t="shared" si="147"/>
        <v>53.196483976998607</v>
      </c>
      <c r="CB145" s="22">
        <f t="shared" si="118"/>
        <v>468.46598292660536</v>
      </c>
      <c r="CC145" s="62">
        <f t="shared" si="119"/>
        <v>761.79931625993868</v>
      </c>
      <c r="CD145" s="62">
        <f ca="1">AVERAGE(OFFSET($CC$3,0,0,'Données projet'!$E$12+1,1))-AVERAGE(OFFSET($H$3,0,0,'Données projet'!$E$12+1,1))</f>
        <v>360.32217613090035</v>
      </c>
      <c r="CE145" s="62">
        <f t="shared" si="148"/>
        <v>159.6134369231965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-6.2527760746888816E-13</v>
      </c>
      <c r="CU145" s="18">
        <f>CT145*VLOOKUP('Données projet'!$B$13,Paramètres!$A$1:$I$89,3,0)*VLOOKUP('Données projet'!$B$13,Paramètres!$A$1:$I$89,5,0)</f>
        <v>-2.9262992029543964E-13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246.64907095367749</v>
      </c>
      <c r="CZ145" s="62">
        <f t="shared" si="150"/>
        <v>145.34368562171613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207.03241199974599</v>
      </c>
      <c r="T146" s="62">
        <f t="shared" si="142"/>
        <v>314.188568589113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1.4403475574133153</v>
      </c>
      <c r="AA146" s="23">
        <f>EXP(-LN(2)/25)*AA145+(1-EXP(-LN(2)/25))/(LN(2)/25)*Calculateur!V146*Calculateur!X146*VLOOKUP('Données projet'!$B$9,Paramètres!$A$1:$I$89,3,0)*0.475*44/12</f>
        <v>0.42493540353465376</v>
      </c>
      <c r="AB146" s="23">
        <f>EXP(-LN(2)/2)*AB145+(1-EXP(-LN(2)/2))/(LN(2)/2)*V146*Y146*VLOOKUP('Données projet'!$B$9,Paramètres!$A$1:$I$89,3,0)*0.475*44/12</f>
        <v>2.869763670555477E-17</v>
      </c>
      <c r="AC146" s="24">
        <f t="shared" si="111"/>
        <v>1.8652829609479691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245.25496369542458</v>
      </c>
      <c r="AO146" s="62">
        <f t="shared" si="144"/>
        <v>342.30266518164211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1.1882548278663309E-13</v>
      </c>
      <c r="BF146" s="14">
        <f t="shared" si="145"/>
        <v>1.7496137229198366E-12</v>
      </c>
      <c r="BG146" s="22">
        <f t="shared" si="115"/>
        <v>3.2541982832721012E-12</v>
      </c>
      <c r="BH146" s="62">
        <f t="shared" si="116"/>
        <v>293.33333333333655</v>
      </c>
      <c r="BI146" s="62">
        <f ca="1">AVERAGE(OFFSET($BH$3,0,0,'Données projet'!$E$11+1,1))-AVERAGE(OFFSET($H$3,0,0,'Données projet'!$E$11+1,1))</f>
        <v>377.78532142539677</v>
      </c>
      <c r="BJ146" s="62">
        <f t="shared" si="146"/>
        <v>234.27695813539111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1.4</v>
      </c>
      <c r="BY146" s="13">
        <f>IF('Données projet'!$A$114&gt;35,BY145+BX146-CG145,IF(A146&lt;'Données projet'!$A$114,$BV$205^A146,IF(A146='Données projet'!$A$114,'Données projet'!$B$114,BY145+BX146-CG145)))</f>
        <v>214.19999999999968</v>
      </c>
      <c r="BZ146" s="14">
        <f>BY146*VLOOKUP('Données projet'!$B$12,Paramètres!$A$1:$I$89,3,0)*VLOOKUP('Données projet'!$B$12,Paramètres!$A$1:$I$89,5,0)</f>
        <v>217.19879999999969</v>
      </c>
      <c r="CA146" s="14">
        <f t="shared" si="147"/>
        <v>53.505605420483946</v>
      </c>
      <c r="CB146" s="22">
        <f t="shared" si="118"/>
        <v>471.47683944067563</v>
      </c>
      <c r="CC146" s="62">
        <f t="shared" si="119"/>
        <v>764.81017277400895</v>
      </c>
      <c r="CD146" s="62">
        <f ca="1">AVERAGE(OFFSET($CC$3,0,0,'Données projet'!$E$12+1,1))-AVERAGE(OFFSET($H$3,0,0,'Données projet'!$E$12+1,1))</f>
        <v>360.32217613090035</v>
      </c>
      <c r="CE146" s="62">
        <f t="shared" si="148"/>
        <v>159.6134369231965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-6.2527760746888816E-13</v>
      </c>
      <c r="CU146" s="18">
        <f>CT146*VLOOKUP('Données projet'!$B$13,Paramètres!$A$1:$I$89,3,0)*VLOOKUP('Données projet'!$B$13,Paramètres!$A$1:$I$89,5,0)</f>
        <v>-2.9262992029543964E-13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246.64907095367749</v>
      </c>
      <c r="CZ146" s="62">
        <f t="shared" si="150"/>
        <v>145.34368562171613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207.03241199974599</v>
      </c>
      <c r="T147" s="62">
        <f t="shared" si="142"/>
        <v>314.188568589113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1.4121032203377031</v>
      </c>
      <c r="AA147" s="23">
        <f>EXP(-LN(2)/25)*AA146+(1-EXP(-LN(2)/25))/(LN(2)/25)*Calculateur!V147*Calculateur!X147*VLOOKUP('Données projet'!$B$9,Paramètres!$A$1:$I$89,3,0)*0.475*44/12</f>
        <v>0.41331552257861698</v>
      </c>
      <c r="AB147" s="23">
        <f>EXP(-LN(2)/2)*AB146+(1-EXP(-LN(2)/2))/(LN(2)/2)*V147*Y147*VLOOKUP('Données projet'!$B$9,Paramètres!$A$1:$I$89,3,0)*0.475*44/12</f>
        <v>2.0292293518525752E-17</v>
      </c>
      <c r="AC147" s="24">
        <f t="shared" si="111"/>
        <v>1.82541874291632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245.25496369542458</v>
      </c>
      <c r="AO147" s="62">
        <f t="shared" si="144"/>
        <v>342.30266518164211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1.1882548278663309E-13</v>
      </c>
      <c r="BF147" s="14">
        <f t="shared" si="145"/>
        <v>1.7496137229198366E-12</v>
      </c>
      <c r="BG147" s="22">
        <f t="shared" si="115"/>
        <v>3.2541982832721012E-12</v>
      </c>
      <c r="BH147" s="62">
        <f t="shared" si="116"/>
        <v>293.33333333333655</v>
      </c>
      <c r="BI147" s="62">
        <f ca="1">AVERAGE(OFFSET($BH$3,0,0,'Données projet'!$E$11+1,1))-AVERAGE(OFFSET($H$3,0,0,'Données projet'!$E$11+1,1))</f>
        <v>377.78532142539677</v>
      </c>
      <c r="BJ147" s="62">
        <f t="shared" si="146"/>
        <v>234.27695813539111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1.4</v>
      </c>
      <c r="BY147" s="13">
        <f>IF('Données projet'!$A$114&gt;35,BY146+BX147-CG146,IF(A147&lt;'Données projet'!$A$114,$BV$205^A147,IF(A147='Données projet'!$A$114,'Données projet'!$B$114,BY146+BX147-CG146)))</f>
        <v>215.59999999999968</v>
      </c>
      <c r="BZ147" s="14">
        <f>BY147*VLOOKUP('Données projet'!$B$12,Paramètres!$A$1:$I$89,3,0)*VLOOKUP('Données projet'!$B$12,Paramètres!$A$1:$I$89,5,0)</f>
        <v>218.61839999999967</v>
      </c>
      <c r="CA147" s="14">
        <f t="shared" si="147"/>
        <v>53.81449177688949</v>
      </c>
      <c r="CB147" s="22">
        <f t="shared" si="118"/>
        <v>474.48728651141528</v>
      </c>
      <c r="CC147" s="62">
        <f t="shared" si="119"/>
        <v>767.82061984474853</v>
      </c>
      <c r="CD147" s="62">
        <f ca="1">AVERAGE(OFFSET($CC$3,0,0,'Données projet'!$E$12+1,1))-AVERAGE(OFFSET($H$3,0,0,'Données projet'!$E$12+1,1))</f>
        <v>360.32217613090035</v>
      </c>
      <c r="CE147" s="62">
        <f t="shared" si="148"/>
        <v>159.6134369231965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-6.2527760746888816E-13</v>
      </c>
      <c r="CU147" s="18">
        <f>CT147*VLOOKUP('Données projet'!$B$13,Paramètres!$A$1:$I$89,3,0)*VLOOKUP('Données projet'!$B$13,Paramètres!$A$1:$I$89,5,0)</f>
        <v>-2.9262992029543964E-13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246.64907095367749</v>
      </c>
      <c r="CZ147" s="62">
        <f t="shared" si="150"/>
        <v>145.34368562171613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207.03241199974599</v>
      </c>
      <c r="T148" s="62">
        <f t="shared" si="142"/>
        <v>314.188568589113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1.384412737484799</v>
      </c>
      <c r="AA148" s="23">
        <f>EXP(-LN(2)/25)*AA147+(1-EXP(-LN(2)/25))/(LN(2)/25)*Calculateur!V148*Calculateur!X148*VLOOKUP('Données projet'!$B$9,Paramètres!$A$1:$I$89,3,0)*0.475*44/12</f>
        <v>0.40201338787838603</v>
      </c>
      <c r="AB148" s="23">
        <f>EXP(-LN(2)/2)*AB147+(1-EXP(-LN(2)/2))/(LN(2)/2)*V148*Y148*VLOOKUP('Données projet'!$B$9,Paramètres!$A$1:$I$89,3,0)*0.475*44/12</f>
        <v>1.4348818352777385E-17</v>
      </c>
      <c r="AC148" s="24">
        <f t="shared" si="111"/>
        <v>1.786426125363185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245.25496369542458</v>
      </c>
      <c r="AO148" s="62">
        <f t="shared" si="144"/>
        <v>342.30266518164211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1.1882548278663309E-13</v>
      </c>
      <c r="BF148" s="14">
        <f t="shared" si="145"/>
        <v>1.7496137229198366E-12</v>
      </c>
      <c r="BG148" s="22">
        <f t="shared" si="115"/>
        <v>3.2541982832721012E-12</v>
      </c>
      <c r="BH148" s="62">
        <f t="shared" si="116"/>
        <v>293.33333333333655</v>
      </c>
      <c r="BI148" s="62">
        <f ca="1">AVERAGE(OFFSET($BH$3,0,0,'Données projet'!$E$11+1,1))-AVERAGE(OFFSET($H$3,0,0,'Données projet'!$E$11+1,1))</f>
        <v>377.78532142539677</v>
      </c>
      <c r="BJ148" s="62">
        <f t="shared" si="146"/>
        <v>234.27695813539111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1.4</v>
      </c>
      <c r="BY148" s="13">
        <f>IF('Données projet'!$A$114&gt;35,BY147+BX148-CG147,IF(A148&lt;'Données projet'!$A$114,$BV$205^A148,IF(A148='Données projet'!$A$114,'Données projet'!$B$114,BY147+BX148-CG147)))</f>
        <v>216.99999999999969</v>
      </c>
      <c r="BZ148" s="14">
        <f>BY148*VLOOKUP('Données projet'!$B$12,Paramètres!$A$1:$I$89,3,0)*VLOOKUP('Données projet'!$B$12,Paramètres!$A$1:$I$89,5,0)</f>
        <v>220.03799999999973</v>
      </c>
      <c r="CA148" s="14">
        <f t="shared" si="147"/>
        <v>54.123144749824078</v>
      </c>
      <c r="CB148" s="22">
        <f t="shared" si="118"/>
        <v>477.49732710594316</v>
      </c>
      <c r="CC148" s="62">
        <f t="shared" si="119"/>
        <v>770.83066043927647</v>
      </c>
      <c r="CD148" s="62">
        <f ca="1">AVERAGE(OFFSET($CC$3,0,0,'Données projet'!$E$12+1,1))-AVERAGE(OFFSET($H$3,0,0,'Données projet'!$E$12+1,1))</f>
        <v>360.32217613090035</v>
      </c>
      <c r="CE148" s="62">
        <f t="shared" si="148"/>
        <v>159.6134369231965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-6.2527760746888816E-13</v>
      </c>
      <c r="CU148" s="18">
        <f>CT148*VLOOKUP('Données projet'!$B$13,Paramètres!$A$1:$I$89,3,0)*VLOOKUP('Données projet'!$B$13,Paramètres!$A$1:$I$89,5,0)</f>
        <v>-2.9262992029543964E-13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246.64907095367749</v>
      </c>
      <c r="CZ148" s="62">
        <f t="shared" si="150"/>
        <v>145.34368562171613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207.03241199974599</v>
      </c>
      <c r="T149" s="62">
        <f t="shared" si="142"/>
        <v>314.188568589113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1.3572652481111136</v>
      </c>
      <c r="AA149" s="23">
        <f>EXP(-LN(2)/25)*AA148+(1-EXP(-LN(2)/25))/(LN(2)/25)*Calculateur!V149*Calculateur!X149*VLOOKUP('Données projet'!$B$9,Paramètres!$A$1:$I$89,3,0)*0.475*44/12</f>
        <v>0.39102031064588633</v>
      </c>
      <c r="AB149" s="23">
        <f>EXP(-LN(2)/2)*AB148+(1-EXP(-LN(2)/2))/(LN(2)/2)*V149*Y149*VLOOKUP('Données projet'!$B$9,Paramètres!$A$1:$I$89,3,0)*0.475*44/12</f>
        <v>1.0146146759262876E-17</v>
      </c>
      <c r="AC149" s="24">
        <f t="shared" si="111"/>
        <v>1.7482855587569999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245.25496369542458</v>
      </c>
      <c r="AO149" s="62">
        <f t="shared" si="144"/>
        <v>342.30266518164211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1.1882548278663309E-13</v>
      </c>
      <c r="BF149" s="14">
        <f t="shared" si="145"/>
        <v>1.7496137229198366E-12</v>
      </c>
      <c r="BG149" s="22">
        <f t="shared" si="115"/>
        <v>3.2541982832721012E-12</v>
      </c>
      <c r="BH149" s="62">
        <f t="shared" si="116"/>
        <v>293.33333333333655</v>
      </c>
      <c r="BI149" s="62">
        <f ca="1">AVERAGE(OFFSET($BH$3,0,0,'Données projet'!$E$11+1,1))-AVERAGE(OFFSET($H$3,0,0,'Données projet'!$E$11+1,1))</f>
        <v>377.78532142539677</v>
      </c>
      <c r="BJ149" s="62">
        <f t="shared" si="146"/>
        <v>234.27695813539111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1.4</v>
      </c>
      <c r="BY149" s="13">
        <f>IF('Données projet'!$A$114&gt;35,BY148+BX149-CG148,IF(A149&lt;'Données projet'!$A$114,$BV$205^A149,IF(A149='Données projet'!$A$114,'Données projet'!$B$114,BY148+BX149-CG148)))</f>
        <v>218.39999999999969</v>
      </c>
      <c r="BZ149" s="14">
        <f>BY149*VLOOKUP('Données projet'!$B$12,Paramètres!$A$1:$I$89,3,0)*VLOOKUP('Données projet'!$B$12,Paramètres!$A$1:$I$89,5,0)</f>
        <v>221.4575999999997</v>
      </c>
      <c r="CA149" s="14">
        <f t="shared" si="147"/>
        <v>54.431566019643213</v>
      </c>
      <c r="CB149" s="22">
        <f t="shared" si="118"/>
        <v>480.50696415087805</v>
      </c>
      <c r="CC149" s="62">
        <f t="shared" si="119"/>
        <v>773.84029748421131</v>
      </c>
      <c r="CD149" s="62">
        <f ca="1">AVERAGE(OFFSET($CC$3,0,0,'Données projet'!$E$12+1,1))-AVERAGE(OFFSET($H$3,0,0,'Données projet'!$E$12+1,1))</f>
        <v>360.32217613090035</v>
      </c>
      <c r="CE149" s="62">
        <f t="shared" si="148"/>
        <v>159.6134369231965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-6.2527760746888816E-13</v>
      </c>
      <c r="CU149" s="18">
        <f>CT149*VLOOKUP('Données projet'!$B$13,Paramètres!$A$1:$I$89,3,0)*VLOOKUP('Données projet'!$B$13,Paramètres!$A$1:$I$89,5,0)</f>
        <v>-2.9262992029543964E-13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246.64907095367749</v>
      </c>
      <c r="CZ149" s="62">
        <f t="shared" si="150"/>
        <v>145.34368562171613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207.03241199974599</v>
      </c>
      <c r="T150" s="62">
        <f t="shared" si="142"/>
        <v>314.188568589113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1.3306501044457126</v>
      </c>
      <c r="AA150" s="23">
        <f>EXP(-LN(2)/25)*AA149+(1-EXP(-LN(2)/25))/(LN(2)/25)*Calculateur!V150*Calculateur!X150*VLOOKUP('Données projet'!$B$9,Paramètres!$A$1:$I$89,3,0)*0.475*44/12</f>
        <v>0.38032783968841011</v>
      </c>
      <c r="AB150" s="23">
        <f>EXP(-LN(2)/2)*AB149+(1-EXP(-LN(2)/2))/(LN(2)/2)*V150*Y150*VLOOKUP('Données projet'!$B$9,Paramètres!$A$1:$I$89,3,0)*0.475*44/12</f>
        <v>7.1744091763886925E-18</v>
      </c>
      <c r="AC150" s="24">
        <f t="shared" si="111"/>
        <v>1.7109779441341226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245.25496369542458</v>
      </c>
      <c r="AO150" s="62">
        <f t="shared" si="144"/>
        <v>342.30266518164211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1.1882548278663309E-13</v>
      </c>
      <c r="BF150" s="14">
        <f t="shared" si="145"/>
        <v>1.7496137229198366E-12</v>
      </c>
      <c r="BG150" s="22">
        <f t="shared" si="115"/>
        <v>3.2541982832721012E-12</v>
      </c>
      <c r="BH150" s="62">
        <f t="shared" si="116"/>
        <v>293.33333333333655</v>
      </c>
      <c r="BI150" s="62">
        <f ca="1">AVERAGE(OFFSET($BH$3,0,0,'Données projet'!$E$11+1,1))-AVERAGE(OFFSET($H$3,0,0,'Données projet'!$E$11+1,1))</f>
        <v>377.78532142539677</v>
      </c>
      <c r="BJ150" s="62">
        <f t="shared" si="146"/>
        <v>234.27695813539111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1.4</v>
      </c>
      <c r="BY150" s="13">
        <f>IF('Données projet'!$A$114&gt;35,BY149+BX150-CG149,IF(A150&lt;'Données projet'!$A$114,$BV$205^A150,IF(A150='Données projet'!$A$114,'Données projet'!$B$114,BY149+BX150-CG149)))</f>
        <v>219.7999999999997</v>
      </c>
      <c r="BZ150" s="14">
        <f>BY150*VLOOKUP('Données projet'!$B$12,Paramètres!$A$1:$I$89,3,0)*VLOOKUP('Données projet'!$B$12,Paramètres!$A$1:$I$89,5,0)</f>
        <v>222.8771999999997</v>
      </c>
      <c r="CA150" s="14">
        <f t="shared" si="147"/>
        <v>54.739757243913786</v>
      </c>
      <c r="CB150" s="22">
        <f t="shared" si="118"/>
        <v>483.51620053314923</v>
      </c>
      <c r="CC150" s="62">
        <f t="shared" si="119"/>
        <v>776.84953386648249</v>
      </c>
      <c r="CD150" s="62">
        <f ca="1">AVERAGE(OFFSET($CC$3,0,0,'Données projet'!$E$12+1,1))-AVERAGE(OFFSET($H$3,0,0,'Données projet'!$E$12+1,1))</f>
        <v>360.32217613090035</v>
      </c>
      <c r="CE150" s="62">
        <f t="shared" si="148"/>
        <v>159.6134369231965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-6.2527760746888816E-13</v>
      </c>
      <c r="CU150" s="18">
        <f>CT150*VLOOKUP('Données projet'!$B$13,Paramètres!$A$1:$I$89,3,0)*VLOOKUP('Données projet'!$B$13,Paramètres!$A$1:$I$89,5,0)</f>
        <v>-2.9262992029543964E-13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246.64907095367749</v>
      </c>
      <c r="CZ150" s="62">
        <f t="shared" si="150"/>
        <v>145.34368562171613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207.03241199974599</v>
      </c>
      <c r="T151" s="62">
        <f t="shared" si="142"/>
        <v>314.188568589113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1.3045568675139554</v>
      </c>
      <c r="AA151" s="23">
        <f>EXP(-LN(2)/25)*AA150+(1-EXP(-LN(2)/25))/(LN(2)/25)*Calculateur!V151*Calculateur!X151*VLOOKUP('Données projet'!$B$9,Paramètres!$A$1:$I$89,3,0)*0.475*44/12</f>
        <v>0.36992775491155871</v>
      </c>
      <c r="AB151" s="23">
        <f>EXP(-LN(2)/2)*AB150+(1-EXP(-LN(2)/2))/(LN(2)/2)*V151*Y151*VLOOKUP('Données projet'!$B$9,Paramètres!$A$1:$I$89,3,0)*0.475*44/12</f>
        <v>5.0730733796314379E-18</v>
      </c>
      <c r="AC151" s="24">
        <f t="shared" si="111"/>
        <v>1.6744846224255141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245.25496369542458</v>
      </c>
      <c r="AO151" s="62">
        <f t="shared" si="144"/>
        <v>342.30266518164211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1.1882548278663309E-13</v>
      </c>
      <c r="BF151" s="14">
        <f t="shared" si="145"/>
        <v>1.7496137229198366E-12</v>
      </c>
      <c r="BG151" s="22">
        <f t="shared" si="115"/>
        <v>3.2541982832721012E-12</v>
      </c>
      <c r="BH151" s="62">
        <f t="shared" si="116"/>
        <v>293.33333333333655</v>
      </c>
      <c r="BI151" s="62">
        <f ca="1">AVERAGE(OFFSET($BH$3,0,0,'Données projet'!$E$11+1,1))-AVERAGE(OFFSET($H$3,0,0,'Données projet'!$E$11+1,1))</f>
        <v>377.78532142539677</v>
      </c>
      <c r="BJ151" s="62">
        <f t="shared" si="146"/>
        <v>234.27695813539111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1.4</v>
      </c>
      <c r="BY151" s="13">
        <f>IF('Données projet'!$A$114&gt;35,BY150+BX151-CG150,IF(A151&lt;'Données projet'!$A$114,$BV$205^A151,IF(A151='Données projet'!$A$114,'Données projet'!$B$114,BY150+BX151-CG150)))</f>
        <v>221.1999999999997</v>
      </c>
      <c r="BZ151" s="14">
        <f>BY151*VLOOKUP('Données projet'!$B$12,Paramètres!$A$1:$I$89,3,0)*VLOOKUP('Données projet'!$B$12,Paramètres!$A$1:$I$89,5,0)</f>
        <v>224.29679999999971</v>
      </c>
      <c r="CA151" s="14">
        <f t="shared" si="147"/>
        <v>55.047720057866123</v>
      </c>
      <c r="CB151" s="22">
        <f t="shared" si="118"/>
        <v>486.52503910078298</v>
      </c>
      <c r="CC151" s="62">
        <f t="shared" si="119"/>
        <v>779.85837243411629</v>
      </c>
      <c r="CD151" s="62">
        <f ca="1">AVERAGE(OFFSET($CC$3,0,0,'Données projet'!$E$12+1,1))-AVERAGE(OFFSET($H$3,0,0,'Données projet'!$E$12+1,1))</f>
        <v>360.32217613090035</v>
      </c>
      <c r="CE151" s="62">
        <f t="shared" si="148"/>
        <v>159.6134369231965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-6.2527760746888816E-13</v>
      </c>
      <c r="CU151" s="18">
        <f>CT151*VLOOKUP('Données projet'!$B$13,Paramètres!$A$1:$I$89,3,0)*VLOOKUP('Données projet'!$B$13,Paramètres!$A$1:$I$89,5,0)</f>
        <v>-2.9262992029543964E-13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246.64907095367749</v>
      </c>
      <c r="CZ151" s="62">
        <f t="shared" si="150"/>
        <v>145.34368562171613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207.03241199974599</v>
      </c>
      <c r="T152" s="62">
        <f t="shared" si="142"/>
        <v>314.188568589113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1.278975303043127</v>
      </c>
      <c r="AA152" s="23">
        <f>EXP(-LN(2)/25)*AA151+(1-EXP(-LN(2)/25))/(LN(2)/25)*Calculateur!V152*Calculateur!X152*VLOOKUP('Données projet'!$B$9,Paramètres!$A$1:$I$89,3,0)*0.475*44/12</f>
        <v>0.35981206099984697</v>
      </c>
      <c r="AB152" s="23">
        <f>EXP(-LN(2)/2)*AB151+(1-EXP(-LN(2)/2))/(LN(2)/2)*V152*Y152*VLOOKUP('Données projet'!$B$9,Paramètres!$A$1:$I$89,3,0)*0.475*44/12</f>
        <v>3.5872045881943462E-18</v>
      </c>
      <c r="AC152" s="24">
        <f t="shared" si="111"/>
        <v>1.638787364042974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245.25496369542458</v>
      </c>
      <c r="AO152" s="62">
        <f t="shared" si="144"/>
        <v>342.30266518164211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1.1882548278663309E-13</v>
      </c>
      <c r="BF152" s="14">
        <f t="shared" si="145"/>
        <v>1.7496137229198366E-12</v>
      </c>
      <c r="BG152" s="22">
        <f t="shared" si="115"/>
        <v>3.2541982832721012E-12</v>
      </c>
      <c r="BH152" s="62">
        <f t="shared" si="116"/>
        <v>293.33333333333655</v>
      </c>
      <c r="BI152" s="62">
        <f ca="1">AVERAGE(OFFSET($BH$3,0,0,'Données projet'!$E$11+1,1))-AVERAGE(OFFSET($H$3,0,0,'Données projet'!$E$11+1,1))</f>
        <v>377.78532142539677</v>
      </c>
      <c r="BJ152" s="62">
        <f t="shared" si="146"/>
        <v>234.27695813539111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1.4</v>
      </c>
      <c r="BY152" s="13">
        <f>IF('Données projet'!$A$114&gt;35,BY151+BX152-CG151,IF(A152&lt;'Données projet'!$A$114,$BV$205^A152,IF(A152='Données projet'!$A$114,'Données projet'!$B$114,BY151+BX152-CG151)))</f>
        <v>222.59999999999971</v>
      </c>
      <c r="BZ152" s="14">
        <f>BY152*VLOOKUP('Données projet'!$B$12,Paramètres!$A$1:$I$89,3,0)*VLOOKUP('Données projet'!$B$12,Paramètres!$A$1:$I$89,5,0)</f>
        <v>225.71639999999974</v>
      </c>
      <c r="CA152" s="14">
        <f t="shared" si="147"/>
        <v>55.355456074834237</v>
      </c>
      <c r="CB152" s="22">
        <f t="shared" si="118"/>
        <v>489.53348266366919</v>
      </c>
      <c r="CC152" s="62">
        <f t="shared" si="119"/>
        <v>782.8668159970025</v>
      </c>
      <c r="CD152" s="62">
        <f ca="1">AVERAGE(OFFSET($CC$3,0,0,'Données projet'!$E$12+1,1))-AVERAGE(OFFSET($H$3,0,0,'Données projet'!$E$12+1,1))</f>
        <v>360.32217613090035</v>
      </c>
      <c r="CE152" s="62">
        <f t="shared" si="148"/>
        <v>159.6134369231965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-6.2527760746888816E-13</v>
      </c>
      <c r="CU152" s="18">
        <f>CT152*VLOOKUP('Données projet'!$B$13,Paramètres!$A$1:$I$89,3,0)*VLOOKUP('Données projet'!$B$13,Paramètres!$A$1:$I$89,5,0)</f>
        <v>-2.9262992029543964E-13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246.64907095367749</v>
      </c>
      <c r="CZ152" s="62">
        <f t="shared" si="150"/>
        <v>145.34368562171613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207.03241199974599</v>
      </c>
      <c r="T153" s="62">
        <f t="shared" si="142"/>
        <v>314.188568589113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1.2538953774483579</v>
      </c>
      <c r="AA153" s="23">
        <f>EXP(-LN(2)/25)*AA152+(1-EXP(-LN(2)/25))/(LN(2)/25)*Calculateur!V153*Calculateur!X153*VLOOKUP('Données projet'!$B$9,Paramètres!$A$1:$I$89,3,0)*0.475*44/12</f>
        <v>0.34997298127011223</v>
      </c>
      <c r="AB153" s="23">
        <f>EXP(-LN(2)/2)*AB152+(1-EXP(-LN(2)/2))/(LN(2)/2)*V153*Y153*VLOOKUP('Données projet'!$B$9,Paramètres!$A$1:$I$89,3,0)*0.475*44/12</f>
        <v>2.5365366898157189E-18</v>
      </c>
      <c r="AC153" s="24">
        <f t="shared" si="111"/>
        <v>1.6038683587184701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245.25496369542458</v>
      </c>
      <c r="AO153" s="62">
        <f t="shared" si="144"/>
        <v>342.30266518164211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1.1882548278663309E-13</v>
      </c>
      <c r="BF153" s="14">
        <f t="shared" si="145"/>
        <v>1.7496137229198366E-12</v>
      </c>
      <c r="BG153" s="22">
        <f t="shared" si="115"/>
        <v>3.2541982832721012E-12</v>
      </c>
      <c r="BH153" s="62">
        <f t="shared" si="116"/>
        <v>293.33333333333655</v>
      </c>
      <c r="BI153" s="62">
        <f ca="1">AVERAGE(OFFSET($BH$3,0,0,'Données projet'!$E$11+1,1))-AVERAGE(OFFSET($H$3,0,0,'Données projet'!$E$11+1,1))</f>
        <v>377.78532142539677</v>
      </c>
      <c r="BJ153" s="62">
        <f t="shared" si="146"/>
        <v>234.27695813539111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224</v>
      </c>
      <c r="BW153" s="13">
        <f>VLOOKUP(A153,'Données projet'!$A$113:$I$133,9,0)</f>
        <v>1.4</v>
      </c>
      <c r="BX153" s="13">
        <f t="array" ref="BX153">INDEX(BW:BW,MIN(IF(ISNUMBER(BW153:BW349),ROW(BW153:BW349),"")))</f>
        <v>1.4</v>
      </c>
      <c r="BY153" s="13">
        <f>IF('Données projet'!$A$114&gt;35,BY152+BX153-CG152,IF(A153&lt;'Données projet'!$A$114,$BV$205^A153,IF(A153='Données projet'!$A$114,'Données projet'!$B$114,BY152+BX153-CG152)))</f>
        <v>223.99999999999972</v>
      </c>
      <c r="BZ153" s="14">
        <f>BY153*VLOOKUP('Données projet'!$B$12,Paramètres!$A$1:$I$89,3,0)*VLOOKUP('Données projet'!$B$12,Paramètres!$A$1:$I$89,5,0)</f>
        <v>227.13599999999974</v>
      </c>
      <c r="CA153" s="14">
        <f t="shared" si="147"/>
        <v>55.662966886685084</v>
      </c>
      <c r="CB153" s="22">
        <f t="shared" si="118"/>
        <v>492.54153399430942</v>
      </c>
      <c r="CC153" s="62">
        <f t="shared" si="119"/>
        <v>785.87486732764273</v>
      </c>
      <c r="CD153" s="62">
        <f ca="1">AVERAGE(OFFSET($CC$3,0,0,'Données projet'!$E$12+1,1))-AVERAGE(OFFSET($H$3,0,0,'Données projet'!$E$12+1,1))</f>
        <v>360.32217613090035</v>
      </c>
      <c r="CE153" s="62">
        <f t="shared" si="148"/>
        <v>159.6134369231965</v>
      </c>
      <c r="CF153" s="16">
        <f>IF(ISNA(VLOOKUP(A153,'Données projet'!$A$113:$I$133,3,0)),0,VLOOKUP(A153,'Données projet'!$A$113:$I$133,3,0))</f>
        <v>12</v>
      </c>
      <c r="CG153" s="16">
        <f>IF(ISNA(VLOOKUP(A153,'Données projet'!$A$113:$I$133,4,0)),0,VLOOKUP(A153,'Données projet'!$A$113:$I$133,4,0))</f>
        <v>224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-6.2527760746888816E-13</v>
      </c>
      <c r="CU153" s="18">
        <f>CT153*VLOOKUP('Données projet'!$B$13,Paramètres!$A$1:$I$89,3,0)*VLOOKUP('Données projet'!$B$13,Paramètres!$A$1:$I$89,5,0)</f>
        <v>-2.9262992029543964E-13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246.64907095367749</v>
      </c>
      <c r="CZ153" s="62">
        <f t="shared" si="150"/>
        <v>145.34368562171613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207.03241199974599</v>
      </c>
      <c r="T154" s="62">
        <f t="shared" si="142"/>
        <v>314.188568589113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1.229307253897258</v>
      </c>
      <c r="AA154" s="23">
        <f>EXP(-LN(2)/25)*AA153+(1-EXP(-LN(2)/25))/(LN(2)/25)*Calculateur!V154*Calculateur!X154*VLOOKUP('Données projet'!$B$9,Paramètres!$A$1:$I$89,3,0)*0.475*44/12</f>
        <v>0.34040295169300178</v>
      </c>
      <c r="AB154" s="23">
        <f>EXP(-LN(2)/2)*AB153+(1-EXP(-LN(2)/2))/(LN(2)/2)*V154*Y154*VLOOKUP('Données projet'!$B$9,Paramètres!$A$1:$I$89,3,0)*0.475*44/12</f>
        <v>1.7936022940971731E-18</v>
      </c>
      <c r="AC154" s="24">
        <f t="shared" ref="AC154:AC203" si="163">SUM(Z154:AB154)</f>
        <v>1.5697102055902599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245.25496369542458</v>
      </c>
      <c r="AO154" s="62">
        <f t="shared" si="144"/>
        <v>342.30266518164211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1.1882548278663309E-13</v>
      </c>
      <c r="BF154" s="14">
        <f t="shared" ref="BF154:BF203" si="167">EXP(-1.0587+0.8836*LN(BE154)+0.284)</f>
        <v>1.7496137229198366E-12</v>
      </c>
      <c r="BG154" s="22">
        <f t="shared" ref="BG154:BG203" si="168">(BE154+BF154)*0.475*44/12</f>
        <v>3.2541982832721012E-12</v>
      </c>
      <c r="BH154" s="62">
        <f t="shared" si="116"/>
        <v>293.33333333333655</v>
      </c>
      <c r="BI154" s="62">
        <f ca="1">AVERAGE(OFFSET($BH$3,0,0,'Données projet'!$E$11+1,1))-AVERAGE(OFFSET($H$3,0,0,'Données projet'!$E$11+1,1))</f>
        <v>377.78532142539677</v>
      </c>
      <c r="BJ154" s="62">
        <f t="shared" si="146"/>
        <v>234.27695813539111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-2.8421709430404007E-13</v>
      </c>
      <c r="BZ154" s="14">
        <f>BY154*VLOOKUP('Données projet'!$B$12,Paramètres!$A$1:$I$89,3,0)*VLOOKUP('Données projet'!$B$12,Paramètres!$A$1:$I$89,5,0)</f>
        <v>-2.8819613362429665E-13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360.32217613090035</v>
      </c>
      <c r="CE154" s="62">
        <f t="shared" si="148"/>
        <v>159.6134369231965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-6.2527760746888816E-13</v>
      </c>
      <c r="CU154" s="18">
        <f>CT154*VLOOKUP('Données projet'!$B$13,Paramètres!$A$1:$I$89,3,0)*VLOOKUP('Données projet'!$B$13,Paramètres!$A$1:$I$89,5,0)</f>
        <v>-2.9262992029543964E-13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246.64907095367749</v>
      </c>
      <c r="CZ154" s="62">
        <f t="shared" si="150"/>
        <v>145.34368562171613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207.03241199974599</v>
      </c>
      <c r="T155" s="62">
        <f t="shared" si="142"/>
        <v>314.188568589113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1.2052012884517207</v>
      </c>
      <c r="AA155" s="23">
        <f>EXP(-LN(2)/25)*AA154+(1-EXP(-LN(2)/25))/(LN(2)/25)*Calculateur!V155*Calculateur!X155*VLOOKUP('Données projet'!$B$9,Paramètres!$A$1:$I$89,3,0)*0.475*44/12</f>
        <v>0.33109461507794341</v>
      </c>
      <c r="AB155" s="23">
        <f>EXP(-LN(2)/2)*AB154+(1-EXP(-LN(2)/2))/(LN(2)/2)*V155*Y155*VLOOKUP('Données projet'!$B$9,Paramètres!$A$1:$I$89,3,0)*0.475*44/12</f>
        <v>1.2682683449078595E-18</v>
      </c>
      <c r="AC155" s="24">
        <f t="shared" si="163"/>
        <v>1.5362959035296642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245.25496369542458</v>
      </c>
      <c r="AO155" s="62">
        <f t="shared" si="144"/>
        <v>342.30266518164211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1.1882548278663309E-13</v>
      </c>
      <c r="BF155" s="14">
        <f t="shared" si="167"/>
        <v>1.7496137229198366E-12</v>
      </c>
      <c r="BG155" s="22">
        <f t="shared" si="168"/>
        <v>3.2541982832721012E-12</v>
      </c>
      <c r="BH155" s="62">
        <f t="shared" si="116"/>
        <v>293.33333333333655</v>
      </c>
      <c r="BI155" s="62">
        <f ca="1">AVERAGE(OFFSET($BH$3,0,0,'Données projet'!$E$11+1,1))-AVERAGE(OFFSET($H$3,0,0,'Données projet'!$E$11+1,1))</f>
        <v>377.78532142539677</v>
      </c>
      <c r="BJ155" s="62">
        <f t="shared" si="146"/>
        <v>234.27695813539111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-2.8421709430404007E-13</v>
      </c>
      <c r="BZ155" s="14">
        <f>BY155*VLOOKUP('Données projet'!$B$12,Paramètres!$A$1:$I$89,3,0)*VLOOKUP('Données projet'!$B$12,Paramètres!$A$1:$I$89,5,0)</f>
        <v>-2.8819613362429665E-13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360.32217613090035</v>
      </c>
      <c r="CE155" s="62">
        <f t="shared" si="148"/>
        <v>159.6134369231965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-6.2527760746888816E-13</v>
      </c>
      <c r="CU155" s="18">
        <f>CT155*VLOOKUP('Données projet'!$B$13,Paramètres!$A$1:$I$89,3,0)*VLOOKUP('Données projet'!$B$13,Paramètres!$A$1:$I$89,5,0)</f>
        <v>-2.9262992029543964E-13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246.64907095367749</v>
      </c>
      <c r="CZ155" s="62">
        <f t="shared" si="150"/>
        <v>145.34368562171613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207.03241199974599</v>
      </c>
      <c r="T156" s="62">
        <f t="shared" si="142"/>
        <v>314.188568589113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1.1815680262853834</v>
      </c>
      <c r="AA156" s="23">
        <f>EXP(-LN(2)/25)*AA155+(1-EXP(-LN(2)/25))/(LN(2)/25)*Calculateur!V156*Calculateur!X156*VLOOKUP('Données projet'!$B$9,Paramètres!$A$1:$I$89,3,0)*0.475*44/12</f>
        <v>0.32204081541712798</v>
      </c>
      <c r="AB156" s="23">
        <f>EXP(-LN(2)/2)*AB155+(1-EXP(-LN(2)/2))/(LN(2)/2)*V156*Y156*VLOOKUP('Données projet'!$B$9,Paramètres!$A$1:$I$89,3,0)*0.475*44/12</f>
        <v>8.9680114704858656E-19</v>
      </c>
      <c r="AC156" s="24">
        <f t="shared" si="163"/>
        <v>1.5036088417025113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245.25496369542458</v>
      </c>
      <c r="AO156" s="62">
        <f t="shared" si="144"/>
        <v>342.30266518164211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1.1882548278663309E-13</v>
      </c>
      <c r="BF156" s="14">
        <f t="shared" si="167"/>
        <v>1.7496137229198366E-12</v>
      </c>
      <c r="BG156" s="22">
        <f t="shared" si="168"/>
        <v>3.2541982832721012E-12</v>
      </c>
      <c r="BH156" s="62">
        <f t="shared" si="116"/>
        <v>293.33333333333655</v>
      </c>
      <c r="BI156" s="62">
        <f ca="1">AVERAGE(OFFSET($BH$3,0,0,'Données projet'!$E$11+1,1))-AVERAGE(OFFSET($H$3,0,0,'Données projet'!$E$11+1,1))</f>
        <v>377.78532142539677</v>
      </c>
      <c r="BJ156" s="62">
        <f t="shared" si="146"/>
        <v>234.27695813539111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-2.8421709430404007E-13</v>
      </c>
      <c r="BZ156" s="14">
        <f>BY156*VLOOKUP('Données projet'!$B$12,Paramètres!$A$1:$I$89,3,0)*VLOOKUP('Données projet'!$B$12,Paramètres!$A$1:$I$89,5,0)</f>
        <v>-2.8819613362429665E-13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360.32217613090035</v>
      </c>
      <c r="CE156" s="62">
        <f t="shared" si="148"/>
        <v>159.6134369231965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-6.2527760746888816E-13</v>
      </c>
      <c r="CU156" s="18">
        <f>CT156*VLOOKUP('Données projet'!$B$13,Paramètres!$A$1:$I$89,3,0)*VLOOKUP('Données projet'!$B$13,Paramètres!$A$1:$I$89,5,0)</f>
        <v>-2.9262992029543964E-13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246.64907095367749</v>
      </c>
      <c r="CZ156" s="62">
        <f t="shared" si="150"/>
        <v>145.34368562171613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207.03241199974599</v>
      </c>
      <c r="T157" s="62">
        <f t="shared" si="142"/>
        <v>314.188568589113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1.1583981979752613</v>
      </c>
      <c r="AA157" s="23">
        <f>EXP(-LN(2)/25)*AA156+(1-EXP(-LN(2)/25))/(LN(2)/25)*Calculateur!V157*Calculateur!X157*VLOOKUP('Données projet'!$B$9,Paramètres!$A$1:$I$89,3,0)*0.475*44/12</f>
        <v>0.31323459238415619</v>
      </c>
      <c r="AB157" s="23">
        <f>EXP(-LN(2)/2)*AB156+(1-EXP(-LN(2)/2))/(LN(2)/2)*V157*Y157*VLOOKUP('Données projet'!$B$9,Paramètres!$A$1:$I$89,3,0)*0.475*44/12</f>
        <v>6.3413417245392974E-19</v>
      </c>
      <c r="AC157" s="24">
        <f t="shared" si="163"/>
        <v>1.4716327903594175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245.25496369542458</v>
      </c>
      <c r="AO157" s="62">
        <f t="shared" si="144"/>
        <v>342.30266518164211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1.1882548278663309E-13</v>
      </c>
      <c r="BF157" s="14">
        <f t="shared" si="167"/>
        <v>1.7496137229198366E-12</v>
      </c>
      <c r="BG157" s="22">
        <f t="shared" si="168"/>
        <v>3.2541982832721012E-12</v>
      </c>
      <c r="BH157" s="62">
        <f t="shared" si="116"/>
        <v>293.33333333333655</v>
      </c>
      <c r="BI157" s="62">
        <f ca="1">AVERAGE(OFFSET($BH$3,0,0,'Données projet'!$E$11+1,1))-AVERAGE(OFFSET($H$3,0,0,'Données projet'!$E$11+1,1))</f>
        <v>377.78532142539677</v>
      </c>
      <c r="BJ157" s="62">
        <f t="shared" si="146"/>
        <v>234.27695813539111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-2.8421709430404007E-13</v>
      </c>
      <c r="BZ157" s="14">
        <f>BY157*VLOOKUP('Données projet'!$B$12,Paramètres!$A$1:$I$89,3,0)*VLOOKUP('Données projet'!$B$12,Paramètres!$A$1:$I$89,5,0)</f>
        <v>-2.8819613362429665E-13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360.32217613090035</v>
      </c>
      <c r="CE157" s="62">
        <f t="shared" si="148"/>
        <v>159.6134369231965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-6.2527760746888816E-13</v>
      </c>
      <c r="CU157" s="18">
        <f>CT157*VLOOKUP('Données projet'!$B$13,Paramètres!$A$1:$I$89,3,0)*VLOOKUP('Données projet'!$B$13,Paramètres!$A$1:$I$89,5,0)</f>
        <v>-2.9262992029543964E-13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246.64907095367749</v>
      </c>
      <c r="CZ157" s="62">
        <f t="shared" si="150"/>
        <v>145.34368562171613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207.03241199974599</v>
      </c>
      <c r="T158" s="62">
        <f t="shared" si="142"/>
        <v>314.188568589113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1.1356827158661009</v>
      </c>
      <c r="AA158" s="23">
        <f>EXP(-LN(2)/25)*AA157+(1-EXP(-LN(2)/25))/(LN(2)/25)*Calculateur!V158*Calculateur!X158*VLOOKUP('Données projet'!$B$9,Paramètres!$A$1:$I$89,3,0)*0.475*44/12</f>
        <v>0.30466917598312016</v>
      </c>
      <c r="AB158" s="23">
        <f>EXP(-LN(2)/2)*AB157+(1-EXP(-LN(2)/2))/(LN(2)/2)*V158*Y158*VLOOKUP('Données projet'!$B$9,Paramètres!$A$1:$I$89,3,0)*0.475*44/12</f>
        <v>4.4840057352429328E-19</v>
      </c>
      <c r="AC158" s="24">
        <f t="shared" si="163"/>
        <v>1.4403518918492211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245.25496369542458</v>
      </c>
      <c r="AO158" s="62">
        <f t="shared" si="144"/>
        <v>342.30266518164211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1.1882548278663309E-13</v>
      </c>
      <c r="BF158" s="14">
        <f t="shared" si="167"/>
        <v>1.7496137229198366E-12</v>
      </c>
      <c r="BG158" s="22">
        <f t="shared" si="168"/>
        <v>3.2541982832721012E-12</v>
      </c>
      <c r="BH158" s="62">
        <f t="shared" si="116"/>
        <v>293.33333333333655</v>
      </c>
      <c r="BI158" s="62">
        <f ca="1">AVERAGE(OFFSET($BH$3,0,0,'Données projet'!$E$11+1,1))-AVERAGE(OFFSET($H$3,0,0,'Données projet'!$E$11+1,1))</f>
        <v>377.78532142539677</v>
      </c>
      <c r="BJ158" s="62">
        <f t="shared" si="146"/>
        <v>234.27695813539111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-2.8421709430404007E-13</v>
      </c>
      <c r="BZ158" s="14">
        <f>BY158*VLOOKUP('Données projet'!$B$12,Paramètres!$A$1:$I$89,3,0)*VLOOKUP('Données projet'!$B$12,Paramètres!$A$1:$I$89,5,0)</f>
        <v>-2.8819613362429665E-13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360.32217613090035</v>
      </c>
      <c r="CE158" s="62">
        <f t="shared" si="148"/>
        <v>159.6134369231965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-6.2527760746888816E-13</v>
      </c>
      <c r="CU158" s="18">
        <f>CT158*VLOOKUP('Données projet'!$B$13,Paramètres!$A$1:$I$89,3,0)*VLOOKUP('Données projet'!$B$13,Paramètres!$A$1:$I$89,5,0)</f>
        <v>-2.9262992029543964E-13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246.64907095367749</v>
      </c>
      <c r="CZ158" s="62">
        <f t="shared" si="150"/>
        <v>145.34368562171613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207.03241199974599</v>
      </c>
      <c r="T159" s="62">
        <f t="shared" si="142"/>
        <v>314.188568589113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1.1134126705060252</v>
      </c>
      <c r="AA159" s="23">
        <f>EXP(-LN(2)/25)*AA158+(1-EXP(-LN(2)/25))/(LN(2)/25)*Calculateur!V159*Calculateur!X159*VLOOKUP('Données projet'!$B$9,Paramètres!$A$1:$I$89,3,0)*0.475*44/12</f>
        <v>0.29633798134400607</v>
      </c>
      <c r="AB159" s="23">
        <f>EXP(-LN(2)/2)*AB158+(1-EXP(-LN(2)/2))/(LN(2)/2)*V159*Y159*VLOOKUP('Données projet'!$B$9,Paramètres!$A$1:$I$89,3,0)*0.475*44/12</f>
        <v>3.1706708622696487E-19</v>
      </c>
      <c r="AC159" s="24">
        <f t="shared" si="163"/>
        <v>1.4097506518500313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245.25496369542458</v>
      </c>
      <c r="AO159" s="62">
        <f t="shared" si="144"/>
        <v>342.30266518164211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1.1882548278663309E-13</v>
      </c>
      <c r="BF159" s="14">
        <f t="shared" si="167"/>
        <v>1.7496137229198366E-12</v>
      </c>
      <c r="BG159" s="22">
        <f t="shared" si="168"/>
        <v>3.2541982832721012E-12</v>
      </c>
      <c r="BH159" s="62">
        <f t="shared" si="116"/>
        <v>293.33333333333655</v>
      </c>
      <c r="BI159" s="62">
        <f ca="1">AVERAGE(OFFSET($BH$3,0,0,'Données projet'!$E$11+1,1))-AVERAGE(OFFSET($H$3,0,0,'Données projet'!$E$11+1,1))</f>
        <v>377.78532142539677</v>
      </c>
      <c r="BJ159" s="62">
        <f t="shared" si="146"/>
        <v>234.27695813539111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-2.8421709430404007E-13</v>
      </c>
      <c r="BZ159" s="14">
        <f>BY159*VLOOKUP('Données projet'!$B$12,Paramètres!$A$1:$I$89,3,0)*VLOOKUP('Données projet'!$B$12,Paramètres!$A$1:$I$89,5,0)</f>
        <v>-2.8819613362429665E-13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360.32217613090035</v>
      </c>
      <c r="CE159" s="62">
        <f t="shared" si="148"/>
        <v>159.6134369231965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-6.2527760746888816E-13</v>
      </c>
      <c r="CU159" s="18">
        <f>CT159*VLOOKUP('Données projet'!$B$13,Paramètres!$A$1:$I$89,3,0)*VLOOKUP('Données projet'!$B$13,Paramètres!$A$1:$I$89,5,0)</f>
        <v>-2.9262992029543964E-13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246.64907095367749</v>
      </c>
      <c r="CZ159" s="62">
        <f t="shared" si="150"/>
        <v>145.34368562171613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207.03241199974599</v>
      </c>
      <c r="T160" s="62">
        <f t="shared" si="142"/>
        <v>314.188568589113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1.0915793271520742</v>
      </c>
      <c r="AA160" s="23">
        <f>EXP(-LN(2)/25)*AA159+(1-EXP(-LN(2)/25))/(LN(2)/25)*Calculateur!V160*Calculateur!X160*VLOOKUP('Données projet'!$B$9,Paramètres!$A$1:$I$89,3,0)*0.475*44/12</f>
        <v>0.28823460366041709</v>
      </c>
      <c r="AB160" s="23">
        <f>EXP(-LN(2)/2)*AB159+(1-EXP(-LN(2)/2))/(LN(2)/2)*V160*Y160*VLOOKUP('Données projet'!$B$9,Paramètres!$A$1:$I$89,3,0)*0.475*44/12</f>
        <v>2.2420028676214664E-19</v>
      </c>
      <c r="AC160" s="24">
        <f t="shared" si="163"/>
        <v>1.3798139308124913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245.25496369542458</v>
      </c>
      <c r="AO160" s="62">
        <f t="shared" si="144"/>
        <v>342.30266518164211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1.1882548278663309E-13</v>
      </c>
      <c r="BF160" s="14">
        <f t="shared" si="167"/>
        <v>1.7496137229198366E-12</v>
      </c>
      <c r="BG160" s="22">
        <f t="shared" si="168"/>
        <v>3.2541982832721012E-12</v>
      </c>
      <c r="BH160" s="62">
        <f t="shared" si="116"/>
        <v>293.33333333333655</v>
      </c>
      <c r="BI160" s="62">
        <f ca="1">AVERAGE(OFFSET($BH$3,0,0,'Données projet'!$E$11+1,1))-AVERAGE(OFFSET($H$3,0,0,'Données projet'!$E$11+1,1))</f>
        <v>377.78532142539677</v>
      </c>
      <c r="BJ160" s="62">
        <f t="shared" si="146"/>
        <v>234.27695813539111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-2.8421709430404007E-13</v>
      </c>
      <c r="BZ160" s="14">
        <f>BY160*VLOOKUP('Données projet'!$B$12,Paramètres!$A$1:$I$89,3,0)*VLOOKUP('Données projet'!$B$12,Paramètres!$A$1:$I$89,5,0)</f>
        <v>-2.8819613362429665E-13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360.32217613090035</v>
      </c>
      <c r="CE160" s="62">
        <f t="shared" si="148"/>
        <v>159.6134369231965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-6.2527760746888816E-13</v>
      </c>
      <c r="CU160" s="18">
        <f>CT160*VLOOKUP('Données projet'!$B$13,Paramètres!$A$1:$I$89,3,0)*VLOOKUP('Données projet'!$B$13,Paramètres!$A$1:$I$89,5,0)</f>
        <v>-2.9262992029543964E-13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246.64907095367749</v>
      </c>
      <c r="CZ160" s="62">
        <f t="shared" si="150"/>
        <v>145.34368562171613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207.03241199974599</v>
      </c>
      <c r="T161" s="62">
        <f t="shared" si="142"/>
        <v>314.188568589113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1.0701741223442696</v>
      </c>
      <c r="AA161" s="23">
        <f>EXP(-LN(2)/25)*AA160+(1-EXP(-LN(2)/25))/(LN(2)/25)*Calculateur!V161*Calculateur!X161*VLOOKUP('Données projet'!$B$9,Paramètres!$A$1:$I$89,3,0)*0.475*44/12</f>
        <v>0.28035281326572392</v>
      </c>
      <c r="AB161" s="23">
        <f>EXP(-LN(2)/2)*AB160+(1-EXP(-LN(2)/2))/(LN(2)/2)*V161*Y161*VLOOKUP('Données projet'!$B$9,Paramètres!$A$1:$I$89,3,0)*0.475*44/12</f>
        <v>1.5853354311348243E-19</v>
      </c>
      <c r="AC161" s="24">
        <f t="shared" si="163"/>
        <v>1.3505269356099934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245.25496369542458</v>
      </c>
      <c r="AO161" s="62">
        <f t="shared" si="144"/>
        <v>342.30266518164211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1.1882548278663309E-13</v>
      </c>
      <c r="BF161" s="14">
        <f t="shared" si="167"/>
        <v>1.7496137229198366E-12</v>
      </c>
      <c r="BG161" s="22">
        <f t="shared" si="168"/>
        <v>3.2541982832721012E-12</v>
      </c>
      <c r="BH161" s="62">
        <f t="shared" si="116"/>
        <v>293.33333333333655</v>
      </c>
      <c r="BI161" s="62">
        <f ca="1">AVERAGE(OFFSET($BH$3,0,0,'Données projet'!$E$11+1,1))-AVERAGE(OFFSET($H$3,0,0,'Données projet'!$E$11+1,1))</f>
        <v>377.78532142539677</v>
      </c>
      <c r="BJ161" s="62">
        <f t="shared" si="146"/>
        <v>234.27695813539111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-2.8421709430404007E-13</v>
      </c>
      <c r="BZ161" s="14">
        <f>BY161*VLOOKUP('Données projet'!$B$12,Paramètres!$A$1:$I$89,3,0)*VLOOKUP('Données projet'!$B$12,Paramètres!$A$1:$I$89,5,0)</f>
        <v>-2.8819613362429665E-13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360.32217613090035</v>
      </c>
      <c r="CE161" s="62">
        <f t="shared" si="148"/>
        <v>159.6134369231965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-6.2527760746888816E-13</v>
      </c>
      <c r="CU161" s="18">
        <f>CT161*VLOOKUP('Données projet'!$B$13,Paramètres!$A$1:$I$89,3,0)*VLOOKUP('Données projet'!$B$13,Paramètres!$A$1:$I$89,5,0)</f>
        <v>-2.9262992029543964E-13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246.64907095367749</v>
      </c>
      <c r="CZ161" s="62">
        <f t="shared" si="150"/>
        <v>145.34368562171613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207.03241199974599</v>
      </c>
      <c r="T162" s="62">
        <f t="shared" si="142"/>
        <v>314.188568589113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1.0491886605468601</v>
      </c>
      <c r="AA162" s="23">
        <f>EXP(-LN(2)/25)*AA161+(1-EXP(-LN(2)/25))/(LN(2)/25)*Calculateur!V162*Calculateur!X162*VLOOKUP('Données projet'!$B$9,Paramètres!$A$1:$I$89,3,0)*0.475*44/12</f>
        <v>0.27268655084385901</v>
      </c>
      <c r="AB162" s="23">
        <f>EXP(-LN(2)/2)*AB161+(1-EXP(-LN(2)/2))/(LN(2)/2)*V162*Y162*VLOOKUP('Données projet'!$B$9,Paramètres!$A$1:$I$89,3,0)*0.475*44/12</f>
        <v>1.1210014338107332E-19</v>
      </c>
      <c r="AC162" s="24">
        <f t="shared" si="163"/>
        <v>1.3218752113907191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245.25496369542458</v>
      </c>
      <c r="AO162" s="62">
        <f t="shared" si="144"/>
        <v>342.30266518164211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1.1882548278663309E-13</v>
      </c>
      <c r="BF162" s="14">
        <f t="shared" si="167"/>
        <v>1.7496137229198366E-12</v>
      </c>
      <c r="BG162" s="22">
        <f t="shared" si="168"/>
        <v>3.2541982832721012E-12</v>
      </c>
      <c r="BH162" s="62">
        <f t="shared" si="116"/>
        <v>293.33333333333655</v>
      </c>
      <c r="BI162" s="62">
        <f ca="1">AVERAGE(OFFSET($BH$3,0,0,'Données projet'!$E$11+1,1))-AVERAGE(OFFSET($H$3,0,0,'Données projet'!$E$11+1,1))</f>
        <v>377.78532142539677</v>
      </c>
      <c r="BJ162" s="62">
        <f t="shared" si="146"/>
        <v>234.27695813539111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-2.8421709430404007E-13</v>
      </c>
      <c r="BZ162" s="14">
        <f>BY162*VLOOKUP('Données projet'!$B$12,Paramètres!$A$1:$I$89,3,0)*VLOOKUP('Données projet'!$B$12,Paramètres!$A$1:$I$89,5,0)</f>
        <v>-2.8819613362429665E-13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360.32217613090035</v>
      </c>
      <c r="CE162" s="62">
        <f t="shared" si="148"/>
        <v>159.6134369231965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-6.2527760746888816E-13</v>
      </c>
      <c r="CU162" s="18">
        <f>CT162*VLOOKUP('Données projet'!$B$13,Paramètres!$A$1:$I$89,3,0)*VLOOKUP('Données projet'!$B$13,Paramètres!$A$1:$I$89,5,0)</f>
        <v>-2.9262992029543964E-13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246.64907095367749</v>
      </c>
      <c r="CZ162" s="62">
        <f t="shared" si="150"/>
        <v>145.34368562171613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207.03241199974599</v>
      </c>
      <c r="T163" s="62">
        <f t="shared" si="142"/>
        <v>314.188568589113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1.02861471085543</v>
      </c>
      <c r="AA163" s="23">
        <f>EXP(-LN(2)/25)*AA162+(1-EXP(-LN(2)/25))/(LN(2)/25)*Calculateur!V163*Calculateur!X163*VLOOKUP('Données projet'!$B$9,Paramètres!$A$1:$I$89,3,0)*0.475*44/12</f>
        <v>0.26522992277107121</v>
      </c>
      <c r="AB163" s="23">
        <f>EXP(-LN(2)/2)*AB162+(1-EXP(-LN(2)/2))/(LN(2)/2)*V163*Y163*VLOOKUP('Données projet'!$B$9,Paramètres!$A$1:$I$89,3,0)*0.475*44/12</f>
        <v>7.9266771556741217E-20</v>
      </c>
      <c r="AC163" s="24">
        <f t="shared" si="163"/>
        <v>1.2938446336265013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245.25496369542458</v>
      </c>
      <c r="AO163" s="62">
        <f t="shared" si="144"/>
        <v>342.30266518164211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1.1882548278663309E-13</v>
      </c>
      <c r="BF163" s="14">
        <f t="shared" si="167"/>
        <v>1.7496137229198366E-12</v>
      </c>
      <c r="BG163" s="22">
        <f t="shared" si="168"/>
        <v>3.2541982832721012E-12</v>
      </c>
      <c r="BH163" s="62">
        <f t="shared" si="116"/>
        <v>293.33333333333655</v>
      </c>
      <c r="BI163" s="62">
        <f ca="1">AVERAGE(OFFSET($BH$3,0,0,'Données projet'!$E$11+1,1))-AVERAGE(OFFSET($H$3,0,0,'Données projet'!$E$11+1,1))</f>
        <v>377.78532142539677</v>
      </c>
      <c r="BJ163" s="62">
        <f t="shared" si="146"/>
        <v>234.27695813539111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-2.8421709430404007E-13</v>
      </c>
      <c r="BZ163" s="14">
        <f>BY163*VLOOKUP('Données projet'!$B$12,Paramètres!$A$1:$I$89,3,0)*VLOOKUP('Données projet'!$B$12,Paramètres!$A$1:$I$89,5,0)</f>
        <v>-2.8819613362429665E-13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360.32217613090035</v>
      </c>
      <c r="CE163" s="62">
        <f t="shared" si="148"/>
        <v>159.6134369231965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-6.2527760746888816E-13</v>
      </c>
      <c r="CU163" s="18">
        <f>CT163*VLOOKUP('Données projet'!$B$13,Paramètres!$A$1:$I$89,3,0)*VLOOKUP('Données projet'!$B$13,Paramètres!$A$1:$I$89,5,0)</f>
        <v>-2.9262992029543964E-13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246.64907095367749</v>
      </c>
      <c r="CZ163" s="62">
        <f t="shared" si="150"/>
        <v>145.34368562171613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207.03241199974599</v>
      </c>
      <c r="T164" s="62">
        <f t="shared" si="142"/>
        <v>314.188568589113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1.0084442037685788</v>
      </c>
      <c r="AA164" s="23">
        <f>EXP(-LN(2)/25)*AA163+(1-EXP(-LN(2)/25))/(LN(2)/25)*Calculateur!V164*Calculateur!X164*VLOOKUP('Données projet'!$B$9,Paramètres!$A$1:$I$89,3,0)*0.475*44/12</f>
        <v>0.2579771965850608</v>
      </c>
      <c r="AB164" s="23">
        <f>EXP(-LN(2)/2)*AB163+(1-EXP(-LN(2)/2))/(LN(2)/2)*V164*Y164*VLOOKUP('Données projet'!$B$9,Paramètres!$A$1:$I$89,3,0)*0.475*44/12</f>
        <v>5.605007169053666E-20</v>
      </c>
      <c r="AC164" s="24">
        <f t="shared" si="163"/>
        <v>1.2664214003536396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245.25496369542458</v>
      </c>
      <c r="AO164" s="62">
        <f t="shared" si="144"/>
        <v>342.30266518164211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1.1882548278663309E-13</v>
      </c>
      <c r="BF164" s="14">
        <f t="shared" si="167"/>
        <v>1.7496137229198366E-12</v>
      </c>
      <c r="BG164" s="22">
        <f t="shared" si="168"/>
        <v>3.2541982832721012E-12</v>
      </c>
      <c r="BH164" s="62">
        <f t="shared" si="116"/>
        <v>293.33333333333655</v>
      </c>
      <c r="BI164" s="62">
        <f ca="1">AVERAGE(OFFSET($BH$3,0,0,'Données projet'!$E$11+1,1))-AVERAGE(OFFSET($H$3,0,0,'Données projet'!$E$11+1,1))</f>
        <v>377.78532142539677</v>
      </c>
      <c r="BJ164" s="62">
        <f t="shared" si="146"/>
        <v>234.27695813539111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-2.8421709430404007E-13</v>
      </c>
      <c r="BZ164" s="14">
        <f>BY164*VLOOKUP('Données projet'!$B$12,Paramètres!$A$1:$I$89,3,0)*VLOOKUP('Données projet'!$B$12,Paramètres!$A$1:$I$89,5,0)</f>
        <v>-2.8819613362429665E-13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360.32217613090035</v>
      </c>
      <c r="CE164" s="62">
        <f t="shared" si="148"/>
        <v>159.6134369231965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-6.2527760746888816E-13</v>
      </c>
      <c r="CU164" s="18">
        <f>CT164*VLOOKUP('Données projet'!$B$13,Paramètres!$A$1:$I$89,3,0)*VLOOKUP('Données projet'!$B$13,Paramètres!$A$1:$I$89,5,0)</f>
        <v>-2.9262992029543964E-13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246.64907095367749</v>
      </c>
      <c r="CZ164" s="62">
        <f t="shared" si="150"/>
        <v>145.34368562171613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207.03241199974599</v>
      </c>
      <c r="T165" s="62">
        <f t="shared" si="142"/>
        <v>314.188568589113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0.98866922802290613</v>
      </c>
      <c r="AA165" s="23">
        <f>EXP(-LN(2)/25)*AA164+(1-EXP(-LN(2)/25))/(LN(2)/25)*Calculateur!V165*Calculateur!X165*VLOOKUP('Données projet'!$B$9,Paramètres!$A$1:$I$89,3,0)*0.475*44/12</f>
        <v>0.25092279657801114</v>
      </c>
      <c r="AB165" s="23">
        <f>EXP(-LN(2)/2)*AB164+(1-EXP(-LN(2)/2))/(LN(2)/2)*V165*Y165*VLOOKUP('Données projet'!$B$9,Paramètres!$A$1:$I$89,3,0)*0.475*44/12</f>
        <v>3.9633385778370609E-20</v>
      </c>
      <c r="AC165" s="24">
        <f t="shared" si="163"/>
        <v>1.2395920246009173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245.25496369542458</v>
      </c>
      <c r="AO165" s="62">
        <f t="shared" si="144"/>
        <v>342.30266518164211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1.1882548278663309E-13</v>
      </c>
      <c r="BF165" s="14">
        <f t="shared" si="167"/>
        <v>1.7496137229198366E-12</v>
      </c>
      <c r="BG165" s="22">
        <f t="shared" si="168"/>
        <v>3.2541982832721012E-12</v>
      </c>
      <c r="BH165" s="62">
        <f t="shared" si="116"/>
        <v>293.33333333333655</v>
      </c>
      <c r="BI165" s="62">
        <f ca="1">AVERAGE(OFFSET($BH$3,0,0,'Données projet'!$E$11+1,1))-AVERAGE(OFFSET($H$3,0,0,'Données projet'!$E$11+1,1))</f>
        <v>377.78532142539677</v>
      </c>
      <c r="BJ165" s="62">
        <f t="shared" si="146"/>
        <v>234.27695813539111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-2.8421709430404007E-13</v>
      </c>
      <c r="BZ165" s="14">
        <f>BY165*VLOOKUP('Données projet'!$B$12,Paramètres!$A$1:$I$89,3,0)*VLOOKUP('Données projet'!$B$12,Paramètres!$A$1:$I$89,5,0)</f>
        <v>-2.8819613362429665E-13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360.32217613090035</v>
      </c>
      <c r="CE165" s="62">
        <f t="shared" si="148"/>
        <v>159.6134369231965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-6.2527760746888816E-13</v>
      </c>
      <c r="CU165" s="18">
        <f>CT165*VLOOKUP('Données projet'!$B$13,Paramètres!$A$1:$I$89,3,0)*VLOOKUP('Données projet'!$B$13,Paramètres!$A$1:$I$89,5,0)</f>
        <v>-2.9262992029543964E-13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246.64907095367749</v>
      </c>
      <c r="CZ165" s="62">
        <f t="shared" si="150"/>
        <v>145.34368562171613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207.03241199974599</v>
      </c>
      <c r="T166" s="62">
        <f t="shared" si="142"/>
        <v>314.188568589113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0.96928202749006187</v>
      </c>
      <c r="AA166" s="23">
        <f>EXP(-LN(2)/25)*AA165+(1-EXP(-LN(2)/25))/(LN(2)/25)*Calculateur!V166*Calculateur!X166*VLOOKUP('Données projet'!$B$9,Paramètres!$A$1:$I$89,3,0)*0.475*44/12</f>
        <v>0.24406129951012906</v>
      </c>
      <c r="AB166" s="23">
        <f>EXP(-LN(2)/2)*AB165+(1-EXP(-LN(2)/2))/(LN(2)/2)*V166*Y166*VLOOKUP('Données projet'!$B$9,Paramètres!$A$1:$I$89,3,0)*0.475*44/12</f>
        <v>2.802503584526833E-20</v>
      </c>
      <c r="AC166" s="24">
        <f t="shared" si="163"/>
        <v>1.213343327000191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245.25496369542458</v>
      </c>
      <c r="AO166" s="62">
        <f t="shared" si="144"/>
        <v>342.30266518164211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1.1882548278663309E-13</v>
      </c>
      <c r="BF166" s="14">
        <f t="shared" si="167"/>
        <v>1.7496137229198366E-12</v>
      </c>
      <c r="BG166" s="22">
        <f t="shared" si="168"/>
        <v>3.2541982832721012E-12</v>
      </c>
      <c r="BH166" s="62">
        <f t="shared" si="116"/>
        <v>293.33333333333655</v>
      </c>
      <c r="BI166" s="62">
        <f ca="1">AVERAGE(OFFSET($BH$3,0,0,'Données projet'!$E$11+1,1))-AVERAGE(OFFSET($H$3,0,0,'Données projet'!$E$11+1,1))</f>
        <v>377.78532142539677</v>
      </c>
      <c r="BJ166" s="62">
        <f t="shared" si="146"/>
        <v>234.27695813539111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-2.8421709430404007E-13</v>
      </c>
      <c r="BZ166" s="14">
        <f>BY166*VLOOKUP('Données projet'!$B$12,Paramètres!$A$1:$I$89,3,0)*VLOOKUP('Données projet'!$B$12,Paramètres!$A$1:$I$89,5,0)</f>
        <v>-2.8819613362429665E-13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360.32217613090035</v>
      </c>
      <c r="CE166" s="62">
        <f t="shared" si="148"/>
        <v>159.6134369231965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-6.2527760746888816E-13</v>
      </c>
      <c r="CU166" s="18">
        <f>CT166*VLOOKUP('Données projet'!$B$13,Paramètres!$A$1:$I$89,3,0)*VLOOKUP('Données projet'!$B$13,Paramètres!$A$1:$I$89,5,0)</f>
        <v>-2.9262992029543964E-13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246.64907095367749</v>
      </c>
      <c r="CZ166" s="62">
        <f t="shared" si="150"/>
        <v>145.34368562171613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207.03241199974599</v>
      </c>
      <c r="T167" s="62">
        <f t="shared" si="142"/>
        <v>314.188568589113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0.950274998134642</v>
      </c>
      <c r="AA167" s="23">
        <f>EXP(-LN(2)/25)*AA166+(1-EXP(-LN(2)/25))/(LN(2)/25)*Calculateur!V167*Calculateur!X167*VLOOKUP('Données projet'!$B$9,Paramètres!$A$1:$I$89,3,0)*0.475*44/12</f>
        <v>0.23738743044039864</v>
      </c>
      <c r="AB167" s="23">
        <f>EXP(-LN(2)/2)*AB166+(1-EXP(-LN(2)/2))/(LN(2)/2)*V167*Y167*VLOOKUP('Données projet'!$B$9,Paramètres!$A$1:$I$89,3,0)*0.475*44/12</f>
        <v>1.9816692889185304E-20</v>
      </c>
      <c r="AC167" s="24">
        <f t="shared" si="163"/>
        <v>1.1876624285750406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245.25496369542458</v>
      </c>
      <c r="AO167" s="62">
        <f t="shared" si="144"/>
        <v>342.30266518164211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1.1882548278663309E-13</v>
      </c>
      <c r="BF167" s="14">
        <f t="shared" si="167"/>
        <v>1.7496137229198366E-12</v>
      </c>
      <c r="BG167" s="22">
        <f t="shared" si="168"/>
        <v>3.2541982832721012E-12</v>
      </c>
      <c r="BH167" s="62">
        <f t="shared" si="116"/>
        <v>293.33333333333655</v>
      </c>
      <c r="BI167" s="62">
        <f ca="1">AVERAGE(OFFSET($BH$3,0,0,'Données projet'!$E$11+1,1))-AVERAGE(OFFSET($H$3,0,0,'Données projet'!$E$11+1,1))</f>
        <v>377.78532142539677</v>
      </c>
      <c r="BJ167" s="62">
        <f t="shared" si="146"/>
        <v>234.27695813539111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-2.8421709430404007E-13</v>
      </c>
      <c r="BZ167" s="14">
        <f>BY167*VLOOKUP('Données projet'!$B$12,Paramètres!$A$1:$I$89,3,0)*VLOOKUP('Données projet'!$B$12,Paramètres!$A$1:$I$89,5,0)</f>
        <v>-2.8819613362429665E-13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360.32217613090035</v>
      </c>
      <c r="CE167" s="62">
        <f t="shared" si="148"/>
        <v>159.6134369231965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-6.2527760746888816E-13</v>
      </c>
      <c r="CU167" s="18">
        <f>CT167*VLOOKUP('Données projet'!$B$13,Paramètres!$A$1:$I$89,3,0)*VLOOKUP('Données projet'!$B$13,Paramètres!$A$1:$I$89,5,0)</f>
        <v>-2.9262992029543964E-13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246.64907095367749</v>
      </c>
      <c r="CZ167" s="62">
        <f t="shared" si="150"/>
        <v>145.34368562171613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207.03241199974599</v>
      </c>
      <c r="T168" s="62">
        <f t="shared" si="142"/>
        <v>314.188568589113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0.9316406850317388</v>
      </c>
      <c r="AA168" s="23">
        <f>EXP(-LN(2)/25)*AA167+(1-EXP(-LN(2)/25))/(LN(2)/25)*Calculateur!V168*Calculateur!X168*VLOOKUP('Données projet'!$B$9,Paramètres!$A$1:$I$89,3,0)*0.475*44/12</f>
        <v>0.23089605867134352</v>
      </c>
      <c r="AB168" s="23">
        <f>EXP(-LN(2)/2)*AB167+(1-EXP(-LN(2)/2))/(LN(2)/2)*V168*Y168*VLOOKUP('Données projet'!$B$9,Paramètres!$A$1:$I$89,3,0)*0.475*44/12</f>
        <v>1.4012517922634165E-20</v>
      </c>
      <c r="AC168" s="24">
        <f t="shared" si="163"/>
        <v>1.1625367437030822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245.25496369542458</v>
      </c>
      <c r="AO168" s="62">
        <f t="shared" si="144"/>
        <v>342.30266518164211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1.1882548278663309E-13</v>
      </c>
      <c r="BF168" s="14">
        <f t="shared" si="167"/>
        <v>1.7496137229198366E-12</v>
      </c>
      <c r="BG168" s="22">
        <f t="shared" si="168"/>
        <v>3.2541982832721012E-12</v>
      </c>
      <c r="BH168" s="62">
        <f t="shared" si="116"/>
        <v>293.33333333333655</v>
      </c>
      <c r="BI168" s="62">
        <f ca="1">AVERAGE(OFFSET($BH$3,0,0,'Données projet'!$E$11+1,1))-AVERAGE(OFFSET($H$3,0,0,'Données projet'!$E$11+1,1))</f>
        <v>377.78532142539677</v>
      </c>
      <c r="BJ168" s="62">
        <f t="shared" si="146"/>
        <v>234.27695813539111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-2.8421709430404007E-13</v>
      </c>
      <c r="BZ168" s="14">
        <f>BY168*VLOOKUP('Données projet'!$B$12,Paramètres!$A$1:$I$89,3,0)*VLOOKUP('Données projet'!$B$12,Paramètres!$A$1:$I$89,5,0)</f>
        <v>-2.8819613362429665E-13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360.32217613090035</v>
      </c>
      <c r="CE168" s="62">
        <f t="shared" si="148"/>
        <v>159.6134369231965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-6.2527760746888816E-13</v>
      </c>
      <c r="CU168" s="18">
        <f>CT168*VLOOKUP('Données projet'!$B$13,Paramètres!$A$1:$I$89,3,0)*VLOOKUP('Données projet'!$B$13,Paramètres!$A$1:$I$89,5,0)</f>
        <v>-2.9262992029543964E-13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246.64907095367749</v>
      </c>
      <c r="CZ168" s="62">
        <f t="shared" si="150"/>
        <v>145.34368562171613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207.03241199974599</v>
      </c>
      <c r="T169" s="62">
        <f t="shared" si="142"/>
        <v>314.188568589113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0.91337177944297476</v>
      </c>
      <c r="AA169" s="23">
        <f>EXP(-LN(2)/25)*AA168+(1-EXP(-LN(2)/25))/(LN(2)/25)*Calculateur!V169*Calculateur!X169*VLOOKUP('Données projet'!$B$9,Paramètres!$A$1:$I$89,3,0)*0.475*44/12</f>
        <v>0.22458219380467964</v>
      </c>
      <c r="AB169" s="23">
        <f>EXP(-LN(2)/2)*AB168+(1-EXP(-LN(2)/2))/(LN(2)/2)*V169*Y169*VLOOKUP('Données projet'!$B$9,Paramètres!$A$1:$I$89,3,0)*0.475*44/12</f>
        <v>9.9083464445926521E-21</v>
      </c>
      <c r="AC169" s="24">
        <f t="shared" si="163"/>
        <v>1.1379539732476545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245.25496369542458</v>
      </c>
      <c r="AO169" s="62">
        <f t="shared" si="144"/>
        <v>342.30266518164211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1.1882548278663309E-13</v>
      </c>
      <c r="BF169" s="14">
        <f t="shared" si="167"/>
        <v>1.7496137229198366E-12</v>
      </c>
      <c r="BG169" s="22">
        <f t="shared" si="168"/>
        <v>3.2541982832721012E-12</v>
      </c>
      <c r="BH169" s="62">
        <f t="shared" si="116"/>
        <v>293.33333333333655</v>
      </c>
      <c r="BI169" s="62">
        <f ca="1">AVERAGE(OFFSET($BH$3,0,0,'Données projet'!$E$11+1,1))-AVERAGE(OFFSET($H$3,0,0,'Données projet'!$E$11+1,1))</f>
        <v>377.78532142539677</v>
      </c>
      <c r="BJ169" s="62">
        <f t="shared" si="146"/>
        <v>234.27695813539111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-2.8421709430404007E-13</v>
      </c>
      <c r="BZ169" s="14">
        <f>BY169*VLOOKUP('Données projet'!$B$12,Paramètres!$A$1:$I$89,3,0)*VLOOKUP('Données projet'!$B$12,Paramètres!$A$1:$I$89,5,0)</f>
        <v>-2.8819613362429665E-13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360.32217613090035</v>
      </c>
      <c r="CE169" s="62">
        <f t="shared" si="148"/>
        <v>159.6134369231965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-6.2527760746888816E-13</v>
      </c>
      <c r="CU169" s="18">
        <f>CT169*VLOOKUP('Données projet'!$B$13,Paramètres!$A$1:$I$89,3,0)*VLOOKUP('Données projet'!$B$13,Paramètres!$A$1:$I$89,5,0)</f>
        <v>-2.9262992029543964E-13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246.64907095367749</v>
      </c>
      <c r="CZ169" s="62">
        <f t="shared" si="150"/>
        <v>145.34368562171613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207.03241199974599</v>
      </c>
      <c r="T170" s="62">
        <f t="shared" si="142"/>
        <v>314.188568589113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0.89546111594987421</v>
      </c>
      <c r="AA170" s="23">
        <f>EXP(-LN(2)/25)*AA169+(1-EXP(-LN(2)/25))/(LN(2)/25)*Calculateur!V170*Calculateur!X170*VLOOKUP('Données projet'!$B$9,Paramètres!$A$1:$I$89,3,0)*0.475*44/12</f>
        <v>0.21844098190482639</v>
      </c>
      <c r="AB170" s="23">
        <f>EXP(-LN(2)/2)*AB169+(1-EXP(-LN(2)/2))/(LN(2)/2)*V170*Y170*VLOOKUP('Données projet'!$B$9,Paramètres!$A$1:$I$89,3,0)*0.475*44/12</f>
        <v>7.0062589613170825E-21</v>
      </c>
      <c r="AC170" s="24">
        <f t="shared" si="163"/>
        <v>1.1139020978547005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245.25496369542458</v>
      </c>
      <c r="AO170" s="62">
        <f t="shared" si="144"/>
        <v>342.30266518164211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1.1882548278663309E-13</v>
      </c>
      <c r="BF170" s="14">
        <f t="shared" si="167"/>
        <v>1.7496137229198366E-12</v>
      </c>
      <c r="BG170" s="22">
        <f t="shared" si="168"/>
        <v>3.2541982832721012E-12</v>
      </c>
      <c r="BH170" s="62">
        <f t="shared" si="116"/>
        <v>293.33333333333655</v>
      </c>
      <c r="BI170" s="62">
        <f ca="1">AVERAGE(OFFSET($BH$3,0,0,'Données projet'!$E$11+1,1))-AVERAGE(OFFSET($H$3,0,0,'Données projet'!$E$11+1,1))</f>
        <v>377.78532142539677</v>
      </c>
      <c r="BJ170" s="62">
        <f t="shared" si="146"/>
        <v>234.27695813539111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-2.8421709430404007E-13</v>
      </c>
      <c r="BZ170" s="14">
        <f>BY170*VLOOKUP('Données projet'!$B$12,Paramètres!$A$1:$I$89,3,0)*VLOOKUP('Données projet'!$B$12,Paramètres!$A$1:$I$89,5,0)</f>
        <v>-2.8819613362429665E-13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360.32217613090035</v>
      </c>
      <c r="CE170" s="62">
        <f t="shared" si="148"/>
        <v>159.6134369231965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-6.2527760746888816E-13</v>
      </c>
      <c r="CU170" s="18">
        <f>CT170*VLOOKUP('Données projet'!$B$13,Paramètres!$A$1:$I$89,3,0)*VLOOKUP('Données projet'!$B$13,Paramètres!$A$1:$I$89,5,0)</f>
        <v>-2.9262992029543964E-13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246.64907095367749</v>
      </c>
      <c r="CZ170" s="62">
        <f t="shared" si="150"/>
        <v>145.34368562171613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207.03241199974599</v>
      </c>
      <c r="T171" s="62">
        <f t="shared" si="142"/>
        <v>314.188568589113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0.8779016696434474</v>
      </c>
      <c r="AA171" s="23">
        <f>EXP(-LN(2)/25)*AA170+(1-EXP(-LN(2)/25))/(LN(2)/25)*Calculateur!V171*Calculateur!X171*VLOOKUP('Données projet'!$B$9,Paramètres!$A$1:$I$89,3,0)*0.475*44/12</f>
        <v>0.21246770176732693</v>
      </c>
      <c r="AB171" s="23">
        <f>EXP(-LN(2)/2)*AB170+(1-EXP(-LN(2)/2))/(LN(2)/2)*V171*Y171*VLOOKUP('Données projet'!$B$9,Paramètres!$A$1:$I$89,3,0)*0.475*44/12</f>
        <v>4.9541732222963261E-21</v>
      </c>
      <c r="AC171" s="24">
        <f t="shared" si="163"/>
        <v>1.0903693714107743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245.25496369542458</v>
      </c>
      <c r="AO171" s="62">
        <f t="shared" si="144"/>
        <v>342.30266518164211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1.1882548278663309E-13</v>
      </c>
      <c r="BF171" s="14">
        <f t="shared" si="167"/>
        <v>1.7496137229198366E-12</v>
      </c>
      <c r="BG171" s="22">
        <f t="shared" si="168"/>
        <v>3.2541982832721012E-12</v>
      </c>
      <c r="BH171" s="62">
        <f t="shared" si="116"/>
        <v>293.33333333333655</v>
      </c>
      <c r="BI171" s="62">
        <f ca="1">AVERAGE(OFFSET($BH$3,0,0,'Données projet'!$E$11+1,1))-AVERAGE(OFFSET($H$3,0,0,'Données projet'!$E$11+1,1))</f>
        <v>377.78532142539677</v>
      </c>
      <c r="BJ171" s="62">
        <f t="shared" si="146"/>
        <v>234.27695813539111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-2.8421709430404007E-13</v>
      </c>
      <c r="BZ171" s="14">
        <f>BY171*VLOOKUP('Données projet'!$B$12,Paramètres!$A$1:$I$89,3,0)*VLOOKUP('Données projet'!$B$12,Paramètres!$A$1:$I$89,5,0)</f>
        <v>-2.8819613362429665E-13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360.32217613090035</v>
      </c>
      <c r="CE171" s="62">
        <f t="shared" si="148"/>
        <v>159.6134369231965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-6.2527760746888816E-13</v>
      </c>
      <c r="CU171" s="18">
        <f>CT171*VLOOKUP('Données projet'!$B$13,Paramètres!$A$1:$I$89,3,0)*VLOOKUP('Données projet'!$B$13,Paramètres!$A$1:$I$89,5,0)</f>
        <v>-2.9262992029543964E-13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246.64907095367749</v>
      </c>
      <c r="CZ171" s="62">
        <f t="shared" si="150"/>
        <v>145.34368562171613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207.03241199974599</v>
      </c>
      <c r="T172" s="62">
        <f t="shared" si="142"/>
        <v>314.188568589113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0.86068655336888489</v>
      </c>
      <c r="AA172" s="23">
        <f>EXP(-LN(2)/25)*AA171+(1-EXP(-LN(2)/25))/(LN(2)/25)*Calculateur!V172*Calculateur!X172*VLOOKUP('Données projet'!$B$9,Paramètres!$A$1:$I$89,3,0)*0.475*44/12</f>
        <v>0.20665776128930854</v>
      </c>
      <c r="AB172" s="23">
        <f>EXP(-LN(2)/2)*AB171+(1-EXP(-LN(2)/2))/(LN(2)/2)*V172*Y172*VLOOKUP('Données projet'!$B$9,Paramètres!$A$1:$I$89,3,0)*0.475*44/12</f>
        <v>3.5031294806585413E-21</v>
      </c>
      <c r="AC172" s="24">
        <f t="shared" si="163"/>
        <v>1.0673443146581933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245.25496369542458</v>
      </c>
      <c r="AO172" s="62">
        <f t="shared" si="144"/>
        <v>342.30266518164211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1.1882548278663309E-13</v>
      </c>
      <c r="BF172" s="14">
        <f t="shared" si="167"/>
        <v>1.7496137229198366E-12</v>
      </c>
      <c r="BG172" s="22">
        <f t="shared" si="168"/>
        <v>3.2541982832721012E-12</v>
      </c>
      <c r="BH172" s="62">
        <f t="shared" si="116"/>
        <v>293.33333333333655</v>
      </c>
      <c r="BI172" s="62">
        <f ca="1">AVERAGE(OFFSET($BH$3,0,0,'Données projet'!$E$11+1,1))-AVERAGE(OFFSET($H$3,0,0,'Données projet'!$E$11+1,1))</f>
        <v>377.78532142539677</v>
      </c>
      <c r="BJ172" s="62">
        <f t="shared" si="146"/>
        <v>234.27695813539111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-2.8421709430404007E-13</v>
      </c>
      <c r="BZ172" s="14">
        <f>BY172*VLOOKUP('Données projet'!$B$12,Paramètres!$A$1:$I$89,3,0)*VLOOKUP('Données projet'!$B$12,Paramètres!$A$1:$I$89,5,0)</f>
        <v>-2.8819613362429665E-13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360.32217613090035</v>
      </c>
      <c r="CE172" s="62">
        <f t="shared" si="148"/>
        <v>159.6134369231965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-6.2527760746888816E-13</v>
      </c>
      <c r="CU172" s="18">
        <f>CT172*VLOOKUP('Données projet'!$B$13,Paramètres!$A$1:$I$89,3,0)*VLOOKUP('Données projet'!$B$13,Paramètres!$A$1:$I$89,5,0)</f>
        <v>-2.9262992029543964E-13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246.64907095367749</v>
      </c>
      <c r="CZ172" s="62">
        <f t="shared" si="150"/>
        <v>145.34368562171613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207.03241199974599</v>
      </c>
      <c r="T173" s="62">
        <f t="shared" si="142"/>
        <v>314.188568589113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0.84380901502428241</v>
      </c>
      <c r="AA173" s="23">
        <f>EXP(-LN(2)/25)*AA172+(1-EXP(-LN(2)/25))/(LN(2)/25)*Calculateur!V173*Calculateur!X173*VLOOKUP('Données projet'!$B$9,Paramètres!$A$1:$I$89,3,0)*0.475*44/12</f>
        <v>0.20100669393919307</v>
      </c>
      <c r="AB173" s="23">
        <f>EXP(-LN(2)/2)*AB172+(1-EXP(-LN(2)/2))/(LN(2)/2)*V173*Y173*VLOOKUP('Données projet'!$B$9,Paramètres!$A$1:$I$89,3,0)*0.475*44/12</f>
        <v>2.477086611148163E-21</v>
      </c>
      <c r="AC173" s="24">
        <f t="shared" si="163"/>
        <v>1.0448157089634755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245.25496369542458</v>
      </c>
      <c r="AO173" s="62">
        <f t="shared" si="144"/>
        <v>342.30266518164211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1.1882548278663309E-13</v>
      </c>
      <c r="BF173" s="14">
        <f t="shared" si="167"/>
        <v>1.7496137229198366E-12</v>
      </c>
      <c r="BG173" s="22">
        <f t="shared" si="168"/>
        <v>3.2541982832721012E-12</v>
      </c>
      <c r="BH173" s="62">
        <f t="shared" si="116"/>
        <v>293.33333333333655</v>
      </c>
      <c r="BI173" s="62">
        <f ca="1">AVERAGE(OFFSET($BH$3,0,0,'Données projet'!$E$11+1,1))-AVERAGE(OFFSET($H$3,0,0,'Données projet'!$E$11+1,1))</f>
        <v>377.78532142539677</v>
      </c>
      <c r="BJ173" s="62">
        <f t="shared" si="146"/>
        <v>234.27695813539111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-2.8421709430404007E-13</v>
      </c>
      <c r="BZ173" s="14">
        <f>BY173*VLOOKUP('Données projet'!$B$12,Paramètres!$A$1:$I$89,3,0)*VLOOKUP('Données projet'!$B$12,Paramètres!$A$1:$I$89,5,0)</f>
        <v>-2.8819613362429665E-13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360.32217613090035</v>
      </c>
      <c r="CE173" s="62">
        <f t="shared" si="148"/>
        <v>159.6134369231965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-6.2527760746888816E-13</v>
      </c>
      <c r="CU173" s="18">
        <f>CT173*VLOOKUP('Données projet'!$B$13,Paramètres!$A$1:$I$89,3,0)*VLOOKUP('Données projet'!$B$13,Paramètres!$A$1:$I$89,5,0)</f>
        <v>-2.9262992029543964E-13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246.64907095367749</v>
      </c>
      <c r="CZ173" s="62">
        <f t="shared" si="150"/>
        <v>145.34368562171613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207.03241199974599</v>
      </c>
      <c r="T174" s="62">
        <f t="shared" si="142"/>
        <v>314.188568589113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0.82726243491233564</v>
      </c>
      <c r="AA174" s="23">
        <f>EXP(-LN(2)/25)*AA173+(1-EXP(-LN(2)/25))/(LN(2)/25)*Calculateur!V174*Calculateur!X174*VLOOKUP('Données projet'!$B$9,Paramètres!$A$1:$I$89,3,0)*0.475*44/12</f>
        <v>0.19551015532294322</v>
      </c>
      <c r="AB174" s="23">
        <f>EXP(-LN(2)/2)*AB173+(1-EXP(-LN(2)/2))/(LN(2)/2)*V174*Y174*VLOOKUP('Données projet'!$B$9,Paramètres!$A$1:$I$89,3,0)*0.475*44/12</f>
        <v>1.7515647403292706E-21</v>
      </c>
      <c r="AC174" s="24">
        <f t="shared" si="163"/>
        <v>1.0227725902352789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245.25496369542458</v>
      </c>
      <c r="AO174" s="62">
        <f t="shared" si="144"/>
        <v>342.30266518164211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1.1882548278663309E-13</v>
      </c>
      <c r="BF174" s="14">
        <f t="shared" si="167"/>
        <v>1.7496137229198366E-12</v>
      </c>
      <c r="BG174" s="22">
        <f t="shared" si="168"/>
        <v>3.2541982832721012E-12</v>
      </c>
      <c r="BH174" s="62">
        <f t="shared" si="116"/>
        <v>293.33333333333655</v>
      </c>
      <c r="BI174" s="62">
        <f ca="1">AVERAGE(OFFSET($BH$3,0,0,'Données projet'!$E$11+1,1))-AVERAGE(OFFSET($H$3,0,0,'Données projet'!$E$11+1,1))</f>
        <v>377.78532142539677</v>
      </c>
      <c r="BJ174" s="62">
        <f t="shared" si="146"/>
        <v>234.27695813539111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-2.8421709430404007E-13</v>
      </c>
      <c r="BZ174" s="14">
        <f>BY174*VLOOKUP('Données projet'!$B$12,Paramètres!$A$1:$I$89,3,0)*VLOOKUP('Données projet'!$B$12,Paramètres!$A$1:$I$89,5,0)</f>
        <v>-2.8819613362429665E-13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360.32217613090035</v>
      </c>
      <c r="CE174" s="62">
        <f t="shared" si="148"/>
        <v>159.6134369231965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-6.2527760746888816E-13</v>
      </c>
      <c r="CU174" s="18">
        <f>CT174*VLOOKUP('Données projet'!$B$13,Paramètres!$A$1:$I$89,3,0)*VLOOKUP('Données projet'!$B$13,Paramètres!$A$1:$I$89,5,0)</f>
        <v>-2.9262992029543964E-13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246.64907095367749</v>
      </c>
      <c r="CZ174" s="62">
        <f t="shared" si="150"/>
        <v>145.34368562171613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207.03241199974599</v>
      </c>
      <c r="T175" s="62">
        <f t="shared" si="142"/>
        <v>314.188568589113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0.8110403231439669</v>
      </c>
      <c r="AA175" s="23">
        <f>EXP(-LN(2)/25)*AA174+(1-EXP(-LN(2)/25))/(LN(2)/25)*Calculateur!V175*Calculateur!X175*VLOOKUP('Données projet'!$B$9,Paramètres!$A$1:$I$89,3,0)*0.475*44/12</f>
        <v>0.19016391984420511</v>
      </c>
      <c r="AB175" s="23">
        <f>EXP(-LN(2)/2)*AB174+(1-EXP(-LN(2)/2))/(LN(2)/2)*V175*Y175*VLOOKUP('Données projet'!$B$9,Paramètres!$A$1:$I$89,3,0)*0.475*44/12</f>
        <v>1.2385433055740815E-21</v>
      </c>
      <c r="AC175" s="24">
        <f t="shared" si="163"/>
        <v>1.001204242988172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245.25496369542458</v>
      </c>
      <c r="AO175" s="62">
        <f t="shared" si="144"/>
        <v>342.30266518164211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1.1882548278663309E-13</v>
      </c>
      <c r="BF175" s="14">
        <f t="shared" si="167"/>
        <v>1.7496137229198366E-12</v>
      </c>
      <c r="BG175" s="22">
        <f t="shared" si="168"/>
        <v>3.2541982832721012E-12</v>
      </c>
      <c r="BH175" s="62">
        <f t="shared" si="116"/>
        <v>293.33333333333655</v>
      </c>
      <c r="BI175" s="62">
        <f ca="1">AVERAGE(OFFSET($BH$3,0,0,'Données projet'!$E$11+1,1))-AVERAGE(OFFSET($H$3,0,0,'Données projet'!$E$11+1,1))</f>
        <v>377.78532142539677</v>
      </c>
      <c r="BJ175" s="62">
        <f t="shared" si="146"/>
        <v>234.27695813539111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-2.8421709430404007E-13</v>
      </c>
      <c r="BZ175" s="14">
        <f>BY175*VLOOKUP('Données projet'!$B$12,Paramètres!$A$1:$I$89,3,0)*VLOOKUP('Données projet'!$B$12,Paramètres!$A$1:$I$89,5,0)</f>
        <v>-2.8819613362429665E-13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360.32217613090035</v>
      </c>
      <c r="CE175" s="62">
        <f t="shared" si="148"/>
        <v>159.6134369231965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-6.2527760746888816E-13</v>
      </c>
      <c r="CU175" s="18">
        <f>CT175*VLOOKUP('Données projet'!$B$13,Paramètres!$A$1:$I$89,3,0)*VLOOKUP('Données projet'!$B$13,Paramètres!$A$1:$I$89,5,0)</f>
        <v>-2.9262992029543964E-13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246.64907095367749</v>
      </c>
      <c r="CZ175" s="62">
        <f t="shared" si="150"/>
        <v>145.34368562171613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207.03241199974599</v>
      </c>
      <c r="T176" s="62">
        <f t="shared" si="142"/>
        <v>314.188568589113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0.7951363170928647</v>
      </c>
      <c r="AA176" s="23">
        <f>EXP(-LN(2)/25)*AA175+(1-EXP(-LN(2)/25))/(LN(2)/25)*Calculateur!V176*Calculateur!X176*VLOOKUP('Données projet'!$B$9,Paramètres!$A$1:$I$89,3,0)*0.475*44/12</f>
        <v>0.18496387745577941</v>
      </c>
      <c r="AB176" s="23">
        <f>EXP(-LN(2)/2)*AB175+(1-EXP(-LN(2)/2))/(LN(2)/2)*V176*Y176*VLOOKUP('Données projet'!$B$9,Paramètres!$A$1:$I$89,3,0)*0.475*44/12</f>
        <v>8.7578237016463531E-22</v>
      </c>
      <c r="AC176" s="24">
        <f t="shared" si="163"/>
        <v>0.98010019454864405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245.25496369542458</v>
      </c>
      <c r="AO176" s="62">
        <f t="shared" si="144"/>
        <v>342.30266518164211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1.1882548278663309E-13</v>
      </c>
      <c r="BF176" s="14">
        <f t="shared" si="167"/>
        <v>1.7496137229198366E-12</v>
      </c>
      <c r="BG176" s="22">
        <f t="shared" si="168"/>
        <v>3.2541982832721012E-12</v>
      </c>
      <c r="BH176" s="62">
        <f t="shared" si="116"/>
        <v>293.33333333333655</v>
      </c>
      <c r="BI176" s="62">
        <f ca="1">AVERAGE(OFFSET($BH$3,0,0,'Données projet'!$E$11+1,1))-AVERAGE(OFFSET($H$3,0,0,'Données projet'!$E$11+1,1))</f>
        <v>377.78532142539677</v>
      </c>
      <c r="BJ176" s="62">
        <f t="shared" si="146"/>
        <v>234.27695813539111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-2.8421709430404007E-13</v>
      </c>
      <c r="BZ176" s="14">
        <f>BY176*VLOOKUP('Données projet'!$B$12,Paramètres!$A$1:$I$89,3,0)*VLOOKUP('Données projet'!$B$12,Paramètres!$A$1:$I$89,5,0)</f>
        <v>-2.8819613362429665E-13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360.32217613090035</v>
      </c>
      <c r="CE176" s="62">
        <f t="shared" si="148"/>
        <v>159.6134369231965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-6.2527760746888816E-13</v>
      </c>
      <c r="CU176" s="18">
        <f>CT176*VLOOKUP('Données projet'!$B$13,Paramètres!$A$1:$I$89,3,0)*VLOOKUP('Données projet'!$B$13,Paramètres!$A$1:$I$89,5,0)</f>
        <v>-2.9262992029543964E-13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246.64907095367749</v>
      </c>
      <c r="CZ176" s="62">
        <f t="shared" si="150"/>
        <v>145.34368562171613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207.03241199974599</v>
      </c>
      <c r="T177" s="62">
        <f t="shared" si="142"/>
        <v>314.188568589113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0.77954417889993877</v>
      </c>
      <c r="AA177" s="23">
        <f>EXP(-LN(2)/25)*AA176+(1-EXP(-LN(2)/25))/(LN(2)/25)*Calculateur!V177*Calculateur!X177*VLOOKUP('Données projet'!$B$9,Paramètres!$A$1:$I$89,3,0)*0.475*44/12</f>
        <v>0.17990603049992354</v>
      </c>
      <c r="AB177" s="23">
        <f>EXP(-LN(2)/2)*AB176+(1-EXP(-LN(2)/2))/(LN(2)/2)*V177*Y177*VLOOKUP('Données projet'!$B$9,Paramètres!$A$1:$I$89,3,0)*0.475*44/12</f>
        <v>6.1927165278704076E-22</v>
      </c>
      <c r="AC177" s="24">
        <f t="shared" si="163"/>
        <v>0.95945020939986225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245.25496369542458</v>
      </c>
      <c r="AO177" s="62">
        <f t="shared" si="144"/>
        <v>342.30266518164211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1.1882548278663309E-13</v>
      </c>
      <c r="BF177" s="14">
        <f t="shared" si="167"/>
        <v>1.7496137229198366E-12</v>
      </c>
      <c r="BG177" s="22">
        <f t="shared" si="168"/>
        <v>3.2541982832721012E-12</v>
      </c>
      <c r="BH177" s="62">
        <f t="shared" si="116"/>
        <v>293.33333333333655</v>
      </c>
      <c r="BI177" s="62">
        <f ca="1">AVERAGE(OFFSET($BH$3,0,0,'Données projet'!$E$11+1,1))-AVERAGE(OFFSET($H$3,0,0,'Données projet'!$E$11+1,1))</f>
        <v>377.78532142539677</v>
      </c>
      <c r="BJ177" s="62">
        <f t="shared" si="146"/>
        <v>234.27695813539111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-2.8421709430404007E-13</v>
      </c>
      <c r="BZ177" s="14">
        <f>BY177*VLOOKUP('Données projet'!$B$12,Paramètres!$A$1:$I$89,3,0)*VLOOKUP('Données projet'!$B$12,Paramètres!$A$1:$I$89,5,0)</f>
        <v>-2.8819613362429665E-13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360.32217613090035</v>
      </c>
      <c r="CE177" s="62">
        <f t="shared" si="148"/>
        <v>159.6134369231965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-6.2527760746888816E-13</v>
      </c>
      <c r="CU177" s="18">
        <f>CT177*VLOOKUP('Données projet'!$B$13,Paramètres!$A$1:$I$89,3,0)*VLOOKUP('Données projet'!$B$13,Paramètres!$A$1:$I$89,5,0)</f>
        <v>-2.9262992029543964E-13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246.64907095367749</v>
      </c>
      <c r="CZ177" s="62">
        <f t="shared" si="150"/>
        <v>145.34368562171613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207.03241199974599</v>
      </c>
      <c r="T178" s="62">
        <f t="shared" si="142"/>
        <v>314.188568589113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0.76425779302671082</v>
      </c>
      <c r="AA178" s="23">
        <f>EXP(-LN(2)/25)*AA177+(1-EXP(-LN(2)/25))/(LN(2)/25)*Calculateur!V178*Calculateur!X178*VLOOKUP('Données projet'!$B$9,Paramètres!$A$1:$I$89,3,0)*0.475*44/12</f>
        <v>0.17498649063505617</v>
      </c>
      <c r="AB178" s="23">
        <f>EXP(-LN(2)/2)*AB177+(1-EXP(-LN(2)/2))/(LN(2)/2)*V178*Y178*VLOOKUP('Données projet'!$B$9,Paramètres!$A$1:$I$89,3,0)*0.475*44/12</f>
        <v>4.3789118508231766E-22</v>
      </c>
      <c r="AC178" s="24">
        <f t="shared" si="163"/>
        <v>0.93924428366176693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245.25496369542458</v>
      </c>
      <c r="AO178" s="62">
        <f t="shared" si="144"/>
        <v>342.30266518164211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1.1882548278663309E-13</v>
      </c>
      <c r="BF178" s="14">
        <f t="shared" si="167"/>
        <v>1.7496137229198366E-12</v>
      </c>
      <c r="BG178" s="22">
        <f t="shared" si="168"/>
        <v>3.2541982832721012E-12</v>
      </c>
      <c r="BH178" s="62">
        <f t="shared" si="116"/>
        <v>293.33333333333655</v>
      </c>
      <c r="BI178" s="62">
        <f ca="1">AVERAGE(OFFSET($BH$3,0,0,'Données projet'!$E$11+1,1))-AVERAGE(OFFSET($H$3,0,0,'Données projet'!$E$11+1,1))</f>
        <v>377.78532142539677</v>
      </c>
      <c r="BJ178" s="62">
        <f t="shared" si="146"/>
        <v>234.27695813539111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-2.8421709430404007E-13</v>
      </c>
      <c r="BZ178" s="14">
        <f>BY178*VLOOKUP('Données projet'!$B$12,Paramètres!$A$1:$I$89,3,0)*VLOOKUP('Données projet'!$B$12,Paramètres!$A$1:$I$89,5,0)</f>
        <v>-2.8819613362429665E-13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360.32217613090035</v>
      </c>
      <c r="CE178" s="62">
        <f t="shared" si="148"/>
        <v>159.6134369231965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-6.2527760746888816E-13</v>
      </c>
      <c r="CU178" s="18">
        <f>CT178*VLOOKUP('Données projet'!$B$13,Paramètres!$A$1:$I$89,3,0)*VLOOKUP('Données projet'!$B$13,Paramètres!$A$1:$I$89,5,0)</f>
        <v>-2.9262992029543964E-13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246.64907095367749</v>
      </c>
      <c r="CZ178" s="62">
        <f t="shared" si="150"/>
        <v>145.34368562171613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207.03241199974599</v>
      </c>
      <c r="T179" s="62">
        <f t="shared" si="142"/>
        <v>314.188568589113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0.74927116385668213</v>
      </c>
      <c r="AA179" s="23">
        <f>EXP(-LN(2)/25)*AA178+(1-EXP(-LN(2)/25))/(LN(2)/25)*Calculateur!V179*Calculateur!X179*VLOOKUP('Données projet'!$B$9,Paramètres!$A$1:$I$89,3,0)*0.475*44/12</f>
        <v>0.17020147584650094</v>
      </c>
      <c r="AB179" s="23">
        <f>EXP(-LN(2)/2)*AB178+(1-EXP(-LN(2)/2))/(LN(2)/2)*V179*Y179*VLOOKUP('Données projet'!$B$9,Paramètres!$A$1:$I$89,3,0)*0.475*44/12</f>
        <v>3.0963582639352038E-22</v>
      </c>
      <c r="AC179" s="24">
        <f t="shared" si="163"/>
        <v>0.91947263970318305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245.25496369542458</v>
      </c>
      <c r="AO179" s="62">
        <f t="shared" si="144"/>
        <v>342.30266518164211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1.1882548278663309E-13</v>
      </c>
      <c r="BF179" s="14">
        <f t="shared" si="167"/>
        <v>1.7496137229198366E-12</v>
      </c>
      <c r="BG179" s="22">
        <f t="shared" si="168"/>
        <v>3.2541982832721012E-12</v>
      </c>
      <c r="BH179" s="62">
        <f t="shared" si="116"/>
        <v>293.33333333333655</v>
      </c>
      <c r="BI179" s="62">
        <f ca="1">AVERAGE(OFFSET($BH$3,0,0,'Données projet'!$E$11+1,1))-AVERAGE(OFFSET($H$3,0,0,'Données projet'!$E$11+1,1))</f>
        <v>377.78532142539677</v>
      </c>
      <c r="BJ179" s="62">
        <f t="shared" si="146"/>
        <v>234.27695813539111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-2.8421709430404007E-13</v>
      </c>
      <c r="BZ179" s="14">
        <f>BY179*VLOOKUP('Données projet'!$B$12,Paramètres!$A$1:$I$89,3,0)*VLOOKUP('Données projet'!$B$12,Paramètres!$A$1:$I$89,5,0)</f>
        <v>-2.8819613362429665E-13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360.32217613090035</v>
      </c>
      <c r="CE179" s="62">
        <f t="shared" si="148"/>
        <v>159.6134369231965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-6.2527760746888816E-13</v>
      </c>
      <c r="CU179" s="18">
        <f>CT179*VLOOKUP('Données projet'!$B$13,Paramètres!$A$1:$I$89,3,0)*VLOOKUP('Données projet'!$B$13,Paramètres!$A$1:$I$89,5,0)</f>
        <v>-2.9262992029543964E-13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246.64907095367749</v>
      </c>
      <c r="CZ179" s="62">
        <f t="shared" si="150"/>
        <v>145.34368562171613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207.03241199974599</v>
      </c>
      <c r="T180" s="62">
        <f t="shared" si="142"/>
        <v>314.188568589113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0.73457841334373652</v>
      </c>
      <c r="AA180" s="23">
        <f>EXP(-LN(2)/25)*AA179+(1-EXP(-LN(2)/25))/(LN(2)/25)*Calculateur!V180*Calculateur!X180*VLOOKUP('Données projet'!$B$9,Paramètres!$A$1:$I$89,3,0)*0.475*44/12</f>
        <v>0.16554730753897176</v>
      </c>
      <c r="AB180" s="23">
        <f>EXP(-LN(2)/2)*AB179+(1-EXP(-LN(2)/2))/(LN(2)/2)*V180*Y180*VLOOKUP('Données projet'!$B$9,Paramètres!$A$1:$I$89,3,0)*0.475*44/12</f>
        <v>2.1894559254115883E-22</v>
      </c>
      <c r="AC180" s="24">
        <f t="shared" si="163"/>
        <v>0.90012572088270826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245.25496369542458</v>
      </c>
      <c r="AO180" s="62">
        <f t="shared" si="144"/>
        <v>342.30266518164211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1.1882548278663309E-13</v>
      </c>
      <c r="BF180" s="14">
        <f t="shared" si="167"/>
        <v>1.7496137229198366E-12</v>
      </c>
      <c r="BG180" s="22">
        <f t="shared" si="168"/>
        <v>3.2541982832721012E-12</v>
      </c>
      <c r="BH180" s="62">
        <f t="shared" si="116"/>
        <v>293.33333333333655</v>
      </c>
      <c r="BI180" s="62">
        <f ca="1">AVERAGE(OFFSET($BH$3,0,0,'Données projet'!$E$11+1,1))-AVERAGE(OFFSET($H$3,0,0,'Données projet'!$E$11+1,1))</f>
        <v>377.78532142539677</v>
      </c>
      <c r="BJ180" s="62">
        <f t="shared" si="146"/>
        <v>234.27695813539111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-2.8421709430404007E-13</v>
      </c>
      <c r="BZ180" s="14">
        <f>BY180*VLOOKUP('Données projet'!$B$12,Paramètres!$A$1:$I$89,3,0)*VLOOKUP('Données projet'!$B$12,Paramètres!$A$1:$I$89,5,0)</f>
        <v>-2.8819613362429665E-13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360.32217613090035</v>
      </c>
      <c r="CE180" s="62">
        <f t="shared" si="148"/>
        <v>159.6134369231965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-6.2527760746888816E-13</v>
      </c>
      <c r="CU180" s="18">
        <f>CT180*VLOOKUP('Données projet'!$B$13,Paramètres!$A$1:$I$89,3,0)*VLOOKUP('Données projet'!$B$13,Paramètres!$A$1:$I$89,5,0)</f>
        <v>-2.9262992029543964E-13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246.64907095367749</v>
      </c>
      <c r="CZ180" s="62">
        <f t="shared" si="150"/>
        <v>145.34368562171613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207.03241199974599</v>
      </c>
      <c r="T181" s="62">
        <f t="shared" si="142"/>
        <v>314.188568589113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0.72017377870665689</v>
      </c>
      <c r="AA181" s="23">
        <f>EXP(-LN(2)/25)*AA180+(1-EXP(-LN(2)/25))/(LN(2)/25)*Calculateur!V181*Calculateur!X181*VLOOKUP('Données projet'!$B$9,Paramètres!$A$1:$I$89,3,0)*0.475*44/12</f>
        <v>0.16102040770856405</v>
      </c>
      <c r="AB181" s="23">
        <f>EXP(-LN(2)/2)*AB180+(1-EXP(-LN(2)/2))/(LN(2)/2)*V181*Y181*VLOOKUP('Données projet'!$B$9,Paramètres!$A$1:$I$89,3,0)*0.475*44/12</f>
        <v>1.5481791319676019E-22</v>
      </c>
      <c r="AC181" s="24">
        <f t="shared" si="163"/>
        <v>0.88119418641522096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245.25496369542458</v>
      </c>
      <c r="AO181" s="62">
        <f t="shared" si="144"/>
        <v>342.30266518164211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1.1882548278663309E-13</v>
      </c>
      <c r="BF181" s="14">
        <f t="shared" si="167"/>
        <v>1.7496137229198366E-12</v>
      </c>
      <c r="BG181" s="22">
        <f t="shared" si="168"/>
        <v>3.2541982832721012E-12</v>
      </c>
      <c r="BH181" s="62">
        <f t="shared" si="116"/>
        <v>293.33333333333655</v>
      </c>
      <c r="BI181" s="62">
        <f ca="1">AVERAGE(OFFSET($BH$3,0,0,'Données projet'!$E$11+1,1))-AVERAGE(OFFSET($H$3,0,0,'Données projet'!$E$11+1,1))</f>
        <v>377.78532142539677</v>
      </c>
      <c r="BJ181" s="62">
        <f t="shared" si="146"/>
        <v>234.27695813539111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-2.8421709430404007E-13</v>
      </c>
      <c r="BZ181" s="14">
        <f>BY181*VLOOKUP('Données projet'!$B$12,Paramètres!$A$1:$I$89,3,0)*VLOOKUP('Données projet'!$B$12,Paramètres!$A$1:$I$89,5,0)</f>
        <v>-2.8819613362429665E-13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360.32217613090035</v>
      </c>
      <c r="CE181" s="62">
        <f t="shared" si="148"/>
        <v>159.6134369231965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-6.2527760746888816E-13</v>
      </c>
      <c r="CU181" s="18">
        <f>CT181*VLOOKUP('Données projet'!$B$13,Paramètres!$A$1:$I$89,3,0)*VLOOKUP('Données projet'!$B$13,Paramètres!$A$1:$I$89,5,0)</f>
        <v>-2.9262992029543964E-13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246.64907095367749</v>
      </c>
      <c r="CZ181" s="62">
        <f t="shared" si="150"/>
        <v>145.34368562171613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207.03241199974599</v>
      </c>
      <c r="T182" s="62">
        <f t="shared" si="142"/>
        <v>314.188568589113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0.70605161016885076</v>
      </c>
      <c r="AA182" s="23">
        <f>EXP(-LN(2)/25)*AA181+(1-EXP(-LN(2)/25))/(LN(2)/25)*Calculateur!V182*Calculateur!X182*VLOOKUP('Données projet'!$B$9,Paramètres!$A$1:$I$89,3,0)*0.475*44/12</f>
        <v>0.15661729619207815</v>
      </c>
      <c r="AB182" s="23">
        <f>EXP(-LN(2)/2)*AB181+(1-EXP(-LN(2)/2))/(LN(2)/2)*V182*Y182*VLOOKUP('Données projet'!$B$9,Paramètres!$A$1:$I$89,3,0)*0.475*44/12</f>
        <v>1.0947279627057941E-22</v>
      </c>
      <c r="AC182" s="24">
        <f t="shared" si="163"/>
        <v>0.86266890636092897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245.25496369542458</v>
      </c>
      <c r="AO182" s="62">
        <f t="shared" si="144"/>
        <v>342.30266518164211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1.1882548278663309E-13</v>
      </c>
      <c r="BF182" s="14">
        <f t="shared" si="167"/>
        <v>1.7496137229198366E-12</v>
      </c>
      <c r="BG182" s="22">
        <f t="shared" si="168"/>
        <v>3.2541982832721012E-12</v>
      </c>
      <c r="BH182" s="62">
        <f t="shared" si="116"/>
        <v>293.33333333333655</v>
      </c>
      <c r="BI182" s="62">
        <f ca="1">AVERAGE(OFFSET($BH$3,0,0,'Données projet'!$E$11+1,1))-AVERAGE(OFFSET($H$3,0,0,'Données projet'!$E$11+1,1))</f>
        <v>377.78532142539677</v>
      </c>
      <c r="BJ182" s="62">
        <f t="shared" si="146"/>
        <v>234.27695813539111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-2.8421709430404007E-13</v>
      </c>
      <c r="BZ182" s="14">
        <f>BY182*VLOOKUP('Données projet'!$B$12,Paramètres!$A$1:$I$89,3,0)*VLOOKUP('Données projet'!$B$12,Paramètres!$A$1:$I$89,5,0)</f>
        <v>-2.8819613362429665E-13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360.32217613090035</v>
      </c>
      <c r="CE182" s="62">
        <f t="shared" si="148"/>
        <v>159.6134369231965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-6.2527760746888816E-13</v>
      </c>
      <c r="CU182" s="18">
        <f>CT182*VLOOKUP('Données projet'!$B$13,Paramètres!$A$1:$I$89,3,0)*VLOOKUP('Données projet'!$B$13,Paramètres!$A$1:$I$89,5,0)</f>
        <v>-2.9262992029543964E-13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246.64907095367749</v>
      </c>
      <c r="CZ182" s="62">
        <f t="shared" si="150"/>
        <v>145.34368562171613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207.03241199974599</v>
      </c>
      <c r="T183" s="62">
        <f t="shared" si="142"/>
        <v>314.188568589113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0.69220636874239871</v>
      </c>
      <c r="AA183" s="23">
        <f>EXP(-LN(2)/25)*AA182+(1-EXP(-LN(2)/25))/(LN(2)/25)*Calculateur!V183*Calculateur!X183*VLOOKUP('Données projet'!$B$9,Paramètres!$A$1:$I$89,3,0)*0.475*44/12</f>
        <v>0.15233458799156011</v>
      </c>
      <c r="AB183" s="23">
        <f>EXP(-LN(2)/2)*AB182+(1-EXP(-LN(2)/2))/(LN(2)/2)*V183*Y183*VLOOKUP('Données projet'!$B$9,Paramètres!$A$1:$I$89,3,0)*0.475*44/12</f>
        <v>7.7408956598380095E-23</v>
      </c>
      <c r="AC183" s="24">
        <f t="shared" si="163"/>
        <v>0.84454095673395879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245.25496369542458</v>
      </c>
      <c r="AO183" s="62">
        <f t="shared" si="144"/>
        <v>342.30266518164211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1.1882548278663309E-13</v>
      </c>
      <c r="BF183" s="14">
        <f t="shared" si="167"/>
        <v>1.7496137229198366E-12</v>
      </c>
      <c r="BG183" s="22">
        <f t="shared" si="168"/>
        <v>3.2541982832721012E-12</v>
      </c>
      <c r="BH183" s="62">
        <f t="shared" si="116"/>
        <v>293.33333333333655</v>
      </c>
      <c r="BI183" s="62">
        <f ca="1">AVERAGE(OFFSET($BH$3,0,0,'Données projet'!$E$11+1,1))-AVERAGE(OFFSET($H$3,0,0,'Données projet'!$E$11+1,1))</f>
        <v>377.78532142539677</v>
      </c>
      <c r="BJ183" s="62">
        <f t="shared" si="146"/>
        <v>234.27695813539111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-2.8421709430404007E-13</v>
      </c>
      <c r="BZ183" s="14">
        <f>BY183*VLOOKUP('Données projet'!$B$12,Paramètres!$A$1:$I$89,3,0)*VLOOKUP('Données projet'!$B$12,Paramètres!$A$1:$I$89,5,0)</f>
        <v>-2.8819613362429665E-13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360.32217613090035</v>
      </c>
      <c r="CE183" s="62">
        <f t="shared" si="148"/>
        <v>159.6134369231965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-6.2527760746888816E-13</v>
      </c>
      <c r="CU183" s="18">
        <f>CT183*VLOOKUP('Données projet'!$B$13,Paramètres!$A$1:$I$89,3,0)*VLOOKUP('Données projet'!$B$13,Paramètres!$A$1:$I$89,5,0)</f>
        <v>-2.9262992029543964E-13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246.64907095367749</v>
      </c>
      <c r="CZ183" s="62">
        <f t="shared" si="150"/>
        <v>145.34368562171613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207.03241199974599</v>
      </c>
      <c r="T184" s="62">
        <f t="shared" si="142"/>
        <v>314.188568589113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0.67863262405555602</v>
      </c>
      <c r="AA184" s="23">
        <f>EXP(-LN(2)/25)*AA183+(1-EXP(-LN(2)/25))/(LN(2)/25)*Calculateur!V184*Calculateur!X184*VLOOKUP('Données projet'!$B$9,Paramètres!$A$1:$I$89,3,0)*0.475*44/12</f>
        <v>0.14816899067200306</v>
      </c>
      <c r="AB184" s="23">
        <f>EXP(-LN(2)/2)*AB183+(1-EXP(-LN(2)/2))/(LN(2)/2)*V184*Y184*VLOOKUP('Données projet'!$B$9,Paramètres!$A$1:$I$89,3,0)*0.475*44/12</f>
        <v>5.4736398135289707E-23</v>
      </c>
      <c r="AC184" s="24">
        <f t="shared" si="163"/>
        <v>0.82680161472755909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245.25496369542458</v>
      </c>
      <c r="AO184" s="62">
        <f t="shared" si="144"/>
        <v>342.30266518164211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1.1882548278663309E-13</v>
      </c>
      <c r="BF184" s="14">
        <f t="shared" si="167"/>
        <v>1.7496137229198366E-12</v>
      </c>
      <c r="BG184" s="22">
        <f t="shared" si="168"/>
        <v>3.2541982832721012E-12</v>
      </c>
      <c r="BH184" s="62">
        <f t="shared" si="116"/>
        <v>293.33333333333655</v>
      </c>
      <c r="BI184" s="62">
        <f ca="1">AVERAGE(OFFSET($BH$3,0,0,'Données projet'!$E$11+1,1))-AVERAGE(OFFSET($H$3,0,0,'Données projet'!$E$11+1,1))</f>
        <v>377.78532142539677</v>
      </c>
      <c r="BJ184" s="62">
        <f t="shared" si="146"/>
        <v>234.27695813539111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-2.8421709430404007E-13</v>
      </c>
      <c r="BZ184" s="14">
        <f>BY184*VLOOKUP('Données projet'!$B$12,Paramètres!$A$1:$I$89,3,0)*VLOOKUP('Données projet'!$B$12,Paramètres!$A$1:$I$89,5,0)</f>
        <v>-2.8819613362429665E-13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360.32217613090035</v>
      </c>
      <c r="CE184" s="62">
        <f t="shared" si="148"/>
        <v>159.6134369231965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-6.2527760746888816E-13</v>
      </c>
      <c r="CU184" s="18">
        <f>CT184*VLOOKUP('Données projet'!$B$13,Paramètres!$A$1:$I$89,3,0)*VLOOKUP('Données projet'!$B$13,Paramètres!$A$1:$I$89,5,0)</f>
        <v>-2.9262992029543964E-13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246.64907095367749</v>
      </c>
      <c r="CZ184" s="62">
        <f t="shared" si="150"/>
        <v>145.34368562171613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207.03241199974599</v>
      </c>
      <c r="T185" s="62">
        <f t="shared" si="142"/>
        <v>314.188568589113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0.66532505222285554</v>
      </c>
      <c r="AA185" s="23">
        <f>EXP(-LN(2)/25)*AA184+(1-EXP(-LN(2)/25))/(LN(2)/25)*Calculateur!V185*Calculateur!X185*VLOOKUP('Données projet'!$B$9,Paramètres!$A$1:$I$89,3,0)*0.475*44/12</f>
        <v>0.14411730183020857</v>
      </c>
      <c r="AB185" s="23">
        <f>EXP(-LN(2)/2)*AB184+(1-EXP(-LN(2)/2))/(LN(2)/2)*V185*Y185*VLOOKUP('Données projet'!$B$9,Paramètres!$A$1:$I$89,3,0)*0.475*44/12</f>
        <v>3.8704478299190047E-23</v>
      </c>
      <c r="AC185" s="24">
        <f t="shared" si="163"/>
        <v>0.80944235405306408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245.25496369542458</v>
      </c>
      <c r="AO185" s="62">
        <f t="shared" si="144"/>
        <v>342.30266518164211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1.1882548278663309E-13</v>
      </c>
      <c r="BF185" s="14">
        <f t="shared" si="167"/>
        <v>1.7496137229198366E-12</v>
      </c>
      <c r="BG185" s="22">
        <f t="shared" si="168"/>
        <v>3.2541982832721012E-12</v>
      </c>
      <c r="BH185" s="62">
        <f t="shared" si="116"/>
        <v>293.33333333333655</v>
      </c>
      <c r="BI185" s="62">
        <f ca="1">AVERAGE(OFFSET($BH$3,0,0,'Données projet'!$E$11+1,1))-AVERAGE(OFFSET($H$3,0,0,'Données projet'!$E$11+1,1))</f>
        <v>377.78532142539677</v>
      </c>
      <c r="BJ185" s="62">
        <f t="shared" si="146"/>
        <v>234.27695813539111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-2.8421709430404007E-13</v>
      </c>
      <c r="BZ185" s="14">
        <f>BY185*VLOOKUP('Données projet'!$B$12,Paramètres!$A$1:$I$89,3,0)*VLOOKUP('Données projet'!$B$12,Paramètres!$A$1:$I$89,5,0)</f>
        <v>-2.8819613362429665E-13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360.32217613090035</v>
      </c>
      <c r="CE185" s="62">
        <f t="shared" si="148"/>
        <v>159.6134369231965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-6.2527760746888816E-13</v>
      </c>
      <c r="CU185" s="18">
        <f>CT185*VLOOKUP('Données projet'!$B$13,Paramètres!$A$1:$I$89,3,0)*VLOOKUP('Données projet'!$B$13,Paramètres!$A$1:$I$89,5,0)</f>
        <v>-2.9262992029543964E-13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246.64907095367749</v>
      </c>
      <c r="CZ185" s="62">
        <f t="shared" si="150"/>
        <v>145.34368562171613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207.03241199974599</v>
      </c>
      <c r="T186" s="62">
        <f t="shared" si="142"/>
        <v>314.188568589113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0.65227843375697692</v>
      </c>
      <c r="AA186" s="23">
        <f>EXP(-LN(2)/25)*AA185+(1-EXP(-LN(2)/25))/(LN(2)/25)*Calculateur!V186*Calculateur!X186*VLOOKUP('Données projet'!$B$9,Paramètres!$A$1:$I$89,3,0)*0.475*44/12</f>
        <v>0.14017640663286199</v>
      </c>
      <c r="AB186" s="23">
        <f>EXP(-LN(2)/2)*AB185+(1-EXP(-LN(2)/2))/(LN(2)/2)*V186*Y186*VLOOKUP('Données projet'!$B$9,Paramètres!$A$1:$I$89,3,0)*0.475*44/12</f>
        <v>2.7368199067644854E-23</v>
      </c>
      <c r="AC186" s="24">
        <f t="shared" si="163"/>
        <v>0.79245484038983893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245.25496369542458</v>
      </c>
      <c r="AO186" s="62">
        <f t="shared" si="144"/>
        <v>342.30266518164211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1.1882548278663309E-13</v>
      </c>
      <c r="BF186" s="14">
        <f t="shared" si="167"/>
        <v>1.7496137229198366E-12</v>
      </c>
      <c r="BG186" s="22">
        <f t="shared" si="168"/>
        <v>3.2541982832721012E-12</v>
      </c>
      <c r="BH186" s="62">
        <f t="shared" si="116"/>
        <v>293.33333333333655</v>
      </c>
      <c r="BI186" s="62">
        <f ca="1">AVERAGE(OFFSET($BH$3,0,0,'Données projet'!$E$11+1,1))-AVERAGE(OFFSET($H$3,0,0,'Données projet'!$E$11+1,1))</f>
        <v>377.78532142539677</v>
      </c>
      <c r="BJ186" s="62">
        <f t="shared" si="146"/>
        <v>234.27695813539111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-2.8421709430404007E-13</v>
      </c>
      <c r="BZ186" s="14">
        <f>BY186*VLOOKUP('Données projet'!$B$12,Paramètres!$A$1:$I$89,3,0)*VLOOKUP('Données projet'!$B$12,Paramètres!$A$1:$I$89,5,0)</f>
        <v>-2.8819613362429665E-13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360.32217613090035</v>
      </c>
      <c r="CE186" s="62">
        <f t="shared" si="148"/>
        <v>159.6134369231965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-6.2527760746888816E-13</v>
      </c>
      <c r="CU186" s="18">
        <f>CT186*VLOOKUP('Données projet'!$B$13,Paramètres!$A$1:$I$89,3,0)*VLOOKUP('Données projet'!$B$13,Paramètres!$A$1:$I$89,5,0)</f>
        <v>-2.9262992029543964E-13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246.64907095367749</v>
      </c>
      <c r="CZ186" s="62">
        <f t="shared" si="150"/>
        <v>145.34368562171613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207.03241199974599</v>
      </c>
      <c r="T187" s="62">
        <f t="shared" si="142"/>
        <v>314.188568589113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0.63948765152156273</v>
      </c>
      <c r="AA187" s="23">
        <f>EXP(-LN(2)/25)*AA186+(1-EXP(-LN(2)/25))/(LN(2)/25)*Calculateur!V187*Calculateur!X187*VLOOKUP('Données projet'!$B$9,Paramètres!$A$1:$I$89,3,0)*0.475*44/12</f>
        <v>0.13634327542192953</v>
      </c>
      <c r="AB187" s="23">
        <f>EXP(-LN(2)/2)*AB186+(1-EXP(-LN(2)/2))/(LN(2)/2)*V187*Y187*VLOOKUP('Données projet'!$B$9,Paramètres!$A$1:$I$89,3,0)*0.475*44/12</f>
        <v>1.9352239149595024E-23</v>
      </c>
      <c r="AC187" s="24">
        <f t="shared" si="163"/>
        <v>0.77583092694349221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245.25496369542458</v>
      </c>
      <c r="AO187" s="62">
        <f t="shared" si="144"/>
        <v>342.30266518164211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1.1882548278663309E-13</v>
      </c>
      <c r="BF187" s="14">
        <f t="shared" si="167"/>
        <v>1.7496137229198366E-12</v>
      </c>
      <c r="BG187" s="22">
        <f t="shared" si="168"/>
        <v>3.2541982832721012E-12</v>
      </c>
      <c r="BH187" s="62">
        <f t="shared" si="116"/>
        <v>293.33333333333655</v>
      </c>
      <c r="BI187" s="62">
        <f ca="1">AVERAGE(OFFSET($BH$3,0,0,'Données projet'!$E$11+1,1))-AVERAGE(OFFSET($H$3,0,0,'Données projet'!$E$11+1,1))</f>
        <v>377.78532142539677</v>
      </c>
      <c r="BJ187" s="62">
        <f t="shared" si="146"/>
        <v>234.27695813539111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-2.8421709430404007E-13</v>
      </c>
      <c r="BZ187" s="14">
        <f>BY187*VLOOKUP('Données projet'!$B$12,Paramètres!$A$1:$I$89,3,0)*VLOOKUP('Données projet'!$B$12,Paramètres!$A$1:$I$89,5,0)</f>
        <v>-2.8819613362429665E-13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360.32217613090035</v>
      </c>
      <c r="CE187" s="62">
        <f t="shared" si="148"/>
        <v>159.6134369231965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-6.2527760746888816E-13</v>
      </c>
      <c r="CU187" s="18">
        <f>CT187*VLOOKUP('Données projet'!$B$13,Paramètres!$A$1:$I$89,3,0)*VLOOKUP('Données projet'!$B$13,Paramètres!$A$1:$I$89,5,0)</f>
        <v>-2.9262992029543964E-13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246.64907095367749</v>
      </c>
      <c r="CZ187" s="62">
        <f t="shared" si="150"/>
        <v>145.34368562171613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207.03241199974599</v>
      </c>
      <c r="T188" s="62">
        <f t="shared" si="142"/>
        <v>314.188568589113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0.62694768872417816</v>
      </c>
      <c r="AA188" s="23">
        <f>EXP(-LN(2)/25)*AA187+(1-EXP(-LN(2)/25))/(LN(2)/25)*Calculateur!V188*Calculateur!X188*VLOOKUP('Données projet'!$B$9,Paramètres!$A$1:$I$89,3,0)*0.475*44/12</f>
        <v>0.13261496138553563</v>
      </c>
      <c r="AB188" s="23">
        <f>EXP(-LN(2)/2)*AB187+(1-EXP(-LN(2)/2))/(LN(2)/2)*V188*Y188*VLOOKUP('Données projet'!$B$9,Paramètres!$A$1:$I$89,3,0)*0.475*44/12</f>
        <v>1.3684099533822427E-23</v>
      </c>
      <c r="AC188" s="24">
        <f t="shared" si="163"/>
        <v>0.7595626501097138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245.25496369542458</v>
      </c>
      <c r="AO188" s="62">
        <f t="shared" si="144"/>
        <v>342.30266518164211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1.1882548278663309E-13</v>
      </c>
      <c r="BF188" s="14">
        <f t="shared" si="167"/>
        <v>1.7496137229198366E-12</v>
      </c>
      <c r="BG188" s="22">
        <f t="shared" si="168"/>
        <v>3.2541982832721012E-12</v>
      </c>
      <c r="BH188" s="62">
        <f t="shared" si="116"/>
        <v>293.33333333333655</v>
      </c>
      <c r="BI188" s="62">
        <f ca="1">AVERAGE(OFFSET($BH$3,0,0,'Données projet'!$E$11+1,1))-AVERAGE(OFFSET($H$3,0,0,'Données projet'!$E$11+1,1))</f>
        <v>377.78532142539677</v>
      </c>
      <c r="BJ188" s="62">
        <f t="shared" si="146"/>
        <v>234.27695813539111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-2.8421709430404007E-13</v>
      </c>
      <c r="BZ188" s="14">
        <f>BY188*VLOOKUP('Données projet'!$B$12,Paramètres!$A$1:$I$89,3,0)*VLOOKUP('Données projet'!$B$12,Paramètres!$A$1:$I$89,5,0)</f>
        <v>-2.8819613362429665E-13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360.32217613090035</v>
      </c>
      <c r="CE188" s="62">
        <f t="shared" si="148"/>
        <v>159.6134369231965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-6.2527760746888816E-13</v>
      </c>
      <c r="CU188" s="18">
        <f>CT188*VLOOKUP('Données projet'!$B$13,Paramètres!$A$1:$I$89,3,0)*VLOOKUP('Données projet'!$B$13,Paramètres!$A$1:$I$89,5,0)</f>
        <v>-2.9262992029543964E-13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246.64907095367749</v>
      </c>
      <c r="CZ188" s="62">
        <f t="shared" si="150"/>
        <v>145.34368562171613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207.03241199974599</v>
      </c>
      <c r="T189" s="62">
        <f t="shared" si="142"/>
        <v>314.188568589113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0.61465362694862824</v>
      </c>
      <c r="AA189" s="23">
        <f>EXP(-LN(2)/25)*AA188+(1-EXP(-LN(2)/25))/(LN(2)/25)*Calculateur!V189*Calculateur!X189*VLOOKUP('Données projet'!$B$9,Paramètres!$A$1:$I$89,3,0)*0.475*44/12</f>
        <v>0.12898859829253043</v>
      </c>
      <c r="AB189" s="23">
        <f>EXP(-LN(2)/2)*AB188+(1-EXP(-LN(2)/2))/(LN(2)/2)*V189*Y189*VLOOKUP('Données projet'!$B$9,Paramètres!$A$1:$I$89,3,0)*0.475*44/12</f>
        <v>9.6761195747975119E-24</v>
      </c>
      <c r="AC189" s="24">
        <f t="shared" si="163"/>
        <v>0.74364222524115864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245.25496369542458</v>
      </c>
      <c r="AO189" s="62">
        <f t="shared" si="144"/>
        <v>342.30266518164211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1.1882548278663309E-13</v>
      </c>
      <c r="BF189" s="14">
        <f t="shared" si="167"/>
        <v>1.7496137229198366E-12</v>
      </c>
      <c r="BG189" s="22">
        <f t="shared" si="168"/>
        <v>3.2541982832721012E-12</v>
      </c>
      <c r="BH189" s="62">
        <f t="shared" si="116"/>
        <v>293.33333333333655</v>
      </c>
      <c r="BI189" s="62">
        <f ca="1">AVERAGE(OFFSET($BH$3,0,0,'Données projet'!$E$11+1,1))-AVERAGE(OFFSET($H$3,0,0,'Données projet'!$E$11+1,1))</f>
        <v>377.78532142539677</v>
      </c>
      <c r="BJ189" s="62">
        <f t="shared" si="146"/>
        <v>234.27695813539111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-2.8421709430404007E-13</v>
      </c>
      <c r="BZ189" s="14">
        <f>BY189*VLOOKUP('Données projet'!$B$12,Paramètres!$A$1:$I$89,3,0)*VLOOKUP('Données projet'!$B$12,Paramètres!$A$1:$I$89,5,0)</f>
        <v>-2.8819613362429665E-13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360.32217613090035</v>
      </c>
      <c r="CE189" s="62">
        <f t="shared" si="148"/>
        <v>159.6134369231965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-6.2527760746888816E-13</v>
      </c>
      <c r="CU189" s="18">
        <f>CT189*VLOOKUP('Données projet'!$B$13,Paramètres!$A$1:$I$89,3,0)*VLOOKUP('Données projet'!$B$13,Paramètres!$A$1:$I$89,5,0)</f>
        <v>-2.9262992029543964E-13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246.64907095367749</v>
      </c>
      <c r="CZ189" s="62">
        <f t="shared" si="150"/>
        <v>145.34368562171613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207.03241199974599</v>
      </c>
      <c r="T190" s="62">
        <f t="shared" si="142"/>
        <v>314.188568589113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0.60260064422585957</v>
      </c>
      <c r="AA190" s="23">
        <f>EXP(-LN(2)/25)*AA189+(1-EXP(-LN(2)/25))/(LN(2)/25)*Calculateur!V190*Calculateur!X190*VLOOKUP('Données projet'!$B$9,Paramètres!$A$1:$I$89,3,0)*0.475*44/12</f>
        <v>0.1254613982890056</v>
      </c>
      <c r="AB190" s="23">
        <f>EXP(-LN(2)/2)*AB189+(1-EXP(-LN(2)/2))/(LN(2)/2)*V190*Y190*VLOOKUP('Données projet'!$B$9,Paramètres!$A$1:$I$89,3,0)*0.475*44/12</f>
        <v>6.8420497669112134E-24</v>
      </c>
      <c r="AC190" s="24">
        <f t="shared" si="163"/>
        <v>0.72806204251486517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245.25496369542458</v>
      </c>
      <c r="AO190" s="62">
        <f t="shared" si="144"/>
        <v>342.30266518164211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1.1882548278663309E-13</v>
      </c>
      <c r="BF190" s="14">
        <f t="shared" si="167"/>
        <v>1.7496137229198366E-12</v>
      </c>
      <c r="BG190" s="22">
        <f t="shared" si="168"/>
        <v>3.2541982832721012E-12</v>
      </c>
      <c r="BH190" s="62">
        <f t="shared" si="116"/>
        <v>293.33333333333655</v>
      </c>
      <c r="BI190" s="62">
        <f ca="1">AVERAGE(OFFSET($BH$3,0,0,'Données projet'!$E$11+1,1))-AVERAGE(OFFSET($H$3,0,0,'Données projet'!$E$11+1,1))</f>
        <v>377.78532142539677</v>
      </c>
      <c r="BJ190" s="62">
        <f t="shared" si="146"/>
        <v>234.27695813539111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-2.8421709430404007E-13</v>
      </c>
      <c r="BZ190" s="14">
        <f>BY190*VLOOKUP('Données projet'!$B$12,Paramètres!$A$1:$I$89,3,0)*VLOOKUP('Données projet'!$B$12,Paramètres!$A$1:$I$89,5,0)</f>
        <v>-2.8819613362429665E-13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360.32217613090035</v>
      </c>
      <c r="CE190" s="62">
        <f t="shared" si="148"/>
        <v>159.6134369231965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-6.2527760746888816E-13</v>
      </c>
      <c r="CU190" s="18">
        <f>CT190*VLOOKUP('Données projet'!$B$13,Paramètres!$A$1:$I$89,3,0)*VLOOKUP('Données projet'!$B$13,Paramètres!$A$1:$I$89,5,0)</f>
        <v>-2.9262992029543964E-13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246.64907095367749</v>
      </c>
      <c r="CZ190" s="62">
        <f t="shared" si="150"/>
        <v>145.34368562171613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207.03241199974599</v>
      </c>
      <c r="T191" s="62">
        <f t="shared" si="142"/>
        <v>314.188568589113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0.59078401314269091</v>
      </c>
      <c r="AA191" s="23">
        <f>EXP(-LN(2)/25)*AA190+(1-EXP(-LN(2)/25))/(LN(2)/25)*Calculateur!V191*Calculateur!X191*VLOOKUP('Données projet'!$B$9,Paramètres!$A$1:$I$89,3,0)*0.475*44/12</f>
        <v>0.12203064975506456</v>
      </c>
      <c r="AB191" s="23">
        <f>EXP(-LN(2)/2)*AB190+(1-EXP(-LN(2)/2))/(LN(2)/2)*V191*Y191*VLOOKUP('Données projet'!$B$9,Paramètres!$A$1:$I$89,3,0)*0.475*44/12</f>
        <v>4.8380597873987559E-24</v>
      </c>
      <c r="AC191" s="24">
        <f t="shared" si="163"/>
        <v>0.71281466289775541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245.25496369542458</v>
      </c>
      <c r="AO191" s="62">
        <f t="shared" si="144"/>
        <v>342.30266518164211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1.1882548278663309E-13</v>
      </c>
      <c r="BF191" s="14">
        <f t="shared" si="167"/>
        <v>1.7496137229198366E-12</v>
      </c>
      <c r="BG191" s="22">
        <f t="shared" si="168"/>
        <v>3.2541982832721012E-12</v>
      </c>
      <c r="BH191" s="62">
        <f t="shared" si="116"/>
        <v>293.33333333333655</v>
      </c>
      <c r="BI191" s="62">
        <f ca="1">AVERAGE(OFFSET($BH$3,0,0,'Données projet'!$E$11+1,1))-AVERAGE(OFFSET($H$3,0,0,'Données projet'!$E$11+1,1))</f>
        <v>377.78532142539677</v>
      </c>
      <c r="BJ191" s="62">
        <f t="shared" si="146"/>
        <v>234.27695813539111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-2.8421709430404007E-13</v>
      </c>
      <c r="BZ191" s="14">
        <f>BY191*VLOOKUP('Données projet'!$B$12,Paramètres!$A$1:$I$89,3,0)*VLOOKUP('Données projet'!$B$12,Paramètres!$A$1:$I$89,5,0)</f>
        <v>-2.8819613362429665E-13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360.32217613090035</v>
      </c>
      <c r="CE191" s="62">
        <f t="shared" si="148"/>
        <v>159.6134369231965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-6.2527760746888816E-13</v>
      </c>
      <c r="CU191" s="18">
        <f>CT191*VLOOKUP('Données projet'!$B$13,Paramètres!$A$1:$I$89,3,0)*VLOOKUP('Données projet'!$B$13,Paramètres!$A$1:$I$89,5,0)</f>
        <v>-2.9262992029543964E-13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246.64907095367749</v>
      </c>
      <c r="CZ191" s="62">
        <f t="shared" si="150"/>
        <v>145.34368562171613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207.03241199974599</v>
      </c>
      <c r="T192" s="62">
        <f t="shared" si="142"/>
        <v>314.188568589113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0.57919909898762989</v>
      </c>
      <c r="AA192" s="23">
        <f>EXP(-LN(2)/25)*AA191+(1-EXP(-LN(2)/25))/(LN(2)/25)*Calculateur!V192*Calculateur!X192*VLOOKUP('Données projet'!$B$9,Paramètres!$A$1:$I$89,3,0)*0.475*44/12</f>
        <v>0.11869371522019935</v>
      </c>
      <c r="AB192" s="23">
        <f>EXP(-LN(2)/2)*AB191+(1-EXP(-LN(2)/2))/(LN(2)/2)*V192*Y192*VLOOKUP('Données projet'!$B$9,Paramètres!$A$1:$I$89,3,0)*0.475*44/12</f>
        <v>3.4210248834556067E-24</v>
      </c>
      <c r="AC192" s="24">
        <f t="shared" si="163"/>
        <v>0.69789281420782923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245.25496369542458</v>
      </c>
      <c r="AO192" s="62">
        <f t="shared" si="144"/>
        <v>342.30266518164211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1.1882548278663309E-13</v>
      </c>
      <c r="BF192" s="14">
        <f t="shared" si="167"/>
        <v>1.7496137229198366E-12</v>
      </c>
      <c r="BG192" s="22">
        <f t="shared" si="168"/>
        <v>3.2541982832721012E-12</v>
      </c>
      <c r="BH192" s="62">
        <f t="shared" si="116"/>
        <v>293.33333333333655</v>
      </c>
      <c r="BI192" s="62">
        <f ca="1">AVERAGE(OFFSET($BH$3,0,0,'Données projet'!$E$11+1,1))-AVERAGE(OFFSET($H$3,0,0,'Données projet'!$E$11+1,1))</f>
        <v>377.78532142539677</v>
      </c>
      <c r="BJ192" s="62">
        <f t="shared" si="146"/>
        <v>234.27695813539111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-2.8421709430404007E-13</v>
      </c>
      <c r="BZ192" s="14">
        <f>BY192*VLOOKUP('Données projet'!$B$12,Paramètres!$A$1:$I$89,3,0)*VLOOKUP('Données projet'!$B$12,Paramètres!$A$1:$I$89,5,0)</f>
        <v>-2.8819613362429665E-13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360.32217613090035</v>
      </c>
      <c r="CE192" s="62">
        <f t="shared" si="148"/>
        <v>159.6134369231965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-6.2527760746888816E-13</v>
      </c>
      <c r="CU192" s="18">
        <f>CT192*VLOOKUP('Données projet'!$B$13,Paramètres!$A$1:$I$89,3,0)*VLOOKUP('Données projet'!$B$13,Paramètres!$A$1:$I$89,5,0)</f>
        <v>-2.9262992029543964E-13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246.64907095367749</v>
      </c>
      <c r="CZ192" s="62">
        <f t="shared" si="150"/>
        <v>145.34368562171613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207.03241199974599</v>
      </c>
      <c r="T193" s="62">
        <f t="shared" si="142"/>
        <v>314.188568589113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0.56784135793304968</v>
      </c>
      <c r="AA193" s="23">
        <f>EXP(-LN(2)/25)*AA192+(1-EXP(-LN(2)/25))/(LN(2)/25)*Calculateur!V193*Calculateur!X193*VLOOKUP('Données projet'!$B$9,Paramètres!$A$1:$I$89,3,0)*0.475*44/12</f>
        <v>0.11544802933567179</v>
      </c>
      <c r="AB193" s="23">
        <f>EXP(-LN(2)/2)*AB192+(1-EXP(-LN(2)/2))/(LN(2)/2)*V193*Y193*VLOOKUP('Données projet'!$B$9,Paramètres!$A$1:$I$89,3,0)*0.475*44/12</f>
        <v>2.419029893699378E-24</v>
      </c>
      <c r="AC193" s="24">
        <f t="shared" si="163"/>
        <v>0.68328938726872146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245.25496369542458</v>
      </c>
      <c r="AO193" s="62">
        <f t="shared" si="144"/>
        <v>342.30266518164211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1.1882548278663309E-13</v>
      </c>
      <c r="BF193" s="14">
        <f t="shared" si="167"/>
        <v>1.7496137229198366E-12</v>
      </c>
      <c r="BG193" s="22">
        <f t="shared" si="168"/>
        <v>3.2541982832721012E-12</v>
      </c>
      <c r="BH193" s="62">
        <f t="shared" si="116"/>
        <v>293.33333333333655</v>
      </c>
      <c r="BI193" s="62">
        <f ca="1">AVERAGE(OFFSET($BH$3,0,0,'Données projet'!$E$11+1,1))-AVERAGE(OFFSET($H$3,0,0,'Données projet'!$E$11+1,1))</f>
        <v>377.78532142539677</v>
      </c>
      <c r="BJ193" s="62">
        <f t="shared" si="146"/>
        <v>234.27695813539111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-2.8421709430404007E-13</v>
      </c>
      <c r="BZ193" s="14">
        <f>BY193*VLOOKUP('Données projet'!$B$12,Paramètres!$A$1:$I$89,3,0)*VLOOKUP('Données projet'!$B$12,Paramètres!$A$1:$I$89,5,0)</f>
        <v>-2.8819613362429665E-13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360.32217613090035</v>
      </c>
      <c r="CE193" s="62">
        <f t="shared" si="148"/>
        <v>159.6134369231965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-6.2527760746888816E-13</v>
      </c>
      <c r="CU193" s="18">
        <f>CT193*VLOOKUP('Données projet'!$B$13,Paramètres!$A$1:$I$89,3,0)*VLOOKUP('Données projet'!$B$13,Paramètres!$A$1:$I$89,5,0)</f>
        <v>-2.9262992029543964E-13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246.64907095367749</v>
      </c>
      <c r="CZ193" s="62">
        <f t="shared" si="150"/>
        <v>145.34368562171613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207.03241199974599</v>
      </c>
      <c r="T194" s="62">
        <f t="shared" si="142"/>
        <v>314.188568589113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0.55670633525301183</v>
      </c>
      <c r="AA194" s="23">
        <f>EXP(-LN(2)/25)*AA193+(1-EXP(-LN(2)/25))/(LN(2)/25)*Calculateur!V194*Calculateur!X194*VLOOKUP('Données projet'!$B$9,Paramètres!$A$1:$I$89,3,0)*0.475*44/12</f>
        <v>0.11229109690233985</v>
      </c>
      <c r="AB194" s="23">
        <f>EXP(-LN(2)/2)*AB193+(1-EXP(-LN(2)/2))/(LN(2)/2)*V194*Y194*VLOOKUP('Données projet'!$B$9,Paramètres!$A$1:$I$89,3,0)*0.475*44/12</f>
        <v>1.7105124417278033E-24</v>
      </c>
      <c r="AC194" s="24">
        <f t="shared" si="163"/>
        <v>0.66899743215535168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245.25496369542458</v>
      </c>
      <c r="AO194" s="62">
        <f t="shared" si="144"/>
        <v>342.30266518164211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1.1882548278663309E-13</v>
      </c>
      <c r="BF194" s="14">
        <f t="shared" si="167"/>
        <v>1.7496137229198366E-12</v>
      </c>
      <c r="BG194" s="22">
        <f t="shared" si="168"/>
        <v>3.2541982832721012E-12</v>
      </c>
      <c r="BH194" s="62">
        <f t="shared" si="116"/>
        <v>293.33333333333655</v>
      </c>
      <c r="BI194" s="62">
        <f ca="1">AVERAGE(OFFSET($BH$3,0,0,'Données projet'!$E$11+1,1))-AVERAGE(OFFSET($H$3,0,0,'Données projet'!$E$11+1,1))</f>
        <v>377.78532142539677</v>
      </c>
      <c r="BJ194" s="62">
        <f t="shared" si="146"/>
        <v>234.27695813539111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-2.8421709430404007E-13</v>
      </c>
      <c r="BZ194" s="14">
        <f>BY194*VLOOKUP('Données projet'!$B$12,Paramètres!$A$1:$I$89,3,0)*VLOOKUP('Données projet'!$B$12,Paramètres!$A$1:$I$89,5,0)</f>
        <v>-2.8819613362429665E-13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360.32217613090035</v>
      </c>
      <c r="CE194" s="62">
        <f t="shared" si="148"/>
        <v>159.6134369231965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-6.2527760746888816E-13</v>
      </c>
      <c r="CU194" s="18">
        <f>CT194*VLOOKUP('Données projet'!$B$13,Paramètres!$A$1:$I$89,3,0)*VLOOKUP('Données projet'!$B$13,Paramètres!$A$1:$I$89,5,0)</f>
        <v>-2.9262992029543964E-13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246.64907095367749</v>
      </c>
      <c r="CZ194" s="62">
        <f t="shared" si="150"/>
        <v>145.34368562171613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207.03241199974599</v>
      </c>
      <c r="T195" s="62">
        <f t="shared" si="142"/>
        <v>314.188568589113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0.54578966357603631</v>
      </c>
      <c r="AA195" s="23">
        <f>EXP(-LN(2)/25)*AA194+(1-EXP(-LN(2)/25))/(LN(2)/25)*Calculateur!V195*Calculateur!X195*VLOOKUP('Données projet'!$B$9,Paramètres!$A$1:$I$89,3,0)*0.475*44/12</f>
        <v>0.10922049095241322</v>
      </c>
      <c r="AB195" s="23">
        <f>EXP(-LN(2)/2)*AB194+(1-EXP(-LN(2)/2))/(LN(2)/2)*V195*Y195*VLOOKUP('Données projet'!$B$9,Paramètres!$A$1:$I$89,3,0)*0.475*44/12</f>
        <v>1.209514946849689E-24</v>
      </c>
      <c r="AC195" s="24">
        <f t="shared" si="163"/>
        <v>0.65501015452844957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245.25496369542458</v>
      </c>
      <c r="AO195" s="62">
        <f t="shared" si="144"/>
        <v>342.30266518164211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1.1882548278663309E-13</v>
      </c>
      <c r="BF195" s="14">
        <f t="shared" si="167"/>
        <v>1.7496137229198366E-12</v>
      </c>
      <c r="BG195" s="22">
        <f t="shared" si="168"/>
        <v>3.2541982832721012E-12</v>
      </c>
      <c r="BH195" s="62">
        <f t="shared" si="116"/>
        <v>293.33333333333655</v>
      </c>
      <c r="BI195" s="62">
        <f ca="1">AVERAGE(OFFSET($BH$3,0,0,'Données projet'!$E$11+1,1))-AVERAGE(OFFSET($H$3,0,0,'Données projet'!$E$11+1,1))</f>
        <v>377.78532142539677</v>
      </c>
      <c r="BJ195" s="62">
        <f t="shared" si="146"/>
        <v>234.27695813539111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-2.8421709430404007E-13</v>
      </c>
      <c r="BZ195" s="14">
        <f>BY195*VLOOKUP('Données projet'!$B$12,Paramètres!$A$1:$I$89,3,0)*VLOOKUP('Données projet'!$B$12,Paramètres!$A$1:$I$89,5,0)</f>
        <v>-2.8819613362429665E-13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360.32217613090035</v>
      </c>
      <c r="CE195" s="62">
        <f t="shared" si="148"/>
        <v>159.6134369231965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-6.2527760746888816E-13</v>
      </c>
      <c r="CU195" s="18">
        <f>CT195*VLOOKUP('Données projet'!$B$13,Paramètres!$A$1:$I$89,3,0)*VLOOKUP('Données projet'!$B$13,Paramètres!$A$1:$I$89,5,0)</f>
        <v>-2.9262992029543964E-13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246.64907095367749</v>
      </c>
      <c r="CZ195" s="62">
        <f t="shared" si="150"/>
        <v>145.34368562171613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207.03241199974599</v>
      </c>
      <c r="T196" s="62">
        <f t="shared" si="142"/>
        <v>314.188568589113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0.535087061172134</v>
      </c>
      <c r="AA196" s="23">
        <f>EXP(-LN(2)/25)*AA195+(1-EXP(-LN(2)/25))/(LN(2)/25)*Calculateur!V196*Calculateur!X196*VLOOKUP('Données projet'!$B$9,Paramètres!$A$1:$I$89,3,0)*0.475*44/12</f>
        <v>0.10623385088366349</v>
      </c>
      <c r="AB196" s="23">
        <f>EXP(-LN(2)/2)*AB195+(1-EXP(-LN(2)/2))/(LN(2)/2)*V196*Y196*VLOOKUP('Données projet'!$B$9,Paramètres!$A$1:$I$89,3,0)*0.475*44/12</f>
        <v>8.5525622086390167E-25</v>
      </c>
      <c r="AC196" s="24">
        <f t="shared" si="163"/>
        <v>0.64132091205579744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245.25496369542458</v>
      </c>
      <c r="AO196" s="62">
        <f t="shared" si="144"/>
        <v>342.30266518164211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1.1882548278663309E-13</v>
      </c>
      <c r="BF196" s="14">
        <f t="shared" si="167"/>
        <v>1.7496137229198366E-12</v>
      </c>
      <c r="BG196" s="22">
        <f t="shared" si="168"/>
        <v>3.2541982832721012E-12</v>
      </c>
      <c r="BH196" s="62">
        <f t="shared" ref="BH196:BH203" si="194">BG196+(AY196+AZ196)*44/12</f>
        <v>293.33333333333655</v>
      </c>
      <c r="BI196" s="62">
        <f ca="1">AVERAGE(OFFSET($BH$3,0,0,'Données projet'!$E$11+1,1))-AVERAGE(OFFSET($H$3,0,0,'Données projet'!$E$11+1,1))</f>
        <v>377.78532142539677</v>
      </c>
      <c r="BJ196" s="62">
        <f t="shared" si="146"/>
        <v>234.27695813539111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-2.8421709430404007E-13</v>
      </c>
      <c r="BZ196" s="14">
        <f>BY196*VLOOKUP('Données projet'!$B$12,Paramètres!$A$1:$I$89,3,0)*VLOOKUP('Données projet'!$B$12,Paramètres!$A$1:$I$89,5,0)</f>
        <v>-2.8819613362429665E-13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360.32217613090035</v>
      </c>
      <c r="CE196" s="62">
        <f t="shared" si="148"/>
        <v>159.6134369231965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-6.2527760746888816E-13</v>
      </c>
      <c r="CU196" s="18">
        <f>CT196*VLOOKUP('Données projet'!$B$13,Paramètres!$A$1:$I$89,3,0)*VLOOKUP('Données projet'!$B$13,Paramètres!$A$1:$I$89,5,0)</f>
        <v>-2.9262992029543964E-13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246.64907095367749</v>
      </c>
      <c r="CZ196" s="62">
        <f t="shared" si="150"/>
        <v>145.34368562171613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207.03241199974599</v>
      </c>
      <c r="T197" s="62">
        <f t="shared" ref="T197:T203" si="204">$T$3</f>
        <v>314.188568589113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0.52459433027342928</v>
      </c>
      <c r="AA197" s="23">
        <f>EXP(-LN(2)/25)*AA196+(1-EXP(-LN(2)/25))/(LN(2)/25)*Calculateur!V197*Calculateur!X197*VLOOKUP('Données projet'!$B$9,Paramètres!$A$1:$I$89,3,0)*0.475*44/12</f>
        <v>0.1033288806446543</v>
      </c>
      <c r="AB197" s="23">
        <f>EXP(-LN(2)/2)*AB196+(1-EXP(-LN(2)/2))/(LN(2)/2)*V197*Y197*VLOOKUP('Données projet'!$B$9,Paramètres!$A$1:$I$89,3,0)*0.475*44/12</f>
        <v>6.0475747342484449E-25</v>
      </c>
      <c r="AC197" s="24">
        <f t="shared" si="163"/>
        <v>0.62792321091808356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245.25496369542458</v>
      </c>
      <c r="AO197" s="62">
        <f t="shared" ref="AO197:AO203" si="205">$AO$3</f>
        <v>342.30266518164211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1.1882548278663309E-13</v>
      </c>
      <c r="BF197" s="14">
        <f t="shared" si="167"/>
        <v>1.7496137229198366E-12</v>
      </c>
      <c r="BG197" s="22">
        <f t="shared" si="168"/>
        <v>3.2541982832721012E-12</v>
      </c>
      <c r="BH197" s="62">
        <f t="shared" si="194"/>
        <v>293.33333333333655</v>
      </c>
      <c r="BI197" s="62">
        <f ca="1">AVERAGE(OFFSET($BH$3,0,0,'Données projet'!$E$11+1,1))-AVERAGE(OFFSET($H$3,0,0,'Données projet'!$E$11+1,1))</f>
        <v>377.78532142539677</v>
      </c>
      <c r="BJ197" s="62">
        <f t="shared" ref="BJ197:BJ203" si="206">$BJ$3</f>
        <v>234.27695813539111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-2.8421709430404007E-13</v>
      </c>
      <c r="BZ197" s="14">
        <f>BY197*VLOOKUP('Données projet'!$B$12,Paramètres!$A$1:$I$89,3,0)*VLOOKUP('Données projet'!$B$12,Paramètres!$A$1:$I$89,5,0)</f>
        <v>-2.8819613362429665E-13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360.32217613090035</v>
      </c>
      <c r="CE197" s="62">
        <f t="shared" ref="CE197:CE203" si="207">$CE$3</f>
        <v>159.6134369231965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-6.2527760746888816E-13</v>
      </c>
      <c r="CU197" s="18">
        <f>CT197*VLOOKUP('Données projet'!$B$13,Paramètres!$A$1:$I$89,3,0)*VLOOKUP('Données projet'!$B$13,Paramètres!$A$1:$I$89,5,0)</f>
        <v>-2.9262992029543964E-13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246.64907095367749</v>
      </c>
      <c r="CZ197" s="62">
        <f t="shared" ref="CZ197:CZ203" si="208">$CZ$3</f>
        <v>145.34368562171613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207.03241199974599</v>
      </c>
      <c r="T198" s="62">
        <f t="shared" si="204"/>
        <v>314.188568589113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0.51430735542771433</v>
      </c>
      <c r="AA198" s="23">
        <f>EXP(-LN(2)/25)*AA197+(1-EXP(-LN(2)/25))/(LN(2)/25)*Calculateur!V198*Calculateur!X198*VLOOKUP('Données projet'!$B$9,Paramètres!$A$1:$I$89,3,0)*0.475*44/12</f>
        <v>0.10050334696959656</v>
      </c>
      <c r="AB198" s="23">
        <f>EXP(-LN(2)/2)*AB197+(1-EXP(-LN(2)/2))/(LN(2)/2)*V198*Y198*VLOOKUP('Données projet'!$B$9,Paramètres!$A$1:$I$89,3,0)*0.475*44/12</f>
        <v>4.2762811043195084E-25</v>
      </c>
      <c r="AC198" s="24">
        <f t="shared" si="163"/>
        <v>0.61481070239731084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245.25496369542458</v>
      </c>
      <c r="AO198" s="62">
        <f t="shared" si="205"/>
        <v>342.30266518164211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1.1882548278663309E-13</v>
      </c>
      <c r="BF198" s="14">
        <f t="shared" si="167"/>
        <v>1.7496137229198366E-12</v>
      </c>
      <c r="BG198" s="22">
        <f t="shared" si="168"/>
        <v>3.2541982832721012E-12</v>
      </c>
      <c r="BH198" s="62">
        <f t="shared" si="194"/>
        <v>293.33333333333655</v>
      </c>
      <c r="BI198" s="62">
        <f ca="1">AVERAGE(OFFSET($BH$3,0,0,'Données projet'!$E$11+1,1))-AVERAGE(OFFSET($H$3,0,0,'Données projet'!$E$11+1,1))</f>
        <v>377.78532142539677</v>
      </c>
      <c r="BJ198" s="62">
        <f t="shared" si="206"/>
        <v>234.27695813539111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-2.8421709430404007E-13</v>
      </c>
      <c r="BZ198" s="14">
        <f>BY198*VLOOKUP('Données projet'!$B$12,Paramètres!$A$1:$I$89,3,0)*VLOOKUP('Données projet'!$B$12,Paramètres!$A$1:$I$89,5,0)</f>
        <v>-2.8819613362429665E-13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360.32217613090035</v>
      </c>
      <c r="CE198" s="62">
        <f t="shared" si="207"/>
        <v>159.6134369231965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-6.2527760746888816E-13</v>
      </c>
      <c r="CU198" s="18">
        <f>CT198*VLOOKUP('Données projet'!$B$13,Paramètres!$A$1:$I$89,3,0)*VLOOKUP('Données projet'!$B$13,Paramètres!$A$1:$I$89,5,0)</f>
        <v>-2.9262992029543964E-13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246.64907095367749</v>
      </c>
      <c r="CZ198" s="62">
        <f t="shared" si="208"/>
        <v>145.34368562171613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207.03241199974599</v>
      </c>
      <c r="T199" s="62">
        <f t="shared" si="204"/>
        <v>314.188568589113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0.50422210188428873</v>
      </c>
      <c r="AA199" s="23">
        <f>EXP(-LN(2)/25)*AA198+(1-EXP(-LN(2)/25))/(LN(2)/25)*Calculateur!V199*Calculateur!X199*VLOOKUP('Données projet'!$B$9,Paramètres!$A$1:$I$89,3,0)*0.475*44/12</f>
        <v>9.7755077661471637E-2</v>
      </c>
      <c r="AB199" s="23">
        <f>EXP(-LN(2)/2)*AB198+(1-EXP(-LN(2)/2))/(LN(2)/2)*V199*Y199*VLOOKUP('Données projet'!$B$9,Paramètres!$A$1:$I$89,3,0)*0.475*44/12</f>
        <v>3.0237873671242225E-25</v>
      </c>
      <c r="AC199" s="24">
        <f t="shared" si="163"/>
        <v>0.60197717954576035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245.25496369542458</v>
      </c>
      <c r="AO199" s="62">
        <f t="shared" si="205"/>
        <v>342.30266518164211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1.1882548278663309E-13</v>
      </c>
      <c r="BF199" s="14">
        <f t="shared" si="167"/>
        <v>1.7496137229198366E-12</v>
      </c>
      <c r="BG199" s="22">
        <f t="shared" si="168"/>
        <v>3.2541982832721012E-12</v>
      </c>
      <c r="BH199" s="62">
        <f t="shared" si="194"/>
        <v>293.33333333333655</v>
      </c>
      <c r="BI199" s="62">
        <f ca="1">AVERAGE(OFFSET($BH$3,0,0,'Données projet'!$E$11+1,1))-AVERAGE(OFFSET($H$3,0,0,'Données projet'!$E$11+1,1))</f>
        <v>377.78532142539677</v>
      </c>
      <c r="BJ199" s="62">
        <f t="shared" si="206"/>
        <v>234.27695813539111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-2.8421709430404007E-13</v>
      </c>
      <c r="BZ199" s="14">
        <f>BY199*VLOOKUP('Données projet'!$B$12,Paramètres!$A$1:$I$89,3,0)*VLOOKUP('Données projet'!$B$12,Paramètres!$A$1:$I$89,5,0)</f>
        <v>-2.8819613362429665E-13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360.32217613090035</v>
      </c>
      <c r="CE199" s="62">
        <f t="shared" si="207"/>
        <v>159.6134369231965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-6.2527760746888816E-13</v>
      </c>
      <c r="CU199" s="18">
        <f>CT199*VLOOKUP('Données projet'!$B$13,Paramètres!$A$1:$I$89,3,0)*VLOOKUP('Données projet'!$B$13,Paramètres!$A$1:$I$89,5,0)</f>
        <v>-2.9262992029543964E-13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246.64907095367749</v>
      </c>
      <c r="CZ199" s="62">
        <f t="shared" si="208"/>
        <v>145.34368562171613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207.03241199974599</v>
      </c>
      <c r="T200" s="62">
        <f t="shared" si="204"/>
        <v>314.188568589113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0.4943346140114524</v>
      </c>
      <c r="AA200" s="23">
        <f>EXP(-LN(2)/25)*AA199+(1-EXP(-LN(2)/25))/(LN(2)/25)*Calculateur!V200*Calculateur!X200*VLOOKUP('Données projet'!$B$9,Paramètres!$A$1:$I$89,3,0)*0.475*44/12</f>
        <v>9.5081959922102582E-2</v>
      </c>
      <c r="AB200" s="23">
        <f>EXP(-LN(2)/2)*AB199+(1-EXP(-LN(2)/2))/(LN(2)/2)*V200*Y200*VLOOKUP('Données projet'!$B$9,Paramètres!$A$1:$I$89,3,0)*0.475*44/12</f>
        <v>2.1381405521597542E-25</v>
      </c>
      <c r="AC200" s="24">
        <f t="shared" si="163"/>
        <v>0.58941657393355495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245.25496369542458</v>
      </c>
      <c r="AO200" s="62">
        <f t="shared" si="205"/>
        <v>342.30266518164211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1.1882548278663309E-13</v>
      </c>
      <c r="BF200" s="14">
        <f t="shared" si="167"/>
        <v>1.7496137229198366E-12</v>
      </c>
      <c r="BG200" s="22">
        <f t="shared" si="168"/>
        <v>3.2541982832721012E-12</v>
      </c>
      <c r="BH200" s="62">
        <f t="shared" si="194"/>
        <v>293.33333333333655</v>
      </c>
      <c r="BI200" s="62">
        <f ca="1">AVERAGE(OFFSET($BH$3,0,0,'Données projet'!$E$11+1,1))-AVERAGE(OFFSET($H$3,0,0,'Données projet'!$E$11+1,1))</f>
        <v>377.78532142539677</v>
      </c>
      <c r="BJ200" s="62">
        <f t="shared" si="206"/>
        <v>234.27695813539111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-2.8421709430404007E-13</v>
      </c>
      <c r="BZ200" s="14">
        <f>BY200*VLOOKUP('Données projet'!$B$12,Paramètres!$A$1:$I$89,3,0)*VLOOKUP('Données projet'!$B$12,Paramètres!$A$1:$I$89,5,0)</f>
        <v>-2.8819613362429665E-13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360.32217613090035</v>
      </c>
      <c r="CE200" s="62">
        <f t="shared" si="207"/>
        <v>159.6134369231965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-6.2527760746888816E-13</v>
      </c>
      <c r="CU200" s="18">
        <f>CT200*VLOOKUP('Données projet'!$B$13,Paramètres!$A$1:$I$89,3,0)*VLOOKUP('Données projet'!$B$13,Paramètres!$A$1:$I$89,5,0)</f>
        <v>-2.9262992029543964E-13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246.64907095367749</v>
      </c>
      <c r="CZ200" s="62">
        <f t="shared" si="208"/>
        <v>145.34368562171613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207.03241199974599</v>
      </c>
      <c r="T201" s="62">
        <f t="shared" si="204"/>
        <v>314.188568589113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0.48464101374503032</v>
      </c>
      <c r="AA201" s="23">
        <f>EXP(-LN(2)/25)*AA200+(1-EXP(-LN(2)/25))/(LN(2)/25)*Calculateur!V201*Calculateur!X201*VLOOKUP('Données projet'!$B$9,Paramètres!$A$1:$I$89,3,0)*0.475*44/12</f>
        <v>9.2481938727889734E-2</v>
      </c>
      <c r="AB201" s="23">
        <f>EXP(-LN(2)/2)*AB200+(1-EXP(-LN(2)/2))/(LN(2)/2)*V201*Y201*VLOOKUP('Données projet'!$B$9,Paramètres!$A$1:$I$89,3,0)*0.475*44/12</f>
        <v>1.5118936835621112E-25</v>
      </c>
      <c r="AC201" s="24">
        <f t="shared" si="163"/>
        <v>0.57712295247292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245.25496369542458</v>
      </c>
      <c r="AO201" s="62">
        <f t="shared" si="205"/>
        <v>342.30266518164211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1.1882548278663309E-13</v>
      </c>
      <c r="BF201" s="14">
        <f t="shared" si="167"/>
        <v>1.7496137229198366E-12</v>
      </c>
      <c r="BG201" s="22">
        <f t="shared" si="168"/>
        <v>3.2541982832721012E-12</v>
      </c>
      <c r="BH201" s="62">
        <f t="shared" si="194"/>
        <v>293.33333333333655</v>
      </c>
      <c r="BI201" s="62">
        <f ca="1">AVERAGE(OFFSET($BH$3,0,0,'Données projet'!$E$11+1,1))-AVERAGE(OFFSET($H$3,0,0,'Données projet'!$E$11+1,1))</f>
        <v>377.78532142539677</v>
      </c>
      <c r="BJ201" s="62">
        <f t="shared" si="206"/>
        <v>234.27695813539111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-2.8421709430404007E-13</v>
      </c>
      <c r="BZ201" s="14">
        <f>BY201*VLOOKUP('Données projet'!$B$12,Paramètres!$A$1:$I$89,3,0)*VLOOKUP('Données projet'!$B$12,Paramètres!$A$1:$I$89,5,0)</f>
        <v>-2.8819613362429665E-13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360.32217613090035</v>
      </c>
      <c r="CE201" s="62">
        <f t="shared" si="207"/>
        <v>159.6134369231965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-6.2527760746888816E-13</v>
      </c>
      <c r="CU201" s="18">
        <f>CT201*VLOOKUP('Données projet'!$B$13,Paramètres!$A$1:$I$89,3,0)*VLOOKUP('Données projet'!$B$13,Paramètres!$A$1:$I$89,5,0)</f>
        <v>-2.9262992029543964E-13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246.64907095367749</v>
      </c>
      <c r="CZ201" s="62">
        <f t="shared" si="208"/>
        <v>145.34368562171613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207.03241199974599</v>
      </c>
      <c r="T202" s="62">
        <f t="shared" si="204"/>
        <v>314.188568589113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0.47513749906732039</v>
      </c>
      <c r="AA202" s="23">
        <f>EXP(-LN(2)/25)*AA201+(1-EXP(-LN(2)/25))/(LN(2)/25)*Calculateur!V202*Calculateur!X202*VLOOKUP('Données projet'!$B$9,Paramètres!$A$1:$I$89,3,0)*0.475*44/12</f>
        <v>8.9953015249961799E-2</v>
      </c>
      <c r="AB202" s="23">
        <f>EXP(-LN(2)/2)*AB201+(1-EXP(-LN(2)/2))/(LN(2)/2)*V202*Y202*VLOOKUP('Données projet'!$B$9,Paramètres!$A$1:$I$89,3,0)*0.475*44/12</f>
        <v>1.0690702760798771E-25</v>
      </c>
      <c r="AC202" s="24">
        <f t="shared" si="163"/>
        <v>0.56509051431728219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245.25496369542458</v>
      </c>
      <c r="AO202" s="62">
        <f t="shared" si="205"/>
        <v>342.30266518164211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1.1882548278663309E-13</v>
      </c>
      <c r="BF202" s="14">
        <f t="shared" si="167"/>
        <v>1.7496137229198366E-12</v>
      </c>
      <c r="BG202" s="22">
        <f t="shared" si="168"/>
        <v>3.2541982832721012E-12</v>
      </c>
      <c r="BH202" s="62">
        <f t="shared" si="194"/>
        <v>293.33333333333655</v>
      </c>
      <c r="BI202" s="62">
        <f ca="1">AVERAGE(OFFSET($BH$3,0,0,'Données projet'!$E$11+1,1))-AVERAGE(OFFSET($H$3,0,0,'Données projet'!$E$11+1,1))</f>
        <v>377.78532142539677</v>
      </c>
      <c r="BJ202" s="62">
        <f t="shared" si="206"/>
        <v>234.27695813539111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-2.8421709430404007E-13</v>
      </c>
      <c r="BZ202" s="14">
        <f>BY202*VLOOKUP('Données projet'!$B$12,Paramètres!$A$1:$I$89,3,0)*VLOOKUP('Données projet'!$B$12,Paramètres!$A$1:$I$89,5,0)</f>
        <v>-2.8819613362429665E-13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360.32217613090035</v>
      </c>
      <c r="CE202" s="62">
        <f t="shared" si="207"/>
        <v>159.6134369231965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-6.2527760746888816E-13</v>
      </c>
      <c r="CU202" s="18">
        <f>CT202*VLOOKUP('Données projet'!$B$13,Paramètres!$A$1:$I$89,3,0)*VLOOKUP('Données projet'!$B$13,Paramètres!$A$1:$I$89,5,0)</f>
        <v>-2.9262992029543964E-13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246.64907095367749</v>
      </c>
      <c r="CZ202" s="62">
        <f t="shared" si="208"/>
        <v>145.34368562171613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207.03241199974599</v>
      </c>
      <c r="T203" s="62">
        <f t="shared" si="204"/>
        <v>314.188568589113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0.46582034251586879</v>
      </c>
      <c r="AA203" s="23">
        <f>EXP(-LN(2)/25)*AA202+(1-EXP(-LN(2)/25))/(LN(2)/25)*Calculateur!V203*Calculateur!X203*VLOOKUP('Données projet'!$B$9,Paramètres!$A$1:$I$89,3,0)*0.475*44/12</f>
        <v>8.7493245317528112E-2</v>
      </c>
      <c r="AB203" s="23">
        <f>EXP(-LN(2)/2)*AB202+(1-EXP(-LN(2)/2))/(LN(2)/2)*V203*Y203*VLOOKUP('Données projet'!$B$9,Paramètres!$A$1:$I$89,3,0)*0.475*44/12</f>
        <v>7.5594684178105561E-26</v>
      </c>
      <c r="AC203" s="24">
        <f t="shared" si="163"/>
        <v>0.5533135878333969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245.25496369542458</v>
      </c>
      <c r="AO203" s="62">
        <f t="shared" si="205"/>
        <v>342.30266518164211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1.1882548278663309E-13</v>
      </c>
      <c r="BF203" s="14">
        <f t="shared" si="167"/>
        <v>1.7496137229198366E-12</v>
      </c>
      <c r="BG203" s="22">
        <f t="shared" si="168"/>
        <v>3.2541982832721012E-12</v>
      </c>
      <c r="BH203" s="62">
        <f t="shared" si="194"/>
        <v>293.33333333333655</v>
      </c>
      <c r="BI203" s="62">
        <f ca="1">AVERAGE(OFFSET($BH$3,0,0,'Données projet'!$E$11+1,1))-AVERAGE(OFFSET($H$3,0,0,'Données projet'!$E$11+1,1))</f>
        <v>377.78532142539677</v>
      </c>
      <c r="BJ203" s="62">
        <f t="shared" si="206"/>
        <v>234.27695813539111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-2.8421709430404007E-13</v>
      </c>
      <c r="BZ203" s="14">
        <f>BY203*VLOOKUP('Données projet'!$B$12,Paramètres!$A$1:$I$89,3,0)*VLOOKUP('Données projet'!$B$12,Paramètres!$A$1:$I$89,5,0)</f>
        <v>-2.8819613362429665E-13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360.32217613090035</v>
      </c>
      <c r="CE203" s="62">
        <f t="shared" si="207"/>
        <v>159.6134369231965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-6.2527760746888816E-13</v>
      </c>
      <c r="CU203" s="18">
        <f>CT203*VLOOKUP('Données projet'!$B$13,Paramètres!$A$1:$I$89,3,0)*VLOOKUP('Données projet'!$B$13,Paramètres!$A$1:$I$89,5,0)</f>
        <v>-2.9262992029543964E-13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246.64907095367749</v>
      </c>
      <c r="CZ203" s="62">
        <f t="shared" si="208"/>
        <v>145.34368562171613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1.3566516392624868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1.8556007362580844</v>
      </c>
      <c r="BA205" s="88">
        <f>EXP(LN('Données projet'!B88)/'Données projet'!A88)</f>
        <v>1.197119521332874</v>
      </c>
      <c r="BV205" s="88">
        <f>EXP(LN('Données projet'!B114)/'Données projet'!A114)</f>
        <v>1.1457367676485573</v>
      </c>
      <c r="CQ205" s="88">
        <f>EXP(LN('Données projet'!B140)/'Données projet'!A140)</f>
        <v>1.167092777711815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2.8219659999999998</v>
      </c>
      <c r="C6" s="156">
        <f ca="1">IF(OR('Données projet'!B9="",'Données projet'!C9="",'Données projet'!C9=0%),0,Calculateur!S3)</f>
        <v>207.03241199974599</v>
      </c>
      <c r="D6" s="156">
        <f>IF(OR('Données projet'!B9="",'Données projet'!C9="",'Données projet'!C9=0%),0,Calculateur!T3)</f>
        <v>314.188568589113</v>
      </c>
      <c r="E6" s="156">
        <f ca="1">MIN(C6,D6)</f>
        <v>207.03241199974599</v>
      </c>
      <c r="F6" s="156">
        <f ca="1">E6*B6</f>
        <v>584.2384275612751</v>
      </c>
      <c r="G6" s="156">
        <f ca="1">F6*(100%-'Données projet'!$C$24)*(100%-'Données projet'!$C$25)*(100%-'Données projet'!$C$26)*(100%-'Données projet'!$C$27)</f>
        <v>499.52385556489025</v>
      </c>
      <c r="H6" s="157">
        <f>IF(OR('Données projet'!B9="",'Données projet'!C9="",'Données projet'!C9=0%),0,AVERAGE(Calculateur!$AC$3:$AC$33)*B6)</f>
        <v>23.970705262785451</v>
      </c>
      <c r="I6" s="158">
        <f>H6*(100%-'Données projet'!$C$24)*(100%-'Données projet'!$C$25)*(100%-'Données projet'!$C$26)*(100%-'Données projet'!$C$27)</f>
        <v>20.494952999681562</v>
      </c>
      <c r="J6" s="159">
        <f>IF(OR('Données projet'!B9="",'Données projet'!C9="",'Données projet'!C9=0%),0,SUM(Calculateur!$V$3:$V$33)*VLOOKUP('Données projet'!$B$9,Paramètres!$A$1:$I$89,9,0)*B6)</f>
        <v>186.38394048329994</v>
      </c>
      <c r="K6" s="160">
        <f>J6*(100%-'Données projet'!$C$24)*(100%-'Données projet'!$C$25)*(100%-'Données projet'!$C$26)*(100%-'Données projet'!$C$27)</f>
        <v>159.35826911322144</v>
      </c>
      <c r="L6" s="161">
        <f ca="1">G6+I6+K6</f>
        <v>679.3770776777933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1.0106839999999999</v>
      </c>
      <c r="C7" s="156">
        <f ca="1">IF(OR('Données projet'!B10="",'Données projet'!C10="",'Données projet'!C10=0%),0,Calculateur!AN3)</f>
        <v>245.25496369542458</v>
      </c>
      <c r="D7" s="156">
        <f>IF(OR('Données projet'!B10="",'Données projet'!C10="",'Données projet'!C10=0%),0,Calculateur!AO3)</f>
        <v>342.30266518164211</v>
      </c>
      <c r="E7" s="156">
        <f t="shared" ref="E7:E15" ca="1" si="0">MIN(C7,D7)</f>
        <v>245.25496369542458</v>
      </c>
      <c r="F7" s="156">
        <f t="shared" ref="F7:F15" ca="1" si="1">E7*B7</f>
        <v>247.87526772754649</v>
      </c>
      <c r="G7" s="156">
        <f ca="1">F7*(100%-'Données projet'!$C$24)*(100%-'Données projet'!$C$25)*(100%-'Données projet'!$C$26)*(100%-'Données projet'!$C$27)</f>
        <v>211.93335390705226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13.644233999999999</v>
      </c>
      <c r="K7" s="160">
        <f>J7*(100%-'Données projet'!$C$24)*(100%-'Données projet'!$C$25)*(100%-'Données projet'!$C$26)*(100%-'Données projet'!$C$27)</f>
        <v>11.665820069999999</v>
      </c>
      <c r="L7" s="161">
        <f t="shared" ref="L7:L15" ca="1" si="2">G7+I7+K7</f>
        <v>223.59917397705226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0.53940999999999995</v>
      </c>
      <c r="C8" s="156">
        <f ca="1">IF(OR('Données projet'!B11="",'Données projet'!C11="",'Données projet'!C11=0%),0,Calculateur!BI3)</f>
        <v>377.78532142539677</v>
      </c>
      <c r="D8" s="156">
        <f>IF(OR('Données projet'!B11="",'Données projet'!C11="",'Données projet'!C11=0%),0,Calculateur!BJ3)</f>
        <v>234.27695813539111</v>
      </c>
      <c r="E8" s="156">
        <f t="shared" ca="1" si="0"/>
        <v>234.27695813539111</v>
      </c>
      <c r="F8" s="156">
        <f t="shared" ca="1" si="1"/>
        <v>126.37133398781131</v>
      </c>
      <c r="G8" s="156">
        <f ca="1">F8*(100%-'Données projet'!$C$24)*(100%-'Données projet'!$C$25)*(100%-'Données projet'!$C$26)*(100%-'Données projet'!$C$27)</f>
        <v>108.04749055957866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2.3339855769230766</v>
      </c>
      <c r="K8" s="160">
        <f>J8*(100%-'Données projet'!$C$24)*(100%-'Données projet'!$C$25)*(100%-'Données projet'!$C$26)*(100%-'Données projet'!$C$27)</f>
        <v>1.9955576682692304</v>
      </c>
      <c r="L8" s="161">
        <f t="shared" ca="1" si="2"/>
        <v>110.04304822784789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0.53940999999999995</v>
      </c>
      <c r="C9" s="156">
        <f ca="1">IF(OR('Données projet'!B12="",'Données projet'!C12="",'Données projet'!C12=0%),0,Calculateur!CD3)</f>
        <v>360.32217613090035</v>
      </c>
      <c r="D9" s="156">
        <f>IF(OR('Données projet'!B12="",'Données projet'!C12="",'Données projet'!C12=0%),0,Calculateur!CE3)</f>
        <v>159.6134369231965</v>
      </c>
      <c r="E9" s="156">
        <f t="shared" ca="1" si="0"/>
        <v>159.6134369231965</v>
      </c>
      <c r="F9" s="156">
        <f t="shared" ca="1" si="1"/>
        <v>86.097084010741412</v>
      </c>
      <c r="G9" s="156">
        <f ca="1">F9*(100%-'Données projet'!$C$24)*(100%-'Données projet'!$C$25)*(100%-'Données projet'!$C$26)*(100%-'Données projet'!$C$27)</f>
        <v>73.613006829183902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73.613006829183902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Cèdre de l'Atlas</v>
      </c>
      <c r="B10" s="163">
        <f>'Données projet'!D13</f>
        <v>0.20440799999999998</v>
      </c>
      <c r="C10" s="156">
        <f ca="1">IF(OR('Données projet'!B13="",'Données projet'!C13="",'Données projet'!C13=0%),0,Calculateur!CY3)</f>
        <v>246.64907095367749</v>
      </c>
      <c r="D10" s="156">
        <f>IF(OR('Données projet'!B13="",'Données projet'!C13="",'Données projet'!C13=0%),0,Calculateur!CZ3)</f>
        <v>145.34368562171613</v>
      </c>
      <c r="E10" s="156">
        <f t="shared" ca="1" si="0"/>
        <v>145.34368562171613</v>
      </c>
      <c r="F10" s="156">
        <f t="shared" ca="1" si="1"/>
        <v>29.709412090563749</v>
      </c>
      <c r="G10" s="156">
        <f ca="1">F10*(100%-'Données projet'!$C$24)*(100%-'Données projet'!$C$25)*(100%-'Données projet'!$C$26)*(100%-'Données projet'!$C$27)</f>
        <v>25.401547337432007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25.401547337432007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1074.2915253779381</v>
      </c>
      <c r="G16" s="175">
        <f t="shared" ca="1" si="3"/>
        <v>918.51925419813711</v>
      </c>
      <c r="H16" s="176">
        <f t="shared" si="3"/>
        <v>23.970705262785451</v>
      </c>
      <c r="I16" s="176">
        <f t="shared" si="3"/>
        <v>20.494952999681562</v>
      </c>
      <c r="J16" s="177">
        <f t="shared" si="3"/>
        <v>202.36216006022303</v>
      </c>
      <c r="K16" s="177">
        <f t="shared" si="3"/>
        <v>173.01964685149068</v>
      </c>
      <c r="L16" s="178">
        <f t="shared" ca="1" si="3"/>
        <v>1112.0338540493094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D7" zoomScale="80" zoomScaleNormal="80" workbookViewId="0">
      <selection activeCell="I23" sqref="I23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2996.3021477436941</v>
      </c>
      <c r="U10" s="190">
        <f>'Données projet'!D9</f>
        <v>2.8219659999999998</v>
      </c>
      <c r="V10" s="189">
        <f>U10*T10</f>
        <v>8455.4627866596802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1900.0011877686238</v>
      </c>
      <c r="U11" s="190">
        <f>'Données projet'!D10</f>
        <v>1.0106839999999999</v>
      </c>
      <c r="V11" s="189">
        <f t="shared" ref="V11" si="0">U11*T11</f>
        <v>1920.3008004587437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452.82833605674284</v>
      </c>
      <c r="U12" s="190">
        <f>'Données projet'!D11</f>
        <v>0.53940999999999995</v>
      </c>
      <c r="V12" s="189">
        <f t="shared" ref="V12:V19" si="1">U12*T12</f>
        <v>244.26013275236764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379.71474924048306</v>
      </c>
      <c r="U13" s="190">
        <f>'Données projet'!D12</f>
        <v>0.53940999999999995</v>
      </c>
      <c r="V13" s="189">
        <f t="shared" si="1"/>
        <v>204.82193288780894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853.50830451036859</v>
      </c>
      <c r="U14" s="190">
        <f>'Données projet'!D13</f>
        <v>0.20440799999999998</v>
      </c>
      <c r="V14" s="189">
        <f t="shared" si="1"/>
        <v>174.4639255083554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12610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-60600.270421733047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13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-60600.270421733047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15</v>
      </c>
      <c r="B26" s="193">
        <f>'Données projet'!D39</f>
        <v>23.3155</v>
      </c>
      <c r="C26" s="206">
        <v>10</v>
      </c>
      <c r="D26" s="194">
        <f t="shared" si="2"/>
        <v>233.155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16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17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18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19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20</v>
      </c>
      <c r="B31" s="193">
        <f>'Données projet'!D44</f>
        <v>34.110500000000002</v>
      </c>
      <c r="C31" s="206">
        <v>15</v>
      </c>
      <c r="D31" s="194">
        <f t="shared" si="2"/>
        <v>511.65750000000003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21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22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23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24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25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27</v>
      </c>
      <c r="B37" s="193">
        <f>'Données projet'!D50</f>
        <v>54.518999999999998</v>
      </c>
      <c r="C37" s="206">
        <v>20</v>
      </c>
      <c r="D37" s="194">
        <f t="shared" si="2"/>
        <v>1090.3799999999999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30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32</v>
      </c>
      <c r="B39" s="193">
        <f>'Données projet'!D52</f>
        <v>62.73</v>
      </c>
      <c r="C39" s="206">
        <v>25</v>
      </c>
      <c r="D39" s="194">
        <f t="shared" si="2"/>
        <v>1568.25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37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42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44</v>
      </c>
      <c r="B42" s="193">
        <f>'Données projet'!D55</f>
        <v>337.78999999999996</v>
      </c>
      <c r="C42" s="206">
        <v>40</v>
      </c>
      <c r="D42" s="194">
        <f t="shared" si="2"/>
        <v>13511.599999999999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17</v>
      </c>
      <c r="C55" s="206">
        <v>10</v>
      </c>
      <c r="D55" s="191">
        <f t="shared" ref="D55:D73" si="4">B55*C55</f>
        <v>170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13</v>
      </c>
      <c r="C56" s="206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10</v>
      </c>
      <c r="C57" s="206">
        <v>15</v>
      </c>
      <c r="D57" s="191">
        <f t="shared" si="4"/>
        <v>150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8</v>
      </c>
      <c r="C58" s="206">
        <v>15</v>
      </c>
      <c r="D58" s="191">
        <f t="shared" si="4"/>
        <v>120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6</v>
      </c>
      <c r="C59" s="206">
        <v>20</v>
      </c>
      <c r="D59" s="191">
        <f t="shared" si="4"/>
        <v>120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5</v>
      </c>
      <c r="C60" s="206">
        <v>30</v>
      </c>
      <c r="D60" s="191">
        <f t="shared" si="4"/>
        <v>150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4</v>
      </c>
      <c r="C61" s="206">
        <v>40</v>
      </c>
      <c r="D61" s="191">
        <f t="shared" si="4"/>
        <v>160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198</v>
      </c>
      <c r="C62" s="206">
        <v>60</v>
      </c>
      <c r="D62" s="191">
        <f t="shared" si="4"/>
        <v>11880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str">
        <f>IF(O77+1&lt;=MIN('Données projet'!$E$9:$E$18),O77+1,"STOP")</f>
        <v>STOP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17.307692307692307</v>
      </c>
      <c r="C87" s="204">
        <v>10</v>
      </c>
      <c r="D87" s="191">
        <f t="shared" si="6"/>
        <v>173.07692307692307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17.307692307692307</v>
      </c>
      <c r="C89" s="204">
        <v>10</v>
      </c>
      <c r="D89" s="191">
        <f t="shared" si="6"/>
        <v>173.07692307692307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18.589743589743588</v>
      </c>
      <c r="C91" s="204">
        <v>15</v>
      </c>
      <c r="D91" s="191">
        <f t="shared" si="6"/>
        <v>278.84615384615381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19.23076923076923</v>
      </c>
      <c r="C93" s="204">
        <v>20</v>
      </c>
      <c r="D93" s="191">
        <f t="shared" si="6"/>
        <v>384.61538461538458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18.589743589743588</v>
      </c>
      <c r="C95" s="204">
        <v>40</v>
      </c>
      <c r="D95" s="191">
        <f t="shared" si="6"/>
        <v>743.58974358974353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17.948717948717949</v>
      </c>
      <c r="C97" s="204">
        <v>60</v>
      </c>
      <c r="D97" s="191">
        <f t="shared" si="6"/>
        <v>1076.9230769230769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16.666666666666668</v>
      </c>
      <c r="C99" s="204">
        <v>100</v>
      </c>
      <c r="D99" s="191">
        <f t="shared" si="6"/>
        <v>1666.6666666666667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16.025641025641026</v>
      </c>
      <c r="C101" s="204">
        <v>130</v>
      </c>
      <c r="D101" s="191">
        <f t="shared" si="6"/>
        <v>2083.3333333333335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14.102564102564102</v>
      </c>
      <c r="C102" s="204">
        <v>140</v>
      </c>
      <c r="D102" s="191">
        <f t="shared" si="6"/>
        <v>1974.3589743589744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120</v>
      </c>
      <c r="B103" s="193">
        <f>'Données projet'!D106</f>
        <v>13.461538461538462</v>
      </c>
      <c r="C103" s="204">
        <v>150</v>
      </c>
      <c r="D103" s="191">
        <f t="shared" si="6"/>
        <v>2019.2307692307693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130</v>
      </c>
      <c r="B104" s="193">
        <f>'Données projet'!D107</f>
        <v>258.97435897435895</v>
      </c>
      <c r="C104" s="204">
        <v>200</v>
      </c>
      <c r="D104" s="191">
        <f t="shared" si="6"/>
        <v>51794.871794871789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6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0</v>
      </c>
      <c r="C118" s="206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27</v>
      </c>
      <c r="C119" s="206">
        <v>10</v>
      </c>
      <c r="D119" s="191">
        <f t="shared" si="8"/>
        <v>270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0</v>
      </c>
      <c r="C120" s="206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28</v>
      </c>
      <c r="C121" s="206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0</v>
      </c>
      <c r="C122" s="206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28</v>
      </c>
      <c r="C123" s="206">
        <v>20</v>
      </c>
      <c r="D123" s="191">
        <f t="shared" si="8"/>
        <v>560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0</v>
      </c>
      <c r="C124" s="206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28</v>
      </c>
      <c r="C125" s="206">
        <v>30</v>
      </c>
      <c r="D125" s="191">
        <f t="shared" si="8"/>
        <v>840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28</v>
      </c>
      <c r="C127" s="206">
        <v>40</v>
      </c>
      <c r="D127" s="191">
        <f t="shared" si="8"/>
        <v>1120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28</v>
      </c>
      <c r="C129" s="206">
        <v>70</v>
      </c>
      <c r="D129" s="191">
        <f t="shared" si="8"/>
        <v>1960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100</v>
      </c>
      <c r="B130" s="193">
        <f>'Données projet'!D128</f>
        <v>28</v>
      </c>
      <c r="C130" s="206">
        <v>100</v>
      </c>
      <c r="D130" s="191">
        <f t="shared" si="8"/>
        <v>2800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110</v>
      </c>
      <c r="B131" s="193">
        <f>'Données projet'!D129</f>
        <v>27</v>
      </c>
      <c r="C131" s="206">
        <v>120</v>
      </c>
      <c r="D131" s="191">
        <f t="shared" si="8"/>
        <v>3240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120</v>
      </c>
      <c r="B132" s="193">
        <f>'Données projet'!D130</f>
        <v>25</v>
      </c>
      <c r="C132" s="206">
        <v>120</v>
      </c>
      <c r="D132" s="191">
        <f t="shared" si="8"/>
        <v>3000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130</v>
      </c>
      <c r="B133" s="193">
        <f>'Données projet'!D131</f>
        <v>21</v>
      </c>
      <c r="C133" s="206">
        <v>150</v>
      </c>
      <c r="D133" s="191">
        <f t="shared" si="8"/>
        <v>3150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140</v>
      </c>
      <c r="B134" s="193">
        <f>'Données projet'!D132</f>
        <v>17</v>
      </c>
      <c r="C134" s="206">
        <v>200</v>
      </c>
      <c r="D134" s="191">
        <f t="shared" si="8"/>
        <v>3400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150</v>
      </c>
      <c r="B135" s="193">
        <f>'Données projet'!D133</f>
        <v>224</v>
      </c>
      <c r="C135" s="206">
        <v>200</v>
      </c>
      <c r="D135" s="191">
        <f t="shared" si="8"/>
        <v>44800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7">
        <f>'Données projet'!D140</f>
        <v>0</v>
      </c>
      <c r="C147" s="204"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51</v>
      </c>
      <c r="B148" s="187">
        <f>'Données projet'!D141</f>
        <v>100</v>
      </c>
      <c r="C148" s="204">
        <v>20</v>
      </c>
      <c r="D148" s="194">
        <f t="shared" ref="D148:D166" si="10">B148*C148</f>
        <v>2000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63</v>
      </c>
      <c r="B149" s="187">
        <f>'Données projet'!D142</f>
        <v>108.46153846153845</v>
      </c>
      <c r="C149" s="204">
        <v>20</v>
      </c>
      <c r="D149" s="194">
        <f t="shared" si="10"/>
        <v>2169.2307692307691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75</v>
      </c>
      <c r="B150" s="187">
        <f>'Données projet'!D143</f>
        <v>85.384615384615415</v>
      </c>
      <c r="C150" s="204">
        <v>30</v>
      </c>
      <c r="D150" s="194">
        <f t="shared" si="10"/>
        <v>2561.5384615384623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87</v>
      </c>
      <c r="B151" s="187">
        <f>'Données projet'!D144</f>
        <v>83.076923076923038</v>
      </c>
      <c r="C151" s="204">
        <v>50</v>
      </c>
      <c r="D151" s="194">
        <f t="shared" si="10"/>
        <v>4153.8461538461515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99</v>
      </c>
      <c r="B152" s="187">
        <f>'Données projet'!D145</f>
        <v>198.46153846153845</v>
      </c>
      <c r="C152" s="204">
        <v>60</v>
      </c>
      <c r="D152" s="194">
        <f t="shared" si="10"/>
        <v>11907.692307692307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109</v>
      </c>
      <c r="B153" s="187">
        <f>'Données projet'!D146</f>
        <v>256.15384615384613</v>
      </c>
      <c r="C153" s="204">
        <v>80</v>
      </c>
      <c r="D153" s="194">
        <f t="shared" si="10"/>
        <v>20492.307692307691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2023-07-11T09:45:50Z</dcterms:modified>
</cp:coreProperties>
</file>