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0ea58l\Desktop\Maxime Pastaud_Campet-et-Lamolère\"/>
    </mc:Choice>
  </mc:AlternateContent>
  <xr:revisionPtr revIDLastSave="0" documentId="8_{681DB02C-39CC-4E84-A53A-F8B02C7A6CB3}" xr6:coauthVersionLast="47" xr6:coauthVersionMax="47" xr10:uidLastSave="{00000000-0000-0000-0000-000000000000}"/>
  <bookViews>
    <workbookView xWindow="-110" yWindow="-110" windowWidth="19420" windowHeight="1042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A4" i="2" l="1"/>
  <c r="FR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W7" i="2" l="1"/>
  <c r="EX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EC20" i="2"/>
  <c r="EV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HI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HG33" i="2" s="1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CM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X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FS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HI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HI46" i="2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FS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EW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V61" i="2"/>
  <c r="EW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FS75" i="2"/>
  <c r="HG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W85" i="2"/>
  <c r="EV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HI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V105" i="2"/>
  <c r="EB105" i="2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EB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X112" i="2"/>
  <c r="EB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EB113" i="2"/>
  <c r="HG113" i="2"/>
  <c r="EW113" i="2"/>
  <c r="HI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C122" i="2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I130" i="2"/>
  <c r="EW130" i="2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X140" i="2"/>
  <c r="EC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EB141" i="2"/>
  <c r="HH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EA144" i="2"/>
  <c r="FR144" i="2"/>
  <c r="EX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EA146" i="2"/>
  <c r="HH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G154" i="2" l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AC154" i="2"/>
  <c r="EA155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EX156" i="2"/>
  <c r="ED155" i="2"/>
  <c r="FS156" i="2"/>
  <c r="EB156" i="2"/>
  <c r="DH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EW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FS160" i="2"/>
  <c r="EY159" i="2"/>
  <c r="EC160" i="2"/>
  <c r="H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FS161" i="2"/>
  <c r="EX161" i="2"/>
  <c r="EA161" i="2"/>
  <c r="ED160" i="2"/>
  <c r="AB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EW162" i="2"/>
  <c r="DI161" i="2"/>
  <c r="EC162" i="2"/>
  <c r="HH162" i="2"/>
  <c r="HG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B163" i="2"/>
  <c r="ED163" i="2" s="1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FR164" i="2"/>
  <c r="DI163" i="2"/>
  <c r="EA164" i="2"/>
  <c r="EX164" i="2"/>
  <c r="DH164" i="2"/>
  <c r="FS164" i="2"/>
  <c r="EV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ED165" i="2"/>
  <c r="CN165" i="2"/>
  <c r="EC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DG167" i="2"/>
  <c r="FR167" i="2"/>
  <c r="EX167" i="2"/>
  <c r="EC167" i="2"/>
  <c r="EA167" i="2"/>
  <c r="HH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FS169" i="2"/>
  <c r="EX169" i="2"/>
  <c r="EA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D171" i="2" s="1"/>
  <c r="EX171" i="2"/>
  <c r="DH171" i="2"/>
  <c r="EW171" i="2"/>
  <c r="EY171" i="2" s="1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V172" i="2"/>
  <c r="EB172" i="2"/>
  <c r="EA172" i="2"/>
  <c r="HG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C174" i="2"/>
  <c r="HG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A175" i="2" l="1"/>
  <c r="FS175" i="2"/>
  <c r="HI175" i="2"/>
  <c r="EB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FQ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ED177" i="2"/>
  <c r="FQ178" i="2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V179" i="2"/>
  <c r="DF179" i="2"/>
  <c r="EA179" i="2"/>
  <c r="HG179" i="2"/>
  <c r="HI179" i="2"/>
  <c r="FS179" i="2"/>
  <c r="EX179" i="2"/>
  <c r="EY179" i="2" s="1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EX180" i="2"/>
  <c r="HI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EC182" i="2"/>
  <c r="DG182" i="2"/>
  <c r="FS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V185" i="2" l="1"/>
  <c r="EA185" i="2"/>
  <c r="EB185" i="2"/>
  <c r="EW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FS186" i="2"/>
  <c r="HH186" i="2"/>
  <c r="FR186" i="2"/>
  <c r="EA186" i="2"/>
  <c r="HG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EB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V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H191" i="2"/>
  <c r="HG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C192" i="2" l="1"/>
  <c r="EW192" i="2"/>
  <c r="HG192" i="2"/>
  <c r="EA192" i="2"/>
  <c r="EV192" i="2"/>
  <c r="EY192" i="2" s="1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B194" i="2"/>
  <c r="ED194" i="2" s="1"/>
  <c r="FQ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FQ195" i="2" l="1"/>
  <c r="EB195" i="2"/>
  <c r="EY194" i="2"/>
  <c r="DH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EY195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Y196" i="2"/>
  <c r="FS197" i="2"/>
  <c r="EC197" i="2"/>
  <c r="EA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B199" i="2"/>
  <c r="EW199" i="2"/>
  <c r="HH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EA201" i="2"/>
  <c r="HH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W202" i="2" l="1"/>
  <c r="EY201" i="2"/>
  <c r="ED201" i="2"/>
  <c r="FZ6" i="2"/>
  <c r="FR202" i="2"/>
  <c r="EX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5" i="2" a="1"/>
  <c r="FY35" i="2" s="1"/>
  <c r="FY69" i="2" a="1"/>
  <c r="FY69" i="2" s="1"/>
  <c r="FY186" i="2" a="1"/>
  <c r="FY186" i="2" s="1"/>
  <c r="FY78" i="2" a="1"/>
  <c r="FY78" i="2" s="1"/>
  <c r="FY178" i="2" a="1"/>
  <c r="FY178" i="2" s="1"/>
  <c r="AH92" i="2" a="1"/>
  <c r="AH92" i="2" s="1"/>
  <c r="FY190" i="2" a="1"/>
  <c r="FY190" i="2" s="1"/>
  <c r="FY124" i="2" a="1"/>
  <c r="FY124" i="2" s="1"/>
  <c r="FY149" i="2" a="1"/>
  <c r="FY149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AX200" i="2"/>
  <c r="EI16" i="2" l="1" a="1"/>
  <c r="EI16" i="2" s="1"/>
  <c r="EI113" i="2" a="1"/>
  <c r="EI113" i="2" s="1"/>
  <c r="EI106" i="2" a="1"/>
  <c r="EI106" i="2" s="1"/>
  <c r="EI38" i="2" a="1"/>
  <c r="EI38" i="2" s="1"/>
  <c r="EI20" i="2" a="1"/>
  <c r="EI20" i="2" s="1"/>
  <c r="EI87" i="2" a="1"/>
  <c r="EI87" i="2" s="1"/>
  <c r="EI37" i="2" a="1"/>
  <c r="EI37" i="2" s="1"/>
  <c r="EI170" i="2" a="1"/>
  <c r="EI170" i="2" s="1"/>
  <c r="EI57" i="2" a="1"/>
  <c r="EI57" i="2" s="1"/>
  <c r="EI150" i="2" a="1"/>
  <c r="EI150" i="2" s="1"/>
  <c r="EI36" i="2" a="1"/>
  <c r="EI36" i="2" s="1"/>
  <c r="EI195" i="2" a="1"/>
  <c r="EI195" i="2" s="1"/>
  <c r="EI29" i="2" a="1"/>
  <c r="EI29" i="2" s="1"/>
  <c r="EI128" i="2" a="1"/>
  <c r="EI128" i="2" s="1"/>
  <c r="EI109" i="2" a="1"/>
  <c r="EI109" i="2" s="1"/>
  <c r="EI153" i="2" a="1"/>
  <c r="EI153" i="2" s="1"/>
  <c r="EI142" i="2" a="1"/>
  <c r="EI142" i="2" s="1"/>
  <c r="EI166" i="2" a="1"/>
  <c r="EI166" i="2" s="1"/>
  <c r="EI35" i="2" a="1"/>
  <c r="EI35" i="2" s="1"/>
  <c r="EI34" i="2" a="1"/>
  <c r="EI34" i="2" s="1"/>
  <c r="EI178" i="2" a="1"/>
  <c r="EI178" i="2" s="1"/>
  <c r="EI198" i="2" a="1"/>
  <c r="EI198" i="2" s="1"/>
  <c r="EI139" i="2" a="1"/>
  <c r="EI139" i="2" s="1"/>
  <c r="EI165" i="2" a="1"/>
  <c r="EI165" i="2" s="1"/>
  <c r="EI145" i="2" a="1"/>
  <c r="EI145" i="2" s="1"/>
  <c r="EI67" i="2" a="1"/>
  <c r="EI67" i="2" s="1"/>
  <c r="EI71" i="2" a="1"/>
  <c r="EI71" i="2" s="1"/>
  <c r="EI162" i="2" a="1"/>
  <c r="EI162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C83" i="2" a="1"/>
  <c r="BC83" i="2" s="1"/>
  <c r="BC82" i="2" a="1"/>
  <c r="BC82" i="2" s="1"/>
  <c r="BC164" i="2" a="1"/>
  <c r="BC164" i="2" s="1"/>
  <c r="BC151" i="2" a="1"/>
  <c r="BC151" i="2" s="1"/>
  <c r="BC192" i="2" a="1"/>
  <c r="BC192" i="2" s="1"/>
  <c r="BC47" i="2" a="1"/>
  <c r="BC47" i="2" s="1"/>
  <c r="BC55" i="2" a="1"/>
  <c r="BC55" i="2" s="1"/>
  <c r="BC68" i="2" a="1"/>
  <c r="BC68" i="2" s="1"/>
  <c r="BC185" i="2" a="1"/>
  <c r="BC185" i="2" s="1"/>
  <c r="BC130" i="2" a="1"/>
  <c r="BC130" i="2" s="1"/>
  <c r="BC117" i="2" a="1"/>
  <c r="BC117" i="2" s="1"/>
  <c r="BC58" i="2" a="1"/>
  <c r="BC58" i="2" s="1"/>
  <c r="BC143" i="2" a="1"/>
  <c r="BC143" i="2" s="1"/>
  <c r="BC181" i="2" a="1"/>
  <c r="BC181" i="2" s="1"/>
  <c r="BC34" i="2" a="1"/>
  <c r="BC34" i="2" s="1"/>
  <c r="BC31" i="2" a="1"/>
  <c r="BC31" i="2" s="1"/>
  <c r="BC65" i="2" a="1"/>
  <c r="BC65" i="2" s="1"/>
  <c r="BC7" i="2" a="1"/>
  <c r="BC7" i="2" s="1"/>
  <c r="BC18" i="2" a="1"/>
  <c r="BC18" i="2" s="1"/>
  <c r="BC84" i="2" a="1"/>
  <c r="BC84" i="2" s="1"/>
  <c r="BC114" i="2" a="1"/>
  <c r="BC114" i="2" s="1"/>
  <c r="BC38" i="2" a="1"/>
  <c r="BC38" i="2" s="1"/>
  <c r="BC32" i="2" a="1"/>
  <c r="BC32" i="2" s="1"/>
  <c r="BC126" i="2" a="1"/>
  <c r="BC126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I203" i="2" s="1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CN203" i="2" s="1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CY92" i="2" l="1"/>
  <c r="CY118" i="2"/>
  <c r="CY48" i="2"/>
  <c r="CY38" i="2"/>
  <c r="CY108" i="2"/>
  <c r="CY78" i="2"/>
  <c r="CY155" i="2"/>
  <c r="CY47" i="2"/>
  <c r="CY68" i="2"/>
  <c r="CY143" i="2"/>
  <c r="CY61" i="2"/>
  <c r="CY64" i="2"/>
  <c r="CY195" i="2"/>
  <c r="CY59" i="2"/>
  <c r="CY193" i="2"/>
  <c r="CY83" i="2"/>
  <c r="CY133" i="2"/>
  <c r="CY105" i="2"/>
  <c r="CY191" i="2"/>
  <c r="CY164" i="2"/>
  <c r="CY203" i="2"/>
  <c r="CY119" i="2"/>
  <c r="CY75" i="2"/>
  <c r="CY140" i="2"/>
  <c r="CY145" i="2"/>
  <c r="CY127" i="2"/>
  <c r="CY151" i="2"/>
  <c r="CY36" i="2"/>
  <c r="CY184" i="2"/>
  <c r="CY168" i="2"/>
  <c r="CY177" i="2"/>
  <c r="CY176" i="2"/>
  <c r="CY123" i="2"/>
  <c r="CY84" i="2"/>
  <c r="CY162" i="2"/>
  <c r="CY102" i="2"/>
  <c r="CY31" i="2"/>
  <c r="CY158" i="2"/>
  <c r="CY135" i="2"/>
  <c r="CY71" i="2"/>
  <c r="CY194" i="2"/>
  <c r="CY53" i="2"/>
  <c r="CY160" i="2"/>
  <c r="CY178" i="2"/>
  <c r="CY114" i="2"/>
  <c r="CY99" i="2"/>
  <c r="CY189" i="2"/>
  <c r="CY110" i="2"/>
  <c r="CY197" i="2"/>
  <c r="CY88" i="2"/>
  <c r="CY93" i="2"/>
  <c r="CY106" i="2"/>
  <c r="CY14" i="2"/>
  <c r="CY91" i="2"/>
  <c r="CY190" i="2"/>
  <c r="CY130" i="2"/>
  <c r="CY156" i="2"/>
  <c r="CY95" i="2"/>
  <c r="CY13" i="2"/>
  <c r="CY173" i="2"/>
  <c r="CY120" i="2"/>
  <c r="CY65" i="2"/>
  <c r="CY72" i="2"/>
  <c r="CY49" i="2"/>
  <c r="CY44" i="2"/>
  <c r="CY129" i="2"/>
  <c r="CY63" i="2"/>
  <c r="CY154" i="2"/>
  <c r="CY163" i="2"/>
  <c r="CY169" i="2"/>
  <c r="CY152" i="2"/>
  <c r="CY134" i="2"/>
  <c r="CY103" i="2"/>
  <c r="CY54" i="2"/>
  <c r="CY87" i="2"/>
  <c r="CY4" i="2"/>
  <c r="CY185" i="2"/>
  <c r="CY98" i="2"/>
  <c r="CY167" i="2"/>
  <c r="CY116" i="2"/>
  <c r="CY202" i="2"/>
  <c r="CY41" i="2"/>
  <c r="CY188" i="2"/>
  <c r="CY46" i="2"/>
  <c r="CY57" i="2"/>
  <c r="CY139" i="2"/>
  <c r="CY126" i="2"/>
  <c r="CY24" i="2"/>
  <c r="CY166" i="2"/>
  <c r="CY125" i="2"/>
  <c r="CY35" i="2"/>
  <c r="CY153" i="2"/>
  <c r="CY181" i="2"/>
  <c r="CY192" i="2"/>
  <c r="CY148" i="2"/>
  <c r="CY85" i="2"/>
  <c r="CY22" i="2"/>
  <c r="CY18" i="2"/>
  <c r="CY8" i="2"/>
  <c r="CY175" i="2"/>
  <c r="CY34" i="2"/>
  <c r="CY96" i="2"/>
  <c r="CY200" i="2"/>
  <c r="CY82" i="2"/>
  <c r="CY21" i="2"/>
  <c r="CY122" i="2"/>
  <c r="CY198" i="2"/>
  <c r="CY132" i="2"/>
  <c r="CY12" i="2"/>
  <c r="CY131" i="2"/>
  <c r="CY62" i="2"/>
  <c r="CY50" i="2"/>
  <c r="CY136" i="2"/>
  <c r="CY66" i="2"/>
  <c r="CY79" i="2"/>
  <c r="CY56" i="2"/>
  <c r="CY117" i="2"/>
  <c r="CY58" i="2"/>
  <c r="CY101" i="2"/>
  <c r="CY32" i="2"/>
  <c r="CY3" i="2"/>
  <c r="C10" i="4" s="1"/>
  <c r="E10" i="4" s="1"/>
  <c r="F10" i="4" s="1"/>
  <c r="G10" i="4" s="1"/>
  <c r="L10" i="4" s="1"/>
  <c r="CY157" i="2"/>
  <c r="CY150" i="2"/>
  <c r="CY77" i="2"/>
  <c r="CY182" i="2"/>
  <c r="CY45" i="2"/>
  <c r="CY111" i="2"/>
  <c r="CY161" i="2"/>
  <c r="CY51" i="2"/>
  <c r="CY124" i="2"/>
  <c r="CY81" i="2"/>
  <c r="CY109" i="2"/>
  <c r="CY94" i="2"/>
  <c r="CY113" i="2"/>
  <c r="CY107" i="2"/>
  <c r="CY104" i="2"/>
  <c r="CY15" i="2"/>
  <c r="CY144" i="2"/>
  <c r="CY179" i="2"/>
  <c r="CY90" i="2"/>
  <c r="CY16" i="2"/>
  <c r="CY6" i="2"/>
  <c r="CY27" i="2"/>
  <c r="CY19" i="2"/>
  <c r="CY74" i="2"/>
  <c r="CY25" i="2"/>
  <c r="CY42" i="2"/>
  <c r="CY137" i="2"/>
  <c r="CY174" i="2"/>
  <c r="CY100" i="2"/>
  <c r="CY28" i="2"/>
  <c r="CY17" i="2"/>
  <c r="CY89" i="2"/>
  <c r="CY170" i="2"/>
  <c r="CY7" i="2"/>
  <c r="CY10" i="2"/>
  <c r="CY55" i="2"/>
  <c r="CY141" i="2"/>
  <c r="CY86" i="2"/>
  <c r="CY112" i="2"/>
  <c r="CY149" i="2"/>
  <c r="CY33" i="2"/>
  <c r="CY29" i="2"/>
  <c r="CY159" i="2"/>
  <c r="CY67" i="2"/>
  <c r="CY52" i="2"/>
  <c r="CY186" i="2"/>
  <c r="CY165" i="2"/>
  <c r="CY128" i="2"/>
  <c r="CY20" i="2"/>
  <c r="CY97" i="2"/>
  <c r="CY69" i="2"/>
  <c r="CY80" i="2"/>
  <c r="CY138" i="2"/>
  <c r="CY23" i="2"/>
  <c r="CY70" i="2"/>
  <c r="CY60" i="2"/>
  <c r="CY147" i="2"/>
  <c r="CY142" i="2"/>
  <c r="CY187" i="2"/>
  <c r="CY172" i="2"/>
  <c r="CY115" i="2"/>
  <c r="CY199" i="2"/>
  <c r="CY180" i="2"/>
  <c r="CY146" i="2"/>
  <c r="CY37" i="2"/>
  <c r="CY40" i="2"/>
  <c r="CY171" i="2"/>
  <c r="CY5" i="2"/>
  <c r="CY196" i="2"/>
  <c r="CY9" i="2"/>
  <c r="CY183" i="2"/>
  <c r="CY43" i="2"/>
  <c r="CY73" i="2"/>
  <c r="CY121" i="2"/>
  <c r="CY11" i="2"/>
  <c r="CY76" i="2"/>
  <c r="CY201" i="2"/>
  <c r="CY30" i="2"/>
  <c r="CY26" i="2"/>
  <c r="CY39" i="2"/>
  <c r="FE134" i="2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<sst xmlns="http://schemas.openxmlformats.org/spreadsheetml/2006/main" count="1187" uniqueCount="325">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</sst>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mbria"/>
      <family val="1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5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5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3" fillId="21" borderId="54" xfId="0" applyFont="1" applyFill="1" applyBorder="1" applyAlignment="1" applyProtection="1">
      <alignment horizontal="center" wrapText="1"/>
      <protection locked="0"/>
    </xf>
    <xf numFmtId="0" fontId="3" fillId="21" borderId="55" xfId="0" applyFont="1" applyFill="1" applyBorder="1" applyAlignment="1" applyProtection="1">
      <alignment horizontal="center" wrapText="1"/>
      <protection locked="0"/>
    </xf>
    <xf numFmtId="9" fontId="3" fillId="21" borderId="55" xfId="0" applyNumberFormat="1" applyFont="1" applyFill="1" applyBorder="1" applyAlignment="1" applyProtection="1">
      <alignment horizontal="center" wrapText="1"/>
      <protection locked="0"/>
    </xf>
    <xf numFmtId="0" fontId="3" fillId="21" borderId="56" xfId="0" applyFont="1" applyFill="1" applyBorder="1" applyAlignment="1" applyProtection="1">
      <alignment horizontal="center" wrapText="1"/>
      <protection locked="0"/>
    </xf>
    <xf numFmtId="0" fontId="3" fillId="21" borderId="57" xfId="0" applyFont="1" applyFill="1" applyBorder="1" applyAlignment="1" applyProtection="1">
      <alignment horizontal="center" wrapText="1"/>
      <protection locked="0"/>
    </xf>
    <xf numFmtId="9" fontId="3" fillId="21" borderId="57" xfId="0" applyNumberFormat="1" applyFont="1" applyFill="1" applyBorder="1" applyAlignment="1" applyProtection="1">
      <alignment horizontal="center" wrapText="1"/>
      <protection locked="0"/>
    </xf>
    <xf numFmtId="0" fontId="32" fillId="0" borderId="54" xfId="0" applyFont="1" applyBorder="1" applyAlignment="1" applyProtection="1">
      <alignment horizontal="right" wrapText="1"/>
      <protection locked="0"/>
    </xf>
    <xf numFmtId="0" fontId="32" fillId="0" borderId="55" xfId="0" applyFont="1" applyBorder="1" applyAlignment="1" applyProtection="1">
      <alignment horizontal="right" wrapText="1"/>
      <protection locked="0"/>
    </xf>
    <xf numFmtId="0" fontId="32" fillId="0" borderId="55" xfId="0" applyFont="1" applyBorder="1" applyAlignment="1" applyProtection="1">
      <alignment horizontal="center" wrapText="1"/>
      <protection locked="0"/>
    </xf>
    <xf numFmtId="0" fontId="32" fillId="0" borderId="56" xfId="0" applyFont="1" applyBorder="1" applyAlignment="1" applyProtection="1">
      <alignment horizontal="right" wrapText="1"/>
      <protection locked="0"/>
    </xf>
    <xf numFmtId="0" fontId="32" fillId="0" borderId="57" xfId="0" applyFont="1" applyBorder="1" applyAlignment="1" applyProtection="1">
      <alignment horizontal="right" wrapText="1"/>
      <protection locked="0"/>
    </xf>
    <xf numFmtId="0" fontId="33" fillId="0" borderId="54" xfId="0" applyFont="1" applyBorder="1" applyAlignment="1" applyProtection="1">
      <alignment horizontal="right" wrapText="1"/>
      <protection locked="0"/>
    </xf>
    <xf numFmtId="0" fontId="33" fillId="0" borderId="56" xfId="0" applyFont="1" applyBorder="1" applyAlignment="1" applyProtection="1">
      <alignment horizontal="right" wrapText="1"/>
      <protection locked="0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7.7094729835129714</c:v>
                </c:pt>
                <c:pt idx="2">
                  <c:v>15.075547242417157</c:v>
                </c:pt>
                <c:pt idx="3">
                  <c:v>22.33072095081037</c:v>
                </c:pt>
                <c:pt idx="4">
                  <c:v>29.517532979497449</c:v>
                </c:pt>
                <c:pt idx="5">
                  <c:v>36.65526333924354</c:v>
                </c:pt>
                <c:pt idx="6">
                  <c:v>43.754910153152046</c:v>
                </c:pt>
                <c:pt idx="7">
                  <c:v>50.82356348593904</c:v>
                </c:pt>
                <c:pt idx="8">
                  <c:v>57.866161847594917</c:v>
                </c:pt>
                <c:pt idx="9">
                  <c:v>64.886335105785463</c:v>
                </c:pt>
                <c:pt idx="10">
                  <c:v>71.886859169437486</c:v>
                </c:pt>
                <c:pt idx="11">
                  <c:v>78.869922638806329</c:v>
                </c:pt>
                <c:pt idx="12">
                  <c:v>85.837293363026106</c:v>
                </c:pt>
                <c:pt idx="13">
                  <c:v>92.790427748005911</c:v>
                </c:pt>
                <c:pt idx="14">
                  <c:v>99.730545409018433</c:v>
                </c:pt>
                <c:pt idx="15">
                  <c:v>106.6586818578469</c:v>
                </c:pt>
                <c:pt idx="16">
                  <c:v>113.57572672687928</c:v>
                </c:pt>
                <c:pt idx="17">
                  <c:v>120.48245215918188</c:v>
                </c:pt>
                <c:pt idx="18">
                  <c:v>127.37953432582202</c:v>
                </c:pt>
                <c:pt idx="19">
                  <c:v>134.26757002447863</c:v>
                </c:pt>
                <c:pt idx="20">
                  <c:v>141.14708968391946</c:v>
                </c:pt>
                <c:pt idx="21">
                  <c:v>148.01856769367029</c:v>
                </c:pt>
                <c:pt idx="22">
                  <c:v>154.88243071038019</c:v>
                </c:pt>
                <c:pt idx="23">
                  <c:v>161.73906441124743</c:v>
                </c:pt>
                <c:pt idx="24">
                  <c:v>168.58881903979528</c:v>
                </c:pt>
                <c:pt idx="25">
                  <c:v>175.43201400130738</c:v>
                </c:pt>
                <c:pt idx="26">
                  <c:v>182.26894170229596</c:v>
                </c:pt>
                <c:pt idx="27">
                  <c:v>189.0998707826684</c:v>
                </c:pt>
                <c:pt idx="28">
                  <c:v>195.92504885559333</c:v>
                </c:pt>
                <c:pt idx="29">
                  <c:v>202.74470484495828</c:v>
                </c:pt>
                <c:pt idx="30">
                  <c:v>209.55905099136126</c:v>
                </c:pt>
                <c:pt idx="31">
                  <c:v>216.36828458312382</c:v>
                </c:pt>
                <c:pt idx="32">
                  <c:v>223.17258945767264</c:v>
                </c:pt>
                <c:pt idx="33">
                  <c:v>229.97213730997666</c:v>
                </c:pt>
                <c:pt idx="34">
                  <c:v>236.76708883792978</c:v>
                </c:pt>
                <c:pt idx="35">
                  <c:v>243.55759474919577</c:v>
                </c:pt>
                <c:pt idx="36">
                  <c:v>250.34379664975157</c:v>
                </c:pt>
                <c:pt idx="37">
                  <c:v>199.49292850815058</c:v>
                </c:pt>
                <c:pt idx="38">
                  <c:v>216.47300307155035</c:v>
                </c:pt>
                <c:pt idx="39">
                  <c:v>233.42244664801714</c:v>
                </c:pt>
                <c:pt idx="40">
                  <c:v>250.34379664975157</c:v>
                </c:pt>
                <c:pt idx="41">
                  <c:v>267.23921926263716</c:v>
                </c:pt>
                <c:pt idx="42">
                  <c:v>284.11058429716303</c:v>
                </c:pt>
                <c:pt idx="43">
                  <c:v>222.7540020640522</c:v>
                </c:pt>
                <c:pt idx="44">
                  <c:v>238.43900484940093</c:v>
                </c:pt>
                <c:pt idx="45">
                  <c:v>254.10050561748884</c:v>
                </c:pt>
                <c:pt idx="46">
                  <c:v>269.74015697851809</c:v>
                </c:pt>
                <c:pt idx="47">
                  <c:v>285.35940418248646</c:v>
                </c:pt>
                <c:pt idx="48">
                  <c:v>300.95952130478003</c:v>
                </c:pt>
                <c:pt idx="49">
                  <c:v>238.75245929407674</c:v>
                </c:pt>
                <c:pt idx="50">
                  <c:v>253.47447536440015</c:v>
                </c:pt>
                <c:pt idx="51">
                  <c:v>268.17713242968847</c:v>
                </c:pt>
                <c:pt idx="52">
                  <c:v>282.86164143915192</c:v>
                </c:pt>
                <c:pt idx="53">
                  <c:v>297.52907730335346</c:v>
                </c:pt>
                <c:pt idx="54">
                  <c:v>312.18040027213107</c:v>
                </c:pt>
                <c:pt idx="55">
                  <c:v>268.64606128457086</c:v>
                </c:pt>
                <c:pt idx="56">
                  <c:v>283.1738887162241</c:v>
                </c:pt>
                <c:pt idx="57">
                  <c:v>297.6850256263927</c:v>
                </c:pt>
                <c:pt idx="58">
                  <c:v>312.18040027213107</c:v>
                </c:pt>
                <c:pt idx="59">
                  <c:v>326.66084765285461</c:v>
                </c:pt>
                <c:pt idx="60">
                  <c:v>341.1271226854538</c:v>
                </c:pt>
                <c:pt idx="61">
                  <c:v>355.57991102673401</c:v>
                </c:pt>
                <c:pt idx="62">
                  <c:v>370.01983804377892</c:v>
                </c:pt>
                <c:pt idx="63">
                  <c:v>312.41407218540269</c:v>
                </c:pt>
                <c:pt idx="64">
                  <c:v>327.59457571710448</c:v>
                </c:pt>
                <c:pt idx="65">
                  <c:v>342.75955238227789</c:v>
                </c:pt>
                <c:pt idx="66">
                  <c:v>357.90978583474629</c:v>
                </c:pt>
                <c:pt idx="67">
                  <c:v>373.04598797084697</c:v>
                </c:pt>
                <c:pt idx="68">
                  <c:v>388.16880820600994</c:v>
                </c:pt>
                <c:pt idx="69">
                  <c:v>403.27884122998734</c:v>
                </c:pt>
                <c:pt idx="70">
                  <c:v>418.37663353903275</c:v>
                </c:pt>
                <c:pt idx="71">
                  <c:v>333.66238399485144</c:v>
                </c:pt>
                <c:pt idx="72">
                  <c:v>347.65581965898099</c:v>
                </c:pt>
                <c:pt idx="73">
                  <c:v>361.63689602664249</c:v>
                </c:pt>
                <c:pt idx="74">
                  <c:v>375.60615822360006</c:v>
                </c:pt>
                <c:pt idx="75">
                  <c:v>389.56410751766992</c:v>
                </c:pt>
                <c:pt idx="76">
                  <c:v>403.51120632532349</c:v>
                </c:pt>
                <c:pt idx="77">
                  <c:v>417.44788248990108</c:v>
                </c:pt>
                <c:pt idx="78">
                  <c:v>431.37453295867772</c:v>
                </c:pt>
                <c:pt idx="79">
                  <c:v>365.25967008536736</c:v>
                </c:pt>
                <c:pt idx="80">
                  <c:v>377.26101529169205</c:v>
                </c:pt>
                <c:pt idx="81">
                  <c:v>389.25405039411618</c:v>
                </c:pt>
                <c:pt idx="82">
                  <c:v>401.23906755331041</c:v>
                </c:pt>
                <c:pt idx="83">
                  <c:v>413.21634004947555</c:v>
                </c:pt>
                <c:pt idx="84">
                  <c:v>425.18612402598092</c:v>
                </c:pt>
                <c:pt idx="85">
                  <c:v>437.14866002639957</c:v>
                </c:pt>
                <c:pt idx="86">
                  <c:v>449.1041743545195</c:v>
                </c:pt>
                <c:pt idx="87">
                  <c:v>461.05288028198538</c:v>
                </c:pt>
                <c:pt idx="88">
                  <c:v>399.97894338989255</c:v>
                </c:pt>
                <c:pt idx="89">
                  <c:v>411.31700294422836</c:v>
                </c:pt>
                <c:pt idx="90">
                  <c:v>422.6483177696939</c:v>
                </c:pt>
                <c:pt idx="91">
                  <c:v>433.97309421022061</c:v>
                </c:pt>
                <c:pt idx="92">
                  <c:v>445.29152696032111</c:v>
                </c:pt>
                <c:pt idx="93">
                  <c:v>456.60380000846584</c:v>
                </c:pt>
                <c:pt idx="94">
                  <c:v>467.91008748209589</c:v>
                </c:pt>
                <c:pt idx="95">
                  <c:v>479.21055440670779</c:v>
                </c:pt>
                <c:pt idx="96">
                  <c:v>490.50535738960639</c:v>
                </c:pt>
                <c:pt idx="97">
                  <c:v>501.79464523740506</c:v>
                </c:pt>
                <c:pt idx="98">
                  <c:v>436.01458640999084</c:v>
                </c:pt>
                <c:pt idx="99">
                  <c:v>448.07379769140499</c:v>
                </c:pt>
                <c:pt idx="100">
                  <c:v>460.12606445231535</c:v>
                </c:pt>
                <c:pt idx="101">
                  <c:v>472.1715942278849</c:v>
                </c:pt>
                <c:pt idx="102">
                  <c:v>484.21058310097754</c:v>
                </c:pt>
                <c:pt idx="103">
                  <c:v>496.24321660917275</c:v>
                </c:pt>
                <c:pt idx="104">
                  <c:v>508.26967055923797</c:v>
                </c:pt>
                <c:pt idx="105">
                  <c:v>520.29011176051119</c:v>
                </c:pt>
                <c:pt idx="106">
                  <c:v>532.30469868699186</c:v>
                </c:pt>
                <c:pt idx="107">
                  <c:v>544.31358207655637</c:v>
                </c:pt>
                <c:pt idx="108">
                  <c:v>471.61579214130376</c:v>
                </c:pt>
                <c:pt idx="109">
                  <c:v>484.02541648570599</c:v>
                </c:pt>
                <c:pt idx="110">
                  <c:v>496.42828534268693</c:v>
                </c:pt>
                <c:pt idx="111">
                  <c:v>508.82459125805093</c:v>
                </c:pt>
                <c:pt idx="112">
                  <c:v>521.21451663187725</c:v>
                </c:pt>
                <c:pt idx="113">
                  <c:v>533.59823448667328</c:v>
                </c:pt>
                <c:pt idx="114">
                  <c:v>545.97590916052206</c:v>
                </c:pt>
                <c:pt idx="115">
                  <c:v>558.34769693411704</c:v>
                </c:pt>
                <c:pt idx="116">
                  <c:v>570.71374659934645</c:v>
                </c:pt>
                <c:pt idx="117">
                  <c:v>583.0741999760495</c:v>
                </c:pt>
                <c:pt idx="118">
                  <c:v>511.19827449805808</c:v>
                </c:pt>
                <c:pt idx="119">
                  <c:v>522.44700270200303</c:v>
                </c:pt>
                <c:pt idx="120">
                  <c:v>533.69062737488787</c:v>
                </c:pt>
                <c:pt idx="121">
                  <c:v>544.92927118195223</c:v>
                </c:pt>
                <c:pt idx="122">
                  <c:v>556.1630513166433</c:v>
                </c:pt>
                <c:pt idx="123">
                  <c:v>567.39207985263261</c:v>
                </c:pt>
                <c:pt idx="124">
                  <c:v>578.61646406652358</c:v>
                </c:pt>
                <c:pt idx="125">
                  <c:v>589.83630673422124</c:v>
                </c:pt>
                <c:pt idx="126">
                  <c:v>601.05170640358642</c:v>
                </c:pt>
                <c:pt idx="127">
                  <c:v>612.26275764568572</c:v>
                </c:pt>
                <c:pt idx="128">
                  <c:v>623.46955128668924</c:v>
                </c:pt>
                <c:pt idx="129">
                  <c:v>634.67217462223289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1.5393896938194491</c:v>
                </c:pt>
                <c:pt idx="2">
                  <c:v>1.9340929760579824</c:v>
                </c:pt>
                <c:pt idx="3">
                  <c:v>2.4304041826975693</c:v>
                </c:pt>
                <c:pt idx="4">
                  <c:v>3.0545787484439804</c:v>
                </c:pt>
                <c:pt idx="5">
                  <c:v>3.839680427957596</c:v>
                </c:pt>
                <c:pt idx="6">
                  <c:v>4.8273525502098815</c:v>
                </c:pt>
                <c:pt idx="7">
                  <c:v>6.0700514754683512</c:v>
                </c:pt>
                <c:pt idx="8">
                  <c:v>7.6338631993393991</c:v>
                </c:pt>
                <c:pt idx="9">
                  <c:v>9.6020557757857823</c:v>
                </c:pt>
                <c:pt idx="10">
                  <c:v>12.079560300720253</c:v>
                </c:pt>
                <c:pt idx="11">
                  <c:v>15.198623807640407</c:v>
                </c:pt>
                <c:pt idx="12">
                  <c:v>19.125941354992019</c:v>
                </c:pt>
                <c:pt idx="13">
                  <c:v>24.071655343316234</c:v>
                </c:pt>
                <c:pt idx="14">
                  <c:v>30.300712128179242</c:v>
                </c:pt>
                <c:pt idx="15">
                  <c:v>38.147194904899251</c:v>
                </c:pt>
                <c:pt idx="16">
                  <c:v>48.03241472919786</c:v>
                </c:pt>
                <c:pt idx="17">
                  <c:v>60.487747376389791</c:v>
                </c:pt>
                <c:pt idx="18">
                  <c:v>76.183463875958196</c:v>
                </c:pt>
                <c:pt idx="19">
                  <c:v>95.96513133539338</c:v>
                </c:pt>
                <c:pt idx="20">
                  <c:v>120.89957623101225</c:v>
                </c:pt>
                <c:pt idx="21">
                  <c:v>103.97634269291849</c:v>
                </c:pt>
                <c:pt idx="22">
                  <c:v>110.65058636488233</c:v>
                </c:pt>
                <c:pt idx="23">
                  <c:v>117.31494327401042</c:v>
                </c:pt>
                <c:pt idx="24">
                  <c:v>123.97005543664547</c:v>
                </c:pt>
                <c:pt idx="25">
                  <c:v>130.61649014376766</c:v>
                </c:pt>
                <c:pt idx="26">
                  <c:v>137.25475210550681</c:v>
                </c:pt>
                <c:pt idx="27">
                  <c:v>143.88529311683052</c:v>
                </c:pt>
                <c:pt idx="28">
                  <c:v>150.5085198437738</c:v>
                </c:pt>
                <c:pt idx="29">
                  <c:v>157.12480016409424</c:v>
                </c:pt>
                <c:pt idx="30">
                  <c:v>163.73446838162991</c:v>
                </c:pt>
                <c:pt idx="31">
                  <c:v>139.29572121624975</c:v>
                </c:pt>
                <c:pt idx="32">
                  <c:v>146.43353271796309</c:v>
                </c:pt>
                <c:pt idx="33">
                  <c:v>153.56302988078724</c:v>
                </c:pt>
                <c:pt idx="34">
                  <c:v>160.68465382913149</c:v>
                </c:pt>
                <c:pt idx="35">
                  <c:v>167.79880331835713</c:v>
                </c:pt>
                <c:pt idx="36">
                  <c:v>174.90584046860872</c:v>
                </c:pt>
                <c:pt idx="37">
                  <c:v>182.0060955160782</c:v>
                </c:pt>
                <c:pt idx="38">
                  <c:v>189.09987078266829</c:v>
                </c:pt>
                <c:pt idx="39">
                  <c:v>196.18744401776067</c:v>
                </c:pt>
                <c:pt idx="40">
                  <c:v>203.26907123098991</c:v>
                </c:pt>
                <c:pt idx="41">
                  <c:v>170.74399063136912</c:v>
                </c:pt>
                <c:pt idx="42">
                  <c:v>177.74673882318049</c:v>
                </c:pt>
                <c:pt idx="43">
                  <c:v>184.74301792213541</c:v>
                </c:pt>
                <c:pt idx="44">
                  <c:v>191.73310786898116</c:v>
                </c:pt>
                <c:pt idx="45">
                  <c:v>198.71726649156167</c:v>
                </c:pt>
                <c:pt idx="46">
                  <c:v>205.69573198483525</c:v>
                </c:pt>
                <c:pt idx="47">
                  <c:v>212.66872503619766</c:v>
                </c:pt>
                <c:pt idx="48">
                  <c:v>219.63645065705521</c:v>
                </c:pt>
                <c:pt idx="49">
                  <c:v>226.59909976948117</c:v>
                </c:pt>
                <c:pt idx="50">
                  <c:v>233.55685058738553</c:v>
                </c:pt>
                <c:pt idx="51">
                  <c:v>196.18744401776075</c:v>
                </c:pt>
                <c:pt idx="52">
                  <c:v>204.2802608972855</c:v>
                </c:pt>
                <c:pt idx="53">
                  <c:v>212.36566238676053</c:v>
                </c:pt>
                <c:pt idx="54">
                  <c:v>220.44397098530536</c:v>
                </c:pt>
                <c:pt idx="55">
                  <c:v>228.51548359441412</c:v>
                </c:pt>
                <c:pt idx="56">
                  <c:v>236.58047440215807</c:v>
                </c:pt>
                <c:pt idx="57">
                  <c:v>244.63919735303134</c:v>
                </c:pt>
                <c:pt idx="58">
                  <c:v>252.69188827494614</c:v>
                </c:pt>
                <c:pt idx="59">
                  <c:v>260.73876672061459</c:v>
                </c:pt>
                <c:pt idx="60">
                  <c:v>268.78003756948311</c:v>
                </c:pt>
                <c:pt idx="61">
                  <c:v>223.97607731734925</c:v>
                </c:pt>
                <c:pt idx="62">
                  <c:v>231.54060536306488</c:v>
                </c:pt>
                <c:pt idx="63">
                  <c:v>239.09948720478678</c:v>
                </c:pt>
                <c:pt idx="64">
                  <c:v>246.65292674490271</c:v>
                </c:pt>
                <c:pt idx="65">
                  <c:v>254.20111436174781</c:v>
                </c:pt>
                <c:pt idx="66">
                  <c:v>261.74422819048425</c:v>
                </c:pt>
                <c:pt idx="67">
                  <c:v>269.2824352484451</c:v>
                </c:pt>
                <c:pt idx="68">
                  <c:v>276.81589242774544</c:v>
                </c:pt>
                <c:pt idx="69">
                  <c:v>284.34474737408374</c:v>
                </c:pt>
                <c:pt idx="70">
                  <c:v>291.86913926751032</c:v>
                </c:pt>
                <c:pt idx="71">
                  <c:v>242.3229423613127</c:v>
                </c:pt>
                <c:pt idx="72">
                  <c:v>250.07541160574885</c:v>
                </c:pt>
                <c:pt idx="73">
                  <c:v>257.82243167737909</c:v>
                </c:pt>
                <c:pt idx="74">
                  <c:v>265.56418959647959</c:v>
                </c:pt>
                <c:pt idx="75">
                  <c:v>273.30086057644479</c:v>
                </c:pt>
                <c:pt idx="76">
                  <c:v>281.0326090897176</c:v>
                </c:pt>
                <c:pt idx="77">
                  <c:v>288.7595898101718</c:v>
                </c:pt>
                <c:pt idx="78">
                  <c:v>296.4819484492582</c:v>
                </c:pt>
                <c:pt idx="79">
                  <c:v>304.19982250040647</c:v>
                </c:pt>
                <c:pt idx="80">
                  <c:v>311.91334190386976</c:v>
                </c:pt>
                <c:pt idx="81">
                  <c:v>259.02928096815748</c:v>
                </c:pt>
                <c:pt idx="82">
                  <c:v>267.37321139326588</c:v>
                </c:pt>
                <c:pt idx="83">
                  <c:v>275.71127680644446</c:v>
                </c:pt>
                <c:pt idx="84">
                  <c:v>284.0436797670132</c:v>
                </c:pt>
                <c:pt idx="85">
                  <c:v>292.37060996830348</c:v>
                </c:pt>
                <c:pt idx="86">
                  <c:v>300.69224540609326</c:v>
                </c:pt>
                <c:pt idx="87">
                  <c:v>309.00875341083457</c:v>
                </c:pt>
                <c:pt idx="88">
                  <c:v>317.32029156286296</c:v>
                </c:pt>
                <c:pt idx="89">
                  <c:v>325.62700850664004</c:v>
                </c:pt>
                <c:pt idx="90">
                  <c:v>333.92904467751276</c:v>
                </c:pt>
                <c:pt idx="91">
                  <c:v>277.11713403545758</c:v>
                </c:pt>
                <c:pt idx="92">
                  <c:v>285.44860091357651</c:v>
                </c:pt>
                <c:pt idx="93">
                  <c:v>293.77462584615449</c:v>
                </c:pt>
                <c:pt idx="94">
                  <c:v>302.09538496104477</c:v>
                </c:pt>
                <c:pt idx="95">
                  <c:v>310.41104388287755</c:v>
                </c:pt>
                <c:pt idx="96">
                  <c:v>318.72175863019027</c:v>
                </c:pt>
                <c:pt idx="97">
                  <c:v>327.02767641403062</c:v>
                </c:pt>
                <c:pt idx="98">
                  <c:v>335.32893635113379</c:v>
                </c:pt>
                <c:pt idx="99">
                  <c:v>343.62567010274432</c:v>
                </c:pt>
                <c:pt idx="100">
                  <c:v>351.91800244848042</c:v>
                </c:pt>
                <c:pt idx="101">
                  <c:v>2.282709528541206E-12</c:v>
                </c:pt>
                <c:pt idx="102">
                  <c:v>2.282709528541206E-12</c:v>
                </c:pt>
                <c:pt idx="103">
                  <c:v>2.282709528541206E-12</c:v>
                </c:pt>
                <c:pt idx="104">
                  <c:v>2.282709528541206E-12</c:v>
                </c:pt>
                <c:pt idx="105">
                  <c:v>2.282709528541206E-12</c:v>
                </c:pt>
                <c:pt idx="106">
                  <c:v>2.282709528541206E-12</c:v>
                </c:pt>
                <c:pt idx="107">
                  <c:v>2.282709528541206E-12</c:v>
                </c:pt>
                <c:pt idx="108">
                  <c:v>2.282709528541206E-12</c:v>
                </c:pt>
                <c:pt idx="109">
                  <c:v>2.282709528541206E-12</c:v>
                </c:pt>
                <c:pt idx="110">
                  <c:v>2.282709528541206E-12</c:v>
                </c:pt>
                <c:pt idx="111">
                  <c:v>2.282709528541206E-12</c:v>
                </c:pt>
                <c:pt idx="112">
                  <c:v>2.282709528541206E-12</c:v>
                </c:pt>
                <c:pt idx="113">
                  <c:v>2.282709528541206E-12</c:v>
                </c:pt>
                <c:pt idx="114">
                  <c:v>2.282709528541206E-12</c:v>
                </c:pt>
                <c:pt idx="115">
                  <c:v>2.282709528541206E-12</c:v>
                </c:pt>
                <c:pt idx="116">
                  <c:v>2.282709528541206E-12</c:v>
                </c:pt>
                <c:pt idx="117">
                  <c:v>2.282709528541206E-12</c:v>
                </c:pt>
                <c:pt idx="118">
                  <c:v>2.282709528541206E-12</c:v>
                </c:pt>
                <c:pt idx="119">
                  <c:v>2.282709528541206E-12</c:v>
                </c:pt>
                <c:pt idx="120">
                  <c:v>2.282709528541206E-12</c:v>
                </c:pt>
                <c:pt idx="121">
                  <c:v>2.282709528541206E-12</c:v>
                </c:pt>
                <c:pt idx="122">
                  <c:v>2.282709528541206E-12</c:v>
                </c:pt>
                <c:pt idx="123">
                  <c:v>2.282709528541206E-12</c:v>
                </c:pt>
                <c:pt idx="124">
                  <c:v>2.282709528541206E-12</c:v>
                </c:pt>
                <c:pt idx="125">
                  <c:v>2.282709528541206E-12</c:v>
                </c:pt>
                <c:pt idx="126">
                  <c:v>2.282709528541206E-12</c:v>
                </c:pt>
                <c:pt idx="127">
                  <c:v>2.282709528541206E-12</c:v>
                </c:pt>
                <c:pt idx="128">
                  <c:v>2.282709528541206E-12</c:v>
                </c:pt>
                <c:pt idx="129">
                  <c:v>2.282709528541206E-12</c:v>
                </c:pt>
                <c:pt idx="130">
                  <c:v>2.282709528541206E-12</c:v>
                </c:pt>
                <c:pt idx="131">
                  <c:v>2.282709528541206E-12</c:v>
                </c:pt>
                <c:pt idx="132">
                  <c:v>2.282709528541206E-12</c:v>
                </c:pt>
                <c:pt idx="133">
                  <c:v>2.282709528541206E-12</c:v>
                </c:pt>
                <c:pt idx="134">
                  <c:v>2.282709528541206E-12</c:v>
                </c:pt>
                <c:pt idx="135">
                  <c:v>2.282709528541206E-12</c:v>
                </c:pt>
                <c:pt idx="136">
                  <c:v>2.282709528541206E-12</c:v>
                </c:pt>
                <c:pt idx="137">
                  <c:v>2.282709528541206E-12</c:v>
                </c:pt>
                <c:pt idx="138">
                  <c:v>2.282709528541206E-12</c:v>
                </c:pt>
                <c:pt idx="139">
                  <c:v>2.282709528541206E-12</c:v>
                </c:pt>
                <c:pt idx="140">
                  <c:v>2.282709528541206E-12</c:v>
                </c:pt>
                <c:pt idx="141">
                  <c:v>2.282709528541206E-12</c:v>
                </c:pt>
                <c:pt idx="142">
                  <c:v>2.282709528541206E-12</c:v>
                </c:pt>
                <c:pt idx="143">
                  <c:v>2.282709528541206E-12</c:v>
                </c:pt>
                <c:pt idx="144">
                  <c:v>2.282709528541206E-12</c:v>
                </c:pt>
                <c:pt idx="145">
                  <c:v>2.282709528541206E-12</c:v>
                </c:pt>
                <c:pt idx="146">
                  <c:v>2.282709528541206E-12</c:v>
                </c:pt>
                <c:pt idx="147">
                  <c:v>2.282709528541206E-12</c:v>
                </c:pt>
                <c:pt idx="148">
                  <c:v>2.282709528541206E-12</c:v>
                </c:pt>
                <c:pt idx="149">
                  <c:v>2.282709528541206E-12</c:v>
                </c:pt>
                <c:pt idx="150">
                  <c:v>2.282709528541206E-12</c:v>
                </c:pt>
                <c:pt idx="151">
                  <c:v>2.282709528541206E-12</c:v>
                </c:pt>
                <c:pt idx="152">
                  <c:v>2.282709528541206E-12</c:v>
                </c:pt>
                <c:pt idx="153">
                  <c:v>2.282709528541206E-12</c:v>
                </c:pt>
                <c:pt idx="154">
                  <c:v>2.282709528541206E-12</c:v>
                </c:pt>
                <c:pt idx="155">
                  <c:v>2.282709528541206E-12</c:v>
                </c:pt>
                <c:pt idx="156">
                  <c:v>2.282709528541206E-12</c:v>
                </c:pt>
                <c:pt idx="157">
                  <c:v>2.282709528541206E-12</c:v>
                </c:pt>
                <c:pt idx="158">
                  <c:v>2.282709528541206E-12</c:v>
                </c:pt>
                <c:pt idx="159">
                  <c:v>2.282709528541206E-12</c:v>
                </c:pt>
                <c:pt idx="160">
                  <c:v>2.282709528541206E-12</c:v>
                </c:pt>
                <c:pt idx="161">
                  <c:v>2.282709528541206E-12</c:v>
                </c:pt>
                <c:pt idx="162">
                  <c:v>2.282709528541206E-12</c:v>
                </c:pt>
                <c:pt idx="163">
                  <c:v>2.282709528541206E-12</c:v>
                </c:pt>
                <c:pt idx="164">
                  <c:v>2.282709528541206E-12</c:v>
                </c:pt>
                <c:pt idx="165">
                  <c:v>2.282709528541206E-12</c:v>
                </c:pt>
                <c:pt idx="166">
                  <c:v>2.282709528541206E-12</c:v>
                </c:pt>
                <c:pt idx="167">
                  <c:v>2.282709528541206E-12</c:v>
                </c:pt>
                <c:pt idx="168">
                  <c:v>2.282709528541206E-12</c:v>
                </c:pt>
                <c:pt idx="169">
                  <c:v>2.282709528541206E-12</c:v>
                </c:pt>
                <c:pt idx="170">
                  <c:v>2.282709528541206E-12</c:v>
                </c:pt>
                <c:pt idx="171">
                  <c:v>2.282709528541206E-12</c:v>
                </c:pt>
                <c:pt idx="172">
                  <c:v>2.282709528541206E-12</c:v>
                </c:pt>
                <c:pt idx="173">
                  <c:v>2.282709528541206E-12</c:v>
                </c:pt>
                <c:pt idx="174">
                  <c:v>2.282709528541206E-12</c:v>
                </c:pt>
                <c:pt idx="175">
                  <c:v>2.282709528541206E-12</c:v>
                </c:pt>
                <c:pt idx="176">
                  <c:v>2.282709528541206E-12</c:v>
                </c:pt>
                <c:pt idx="177">
                  <c:v>2.282709528541206E-12</c:v>
                </c:pt>
                <c:pt idx="178">
                  <c:v>2.282709528541206E-12</c:v>
                </c:pt>
                <c:pt idx="179">
                  <c:v>2.282709528541206E-12</c:v>
                </c:pt>
                <c:pt idx="180">
                  <c:v>2.282709528541206E-12</c:v>
                </c:pt>
                <c:pt idx="181">
                  <c:v>2.282709528541206E-12</c:v>
                </c:pt>
                <c:pt idx="182">
                  <c:v>2.282709528541206E-12</c:v>
                </c:pt>
                <c:pt idx="183">
                  <c:v>2.282709528541206E-12</c:v>
                </c:pt>
                <c:pt idx="184">
                  <c:v>2.282709528541206E-12</c:v>
                </c:pt>
                <c:pt idx="185">
                  <c:v>2.282709528541206E-12</c:v>
                </c:pt>
                <c:pt idx="186">
                  <c:v>2.282709528541206E-12</c:v>
                </c:pt>
                <c:pt idx="187">
                  <c:v>2.282709528541206E-12</c:v>
                </c:pt>
                <c:pt idx="188">
                  <c:v>2.282709528541206E-12</c:v>
                </c:pt>
                <c:pt idx="189">
                  <c:v>2.282709528541206E-12</c:v>
                </c:pt>
                <c:pt idx="190">
                  <c:v>2.282709528541206E-12</c:v>
                </c:pt>
                <c:pt idx="191">
                  <c:v>2.282709528541206E-12</c:v>
                </c:pt>
                <c:pt idx="192">
                  <c:v>2.282709528541206E-12</c:v>
                </c:pt>
                <c:pt idx="193">
                  <c:v>2.282709528541206E-12</c:v>
                </c:pt>
                <c:pt idx="194">
                  <c:v>2.282709528541206E-12</c:v>
                </c:pt>
                <c:pt idx="195">
                  <c:v>2.282709528541206E-12</c:v>
                </c:pt>
                <c:pt idx="196">
                  <c:v>2.282709528541206E-12</c:v>
                </c:pt>
                <c:pt idx="197">
                  <c:v>2.282709528541206E-12</c:v>
                </c:pt>
                <c:pt idx="198">
                  <c:v>2.282709528541206E-12</c:v>
                </c:pt>
                <c:pt idx="199">
                  <c:v>2.282709528541206E-12</c:v>
                </c:pt>
                <c:pt idx="200">
                  <c:v>2.282709528541206E-12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3.8888046457435048</c:v>
                </c:pt>
                <c:pt idx="2">
                  <c:v>5.1875995994308299</c:v>
                </c:pt>
                <c:pt idx="3">
                  <c:v>6.9219167175240948</c:v>
                </c:pt>
                <c:pt idx="4">
                  <c:v>9.2383482713354486</c:v>
                </c:pt>
                <c:pt idx="5">
                  <c:v>12.333000191074312</c:v>
                </c:pt>
                <c:pt idx="6">
                  <c:v>16.468269783661611</c:v>
                </c:pt>
                <c:pt idx="7">
                  <c:v>21.995325311574422</c:v>
                </c:pt>
                <c:pt idx="8">
                  <c:v>29.384230381522965</c:v>
                </c:pt>
                <c:pt idx="9">
                  <c:v>39.264319768945548</c:v>
                </c:pt>
                <c:pt idx="10">
                  <c:v>52.478324176555844</c:v>
                </c:pt>
                <c:pt idx="11">
                  <c:v>70.154937419804284</c:v>
                </c:pt>
                <c:pt idx="12">
                  <c:v>93.806125352002127</c:v>
                </c:pt>
                <c:pt idx="13">
                  <c:v>122.23822078292376</c:v>
                </c:pt>
                <c:pt idx="14">
                  <c:v>150.5085198437738</c:v>
                </c:pt>
                <c:pt idx="15">
                  <c:v>178.65185535473219</c:v>
                </c:pt>
                <c:pt idx="16">
                  <c:v>206.69109312116552</c:v>
                </c:pt>
                <c:pt idx="17">
                  <c:v>202.33556200827059</c:v>
                </c:pt>
                <c:pt idx="18">
                  <c:v>235.26259363877375</c:v>
                </c:pt>
                <c:pt idx="19">
                  <c:v>268.08437508431638</c:v>
                </c:pt>
                <c:pt idx="20">
                  <c:v>300.81560417042851</c:v>
                </c:pt>
                <c:pt idx="21">
                  <c:v>283.53416445003467</c:v>
                </c:pt>
                <c:pt idx="22">
                  <c:v>320.53884249790667</c:v>
                </c:pt>
                <c:pt idx="23">
                  <c:v>357.4489578943282</c:v>
                </c:pt>
                <c:pt idx="24">
                  <c:v>394.27563782209796</c:v>
                </c:pt>
                <c:pt idx="25">
                  <c:v>357.4489578943282</c:v>
                </c:pt>
                <c:pt idx="26">
                  <c:v>396.7280111239391</c:v>
                </c:pt>
                <c:pt idx="27">
                  <c:v>435.92281544862516</c:v>
                </c:pt>
                <c:pt idx="28">
                  <c:v>475.04199901148399</c:v>
                </c:pt>
                <c:pt idx="29">
                  <c:v>425.72343591782419</c:v>
                </c:pt>
                <c:pt idx="30">
                  <c:v>462.01020872596206</c:v>
                </c:pt>
                <c:pt idx="31">
                  <c:v>498.23618770733736</c:v>
                </c:pt>
                <c:pt idx="32">
                  <c:v>534.40640703683346</c:v>
                </c:pt>
                <c:pt idx="33">
                  <c:v>570.52516463862946</c:v>
                </c:pt>
                <c:pt idx="34">
                  <c:v>606.59617058942615</c:v>
                </c:pt>
                <c:pt idx="35">
                  <c:v>525.87664871101117</c:v>
                </c:pt>
                <c:pt idx="36">
                  <c:v>557.13857303592999</c:v>
                </c:pt>
                <c:pt idx="37">
                  <c:v>588.3637783378266</c:v>
                </c:pt>
                <c:pt idx="38">
                  <c:v>619.55448427516376</c:v>
                </c:pt>
                <c:pt idx="39">
                  <c:v>650.71266910611268</c:v>
                </c:pt>
                <c:pt idx="40">
                  <c:v>681.84010647136768</c:v>
                </c:pt>
                <c:pt idx="41">
                  <c:v>606.19113134170823</c:v>
                </c:pt>
                <c:pt idx="42">
                  <c:v>630.0789740578781</c:v>
                </c:pt>
                <c:pt idx="43">
                  <c:v>653.94809117910881</c:v>
                </c:pt>
                <c:pt idx="44">
                  <c:v>677.79926152680878</c:v>
                </c:pt>
                <c:pt idx="45">
                  <c:v>701.63320470891119</c:v>
                </c:pt>
                <c:pt idx="46">
                  <c:v>725.45058752035629</c:v>
                </c:pt>
                <c:pt idx="47">
                  <c:v>669.41292592357013</c:v>
                </c:pt>
                <c:pt idx="48">
                  <c:v>683.65832617131628</c:v>
                </c:pt>
                <c:pt idx="49">
                  <c:v>697.89763822848818</c:v>
                </c:pt>
                <c:pt idx="50">
                  <c:v>712.13100373353336</c:v>
                </c:pt>
                <c:pt idx="51">
                  <c:v>726.35855820529821</c:v>
                </c:pt>
                <c:pt idx="52">
                  <c:v>740.58043142459246</c:v>
                </c:pt>
                <c:pt idx="53">
                  <c:v>754.79674778494734</c:v>
                </c:pt>
                <c:pt idx="54">
                  <c:v>769.00762661559293</c:v>
                </c:pt>
                <c:pt idx="55">
                  <c:v>736.64728294844338</c:v>
                </c:pt>
                <c:pt idx="56">
                  <c:v>743.00061903117557</c:v>
                </c:pt>
                <c:pt idx="57">
                  <c:v>749.35284994587244</c:v>
                </c:pt>
                <c:pt idx="58">
                  <c:v>755.7039863807662</c:v>
                </c:pt>
                <c:pt idx="59">
                  <c:v>762.05403882981273</c:v>
                </c:pt>
                <c:pt idx="60">
                  <c:v>768.40301759784688</c:v>
                </c:pt>
                <c:pt idx="61">
                  <c:v>774.75093280555973</c:v>
                </c:pt>
                <c:pt idx="62">
                  <c:v>781.09779439430167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2.0674175365629677</c:v>
                </c:pt>
                <c:pt idx="2">
                  <c:v>2.7563386153172069</c:v>
                </c:pt>
                <c:pt idx="3">
                  <c:v>3.6757828754088084</c:v>
                </c:pt>
                <c:pt idx="4">
                  <c:v>4.9031880948975504</c:v>
                </c:pt>
                <c:pt idx="5">
                  <c:v>6.5420997187463925</c:v>
                </c:pt>
                <c:pt idx="6">
                  <c:v>8.7310024967746021</c:v>
                </c:pt>
                <c:pt idx="7">
                  <c:v>11.65514889235574</c:v>
                </c:pt>
                <c:pt idx="8">
                  <c:v>15.562403998555673</c:v>
                </c:pt>
                <c:pt idx="9">
                  <c:v>20.784474580403991</c:v>
                </c:pt>
                <c:pt idx="10">
                  <c:v>27.76535669760619</c:v>
                </c:pt>
                <c:pt idx="11">
                  <c:v>37.09946291026079</c:v>
                </c:pt>
                <c:pt idx="12">
                  <c:v>49.582731081946882</c:v>
                </c:pt>
                <c:pt idx="13">
                  <c:v>64.583001936057926</c:v>
                </c:pt>
                <c:pt idx="14">
                  <c:v>79.492623892016056</c:v>
                </c:pt>
                <c:pt idx="15">
                  <c:v>94.331112571633255</c:v>
                </c:pt>
                <c:pt idx="16">
                  <c:v>109.11127889310849</c:v>
                </c:pt>
                <c:pt idx="17">
                  <c:v>106.81557526911295</c:v>
                </c:pt>
                <c:pt idx="18">
                  <c:v>124.16900365793684</c:v>
                </c:pt>
                <c:pt idx="19">
                  <c:v>141.46346401618726</c:v>
                </c:pt>
                <c:pt idx="20">
                  <c:v>158.70719102606964</c:v>
                </c:pt>
                <c:pt idx="21">
                  <c:v>149.60319730872013</c:v>
                </c:pt>
                <c:pt idx="22">
                  <c:v>169.09664015835338</c:v>
                </c:pt>
                <c:pt idx="23">
                  <c:v>188.53710283199996</c:v>
                </c:pt>
                <c:pt idx="24">
                  <c:v>207.9308195045044</c:v>
                </c:pt>
                <c:pt idx="25">
                  <c:v>188.53710283199996</c:v>
                </c:pt>
                <c:pt idx="26">
                  <c:v>209.22219955438308</c:v>
                </c:pt>
                <c:pt idx="27">
                  <c:v>229.86009453547467</c:v>
                </c:pt>
                <c:pt idx="28">
                  <c:v>250.45562182479364</c:v>
                </c:pt>
                <c:pt idx="29">
                  <c:v>224.48990116103005</c:v>
                </c:pt>
                <c:pt idx="30">
                  <c:v>243.5948932063433</c:v>
                </c:pt>
                <c:pt idx="31">
                  <c:v>262.66582457768635</c:v>
                </c:pt>
                <c:pt idx="32">
                  <c:v>281.70551574875822</c:v>
                </c:pt>
                <c:pt idx="33">
                  <c:v>300.7163746975063</c:v>
                </c:pt>
                <c:pt idx="34">
                  <c:v>319.7004800513119</c:v>
                </c:pt>
                <c:pt idx="35">
                  <c:v>277.21568679177352</c:v>
                </c:pt>
                <c:pt idx="36">
                  <c:v>293.67062981705698</c:v>
                </c:pt>
                <c:pt idx="37">
                  <c:v>310.10500044645323</c:v>
                </c:pt>
                <c:pt idx="38">
                  <c:v>326.52004227766406</c:v>
                </c:pt>
                <c:pt idx="39">
                  <c:v>342.9168636601741</c:v>
                </c:pt>
                <c:pt idx="40">
                  <c:v>359.29645830338887</c:v>
                </c:pt>
                <c:pt idx="41">
                  <c:v>319.4873172181201</c:v>
                </c:pt>
                <c:pt idx="42">
                  <c:v>332.05861703935699</c:v>
                </c:pt>
                <c:pt idx="43">
                  <c:v>344.61942555879472</c:v>
                </c:pt>
                <c:pt idx="44">
                  <c:v>357.17017912307307</c:v>
                </c:pt>
                <c:pt idx="45">
                  <c:v>369.7112809035753</c:v>
                </c:pt>
                <c:pt idx="46">
                  <c:v>382.24310448239459</c:v>
                </c:pt>
                <c:pt idx="47">
                  <c:v>352.75726329182407</c:v>
                </c:pt>
                <c:pt idx="48">
                  <c:v>360.25319399788003</c:v>
                </c:pt>
                <c:pt idx="49">
                  <c:v>367.74571370177881</c:v>
                </c:pt>
                <c:pt idx="50">
                  <c:v>375.23490175863367</c:v>
                </c:pt>
                <c:pt idx="51">
                  <c:v>382.72083409495696</c:v>
                </c:pt>
                <c:pt idx="52">
                  <c:v>390.20358342243782</c:v>
                </c:pt>
                <c:pt idx="53">
                  <c:v>397.68321943446034</c:v>
                </c:pt>
                <c:pt idx="54">
                  <c:v>405.15980898705612</c:v>
                </c:pt>
                <c:pt idx="55">
                  <c:v>388.13420118594587</c:v>
                </c:pt>
                <c:pt idx="56">
                  <c:v>391.47693094284676</c:v>
                </c:pt>
                <c:pt idx="57">
                  <c:v>394.81904151240332</c:v>
                </c:pt>
                <c:pt idx="58">
                  <c:v>398.16053888286166</c:v>
                </c:pt>
                <c:pt idx="59">
                  <c:v>401.50142893362187</c:v>
                </c:pt>
                <c:pt idx="60">
                  <c:v>404.84171743812561</c:v>
                </c:pt>
                <c:pt idx="61">
                  <c:v>408.18141006664501</c:v>
                </c:pt>
                <c:pt idx="62">
                  <c:v>411.52051238897451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9.5658488428115387</c:v>
                </c:pt>
                <c:pt idx="2">
                  <c:v>18.713454989659699</c:v>
                </c:pt>
                <c:pt idx="3">
                  <c:v>27.725989740181699</c:v>
                </c:pt>
                <c:pt idx="4">
                  <c:v>36.65526333924354</c:v>
                </c:pt>
                <c:pt idx="5">
                  <c:v>45.524757888270635</c:v>
                </c:pt>
                <c:pt idx="6">
                  <c:v>54.347868558321132</c:v>
                </c:pt>
                <c:pt idx="7">
                  <c:v>63.133230698244425</c:v>
                </c:pt>
                <c:pt idx="8">
                  <c:v>71.886859169437486</c:v>
                </c:pt>
                <c:pt idx="9">
                  <c:v>80.613174971542193</c:v>
                </c:pt>
                <c:pt idx="10">
                  <c:v>89.315559024608902</c:v>
                </c:pt>
                <c:pt idx="11">
                  <c:v>97.996676935716437</c:v>
                </c:pt>
                <c:pt idx="12">
                  <c:v>106.65868185784689</c:v>
                </c:pt>
                <c:pt idx="13">
                  <c:v>115.30334762150734</c:v>
                </c:pt>
                <c:pt idx="14">
                  <c:v>123.93215965789818</c:v>
                </c:pt>
                <c:pt idx="15">
                  <c:v>132.54637916925719</c:v>
                </c:pt>
                <c:pt idx="16">
                  <c:v>141.1470896839194</c:v>
                </c:pt>
                <c:pt idx="17">
                  <c:v>149.73523163402561</c:v>
                </c:pt>
                <c:pt idx="18">
                  <c:v>158.31162856255912</c:v>
                </c:pt>
                <c:pt idx="19">
                  <c:v>166.87700733963425</c:v>
                </c:pt>
                <c:pt idx="20">
                  <c:v>175.43201400130738</c:v>
                </c:pt>
                <c:pt idx="21">
                  <c:v>183.97722633060445</c:v>
                </c:pt>
                <c:pt idx="22">
                  <c:v>192.51316397426362</c:v>
                </c:pt>
                <c:pt idx="23">
                  <c:v>201.04029666807492</c:v>
                </c:pt>
                <c:pt idx="24">
                  <c:v>209.55905099136123</c:v>
                </c:pt>
                <c:pt idx="25">
                  <c:v>218.0698159639918</c:v>
                </c:pt>
                <c:pt idx="26">
                  <c:v>226.57294772266482</c:v>
                </c:pt>
                <c:pt idx="27">
                  <c:v>235.06877345752716</c:v>
                </c:pt>
                <c:pt idx="28">
                  <c:v>243.55759474919572</c:v>
                </c:pt>
                <c:pt idx="29">
                  <c:v>252.03969041566543</c:v>
                </c:pt>
                <c:pt idx="30">
                  <c:v>260.51531895550835</c:v>
                </c:pt>
                <c:pt idx="31">
                  <c:v>268.98472065616153</c:v>
                </c:pt>
                <c:pt idx="32">
                  <c:v>277.44811942253631</c:v>
                </c:pt>
                <c:pt idx="33">
                  <c:v>285.9057243706298</c:v>
                </c:pt>
                <c:pt idx="34">
                  <c:v>294.35773122254443</c:v>
                </c:pt>
                <c:pt idx="35">
                  <c:v>302.80432353277553</c:v>
                </c:pt>
                <c:pt idx="36">
                  <c:v>311.24567377041342</c:v>
                </c:pt>
                <c:pt idx="37">
                  <c:v>247.99520534543691</c:v>
                </c:pt>
                <c:pt idx="38">
                  <c:v>269.11497170292438</c:v>
                </c:pt>
                <c:pt idx="39">
                  <c:v>290.19743103031311</c:v>
                </c:pt>
                <c:pt idx="40">
                  <c:v>311.24567377041342</c:v>
                </c:pt>
                <c:pt idx="41">
                  <c:v>332.26233823070555</c:v>
                </c:pt>
                <c:pt idx="42">
                  <c:v>353.24970174806919</c:v>
                </c:pt>
                <c:pt idx="43">
                  <c:v>276.92746425152399</c:v>
                </c:pt>
                <c:pt idx="44">
                  <c:v>296.4373879469706</c:v>
                </c:pt>
                <c:pt idx="45">
                  <c:v>315.91868734548387</c:v>
                </c:pt>
                <c:pt idx="46">
                  <c:v>335.37337524471485</c:v>
                </c:pt>
                <c:pt idx="47">
                  <c:v>354.80321188782165</c:v>
                </c:pt>
                <c:pt idx="48">
                  <c:v>374.20974903573443</c:v>
                </c:pt>
                <c:pt idx="49">
                  <c:v>296.82728727876724</c:v>
                </c:pt>
                <c:pt idx="50">
                  <c:v>315.13995881748809</c:v>
                </c:pt>
                <c:pt idx="51">
                  <c:v>333.42905204366207</c:v>
                </c:pt>
                <c:pt idx="52">
                  <c:v>351.69604183365294</c:v>
                </c:pt>
                <c:pt idx="53">
                  <c:v>369.94223737546798</c:v>
                </c:pt>
                <c:pt idx="54">
                  <c:v>388.16880820600994</c:v>
                </c:pt>
                <c:pt idx="55">
                  <c:v>334.0123751780215</c:v>
                </c:pt>
                <c:pt idx="56">
                  <c:v>352.0844708948959</c:v>
                </c:pt>
                <c:pt idx="57">
                  <c:v>370.13623838046789</c:v>
                </c:pt>
                <c:pt idx="58">
                  <c:v>388.16880820600994</c:v>
                </c:pt>
                <c:pt idx="59">
                  <c:v>406.18319735959312</c:v>
                </c:pt>
                <c:pt idx="60">
                  <c:v>424.18032529272659</c:v>
                </c:pt>
                <c:pt idx="61">
                  <c:v>442.16102710155428</c:v>
                </c:pt>
                <c:pt idx="62">
                  <c:v>460.12606445231495</c:v>
                </c:pt>
                <c:pt idx="63">
                  <c:v>388.45950453005065</c:v>
                </c:pt>
                <c:pt idx="64">
                  <c:v>407.34481392391967</c:v>
                </c:pt>
                <c:pt idx="65">
                  <c:v>426.21121236078352</c:v>
                </c:pt>
                <c:pt idx="66">
                  <c:v>445.05965429231696</c:v>
                </c:pt>
                <c:pt idx="67">
                  <c:v>463.89100677311853</c:v>
                </c:pt>
                <c:pt idx="68">
                  <c:v>482.70606075912627</c:v>
                </c:pt>
                <c:pt idx="69">
                  <c:v>501.50554055310334</c:v>
                </c:pt>
                <c:pt idx="70">
                  <c:v>520.29011176051108</c:v>
                </c:pt>
                <c:pt idx="71">
                  <c:v>414.8935870599687</c:v>
                </c:pt>
                <c:pt idx="72">
                  <c:v>432.30262904622163</c:v>
                </c:pt>
                <c:pt idx="73">
                  <c:v>449.69661801944721</c:v>
                </c:pt>
                <c:pt idx="74">
                  <c:v>467.07621791591851</c:v>
                </c:pt>
                <c:pt idx="75">
                  <c:v>484.44203925509208</c:v>
                </c:pt>
                <c:pt idx="76">
                  <c:v>501.79464523740495</c:v>
                </c:pt>
                <c:pt idx="77">
                  <c:v>519.13455695492655</c:v>
                </c:pt>
                <c:pt idx="78">
                  <c:v>536.46225786984394</c:v>
                </c:pt>
                <c:pt idx="79">
                  <c:v>454.2037963896417</c:v>
                </c:pt>
                <c:pt idx="80">
                  <c:v>469.13509768936063</c:v>
                </c:pt>
                <c:pt idx="81">
                  <c:v>484.0562776927261</c:v>
                </c:pt>
                <c:pt idx="82">
                  <c:v>498.96769223701364</c:v>
                </c:pt>
                <c:pt idx="83">
                  <c:v>513.86967416401831</c:v>
                </c:pt>
                <c:pt idx="84">
                  <c:v>528.76253544372059</c:v>
                </c:pt>
                <c:pt idx="85">
                  <c:v>543.64656904631875</c:v>
                </c:pt>
                <c:pt idx="86">
                  <c:v>558.52205059865628</c:v>
                </c:pt>
                <c:pt idx="87">
                  <c:v>573.38923985506847</c:v>
                </c:pt>
                <c:pt idx="88">
                  <c:v>497.39987222515578</c:v>
                </c:pt>
                <c:pt idx="89">
                  <c:v>511.50652794061324</c:v>
                </c:pt>
                <c:pt idx="90">
                  <c:v>525.60496890923548</c:v>
                </c:pt>
                <c:pt idx="91">
                  <c:v>539.69544644774521</c:v>
                </c:pt>
                <c:pt idx="92">
                  <c:v>553.77819768444908</c:v>
                </c:pt>
                <c:pt idx="93">
                  <c:v>567.85344670822133</c:v>
                </c:pt>
                <c:pt idx="94">
                  <c:v>581.92140559769098</c:v>
                </c:pt>
                <c:pt idx="95">
                  <c:v>595.98227534576597</c:v>
                </c:pt>
                <c:pt idx="96">
                  <c:v>610.03624669241424</c:v>
                </c:pt>
                <c:pt idx="97">
                  <c:v>624.08350087674489</c:v>
                </c:pt>
                <c:pt idx="98">
                  <c:v>542.23552329497932</c:v>
                </c:pt>
                <c:pt idx="99">
                  <c:v>557.24001171471286</c:v>
                </c:pt>
                <c:pt idx="100">
                  <c:v>572.23604205126333</c:v>
                </c:pt>
                <c:pt idx="101">
                  <c:v>587.22386707221494</c:v>
                </c:pt>
                <c:pt idx="102">
                  <c:v>602.20372559681743</c:v>
                </c:pt>
                <c:pt idx="103">
                  <c:v>617.17584360068372</c:v>
                </c:pt>
                <c:pt idx="104">
                  <c:v>632.14043520777898</c:v>
                </c:pt>
                <c:pt idx="105">
                  <c:v>647.09770358364256</c:v>
                </c:pt>
                <c:pt idx="106">
                  <c:v>662.0478417417836</c:v>
                </c:pt>
                <c:pt idx="107">
                  <c:v>676.99103327349474</c:v>
                </c:pt>
                <c:pt idx="108">
                  <c:v>586.53229844261193</c:v>
                </c:pt>
                <c:pt idx="109">
                  <c:v>601.97332542506115</c:v>
                </c:pt>
                <c:pt idx="110">
                  <c:v>617.40612455729104</c:v>
                </c:pt>
                <c:pt idx="111">
                  <c:v>632.83093035058675</c:v>
                </c:pt>
                <c:pt idx="112">
                  <c:v>648.2479649592417</c:v>
                </c:pt>
                <c:pt idx="113">
                  <c:v>663.65743911612878</c:v>
                </c:pt>
                <c:pt idx="114">
                  <c:v>679.05955297692128</c:v>
                </c:pt>
                <c:pt idx="115">
                  <c:v>694.45449688378994</c:v>
                </c:pt>
                <c:pt idx="116">
                  <c:v>709.84245205791012</c:v>
                </c:pt>
                <c:pt idx="117">
                  <c:v>725.22359122884484</c:v>
                </c:pt>
                <c:pt idx="118">
                  <c:v>635.78453950721837</c:v>
                </c:pt>
                <c:pt idx="119">
                  <c:v>649.78158131834198</c:v>
                </c:pt>
                <c:pt idx="120">
                  <c:v>663.77240728055119</c:v>
                </c:pt>
                <c:pt idx="121">
                  <c:v>677.75716679405321</c:v>
                </c:pt>
                <c:pt idx="122">
                  <c:v>691.73600259468151</c:v>
                </c:pt>
                <c:pt idx="123">
                  <c:v>705.7090511826367</c:v>
                </c:pt>
                <c:pt idx="124">
                  <c:v>719.67644321552552</c:v>
                </c:pt>
                <c:pt idx="125">
                  <c:v>733.63830386932761</c:v>
                </c:pt>
                <c:pt idx="126">
                  <c:v>747.59475317047293</c:v>
                </c:pt>
                <c:pt idx="127">
                  <c:v>761.5459063018526</c:v>
                </c:pt>
                <c:pt idx="128">
                  <c:v>775.49187388525843</c:v>
                </c:pt>
                <c:pt idx="129">
                  <c:v>789.43276224246529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2.7727466933174001</c:v>
                </c:pt>
                <c:pt idx="2">
                  <c:v>3.6971938180739983</c:v>
                </c:pt>
                <c:pt idx="3">
                  <c:v>4.9311195367145713</c:v>
                </c:pt>
                <c:pt idx="4">
                  <c:v>6.5785262722934741</c:v>
                </c:pt>
                <c:pt idx="5">
                  <c:v>8.7784919146290346</c:v>
                </c:pt>
                <c:pt idx="6">
                  <c:v>11.717038202186979</c:v>
                </c:pt>
                <c:pt idx="7">
                  <c:v>15.643027100028144</c:v>
                </c:pt>
                <c:pt idx="8">
                  <c:v>20.889455992711046</c:v>
                </c:pt>
                <c:pt idx="9">
                  <c:v>27.90199019554942</c:v>
                </c:pt>
                <c:pt idx="10">
                  <c:v>37.277198891723394</c:v>
                </c:pt>
                <c:pt idx="11">
                  <c:v>49.813802919604932</c:v>
                </c:pt>
                <c:pt idx="12">
                  <c:v>66.581373465122965</c:v>
                </c:pt>
                <c:pt idx="13">
                  <c:v>89.012438532637688</c:v>
                </c:pt>
                <c:pt idx="14">
                  <c:v>119.02599191524193</c:v>
                </c:pt>
                <c:pt idx="15">
                  <c:v>159.1931357542808</c:v>
                </c:pt>
                <c:pt idx="16">
                  <c:v>137.82629657228549</c:v>
                </c:pt>
                <c:pt idx="17">
                  <c:v>151.78480419557522</c:v>
                </c:pt>
                <c:pt idx="18">
                  <c:v>165.71273882363704</c:v>
                </c:pt>
                <c:pt idx="19">
                  <c:v>179.61303380373261</c:v>
                </c:pt>
                <c:pt idx="20">
                  <c:v>193.48813068444892</c:v>
                </c:pt>
                <c:pt idx="21">
                  <c:v>207.34009181198201</c:v>
                </c:pt>
                <c:pt idx="22">
                  <c:v>221.17068118289913</c:v>
                </c:pt>
                <c:pt idx="23">
                  <c:v>234.98142397035801</c:v>
                </c:pt>
                <c:pt idx="24">
                  <c:v>248.77365129832424</c:v>
                </c:pt>
                <c:pt idx="25">
                  <c:v>262.54853455193683</c:v>
                </c:pt>
                <c:pt idx="26">
                  <c:v>236.37892704001902</c:v>
                </c:pt>
                <c:pt idx="27">
                  <c:v>253.8322112206823</c:v>
                </c:pt>
                <c:pt idx="28">
                  <c:v>271.25832842500034</c:v>
                </c:pt>
                <c:pt idx="29">
                  <c:v>288.65926934113531</c:v>
                </c:pt>
                <c:pt idx="30">
                  <c:v>306.03676500452593</c:v>
                </c:pt>
                <c:pt idx="31">
                  <c:v>323.39233379750698</c:v>
                </c:pt>
                <c:pt idx="32">
                  <c:v>340.72731782352474</c:v>
                </c:pt>
                <c:pt idx="33">
                  <c:v>358.04291148739236</c:v>
                </c:pt>
                <c:pt idx="34">
                  <c:v>375.34018425536215</c:v>
                </c:pt>
                <c:pt idx="35">
                  <c:v>392.62009899923322</c:v>
                </c:pt>
                <c:pt idx="36">
                  <c:v>349.38746891454957</c:v>
                </c:pt>
                <c:pt idx="37">
                  <c:v>370.1528669347897</c:v>
                </c:pt>
                <c:pt idx="38">
                  <c:v>390.89286314734142</c:v>
                </c:pt>
                <c:pt idx="39">
                  <c:v>411.60899407848501</c:v>
                </c:pt>
                <c:pt idx="40">
                  <c:v>432.30262904622128</c:v>
                </c:pt>
                <c:pt idx="41">
                  <c:v>452.97499565311699</c:v>
                </c:pt>
                <c:pt idx="42">
                  <c:v>473.62720038307492</c:v>
                </c:pt>
                <c:pt idx="43">
                  <c:v>494.26024541903865</c:v>
                </c:pt>
                <c:pt idx="44">
                  <c:v>514.87504250690961</c:v>
                </c:pt>
                <c:pt idx="45">
                  <c:v>535.47242448427426</c:v>
                </c:pt>
                <c:pt idx="46">
                  <c:v>470.87470098899871</c:v>
                </c:pt>
                <c:pt idx="47">
                  <c:v>493.91651328433642</c:v>
                </c:pt>
                <c:pt idx="48">
                  <c:v>516.93555127166246</c:v>
                </c:pt>
                <c:pt idx="49">
                  <c:v>539.93297075280111</c:v>
                </c:pt>
                <c:pt idx="50">
                  <c:v>562.90982113451912</c:v>
                </c:pt>
                <c:pt idx="51">
                  <c:v>585.86705925282024</c:v>
                </c:pt>
                <c:pt idx="52">
                  <c:v>608.8055609190061</c:v>
                </c:pt>
                <c:pt idx="53">
                  <c:v>631.72613063630581</c:v>
                </c:pt>
                <c:pt idx="54">
                  <c:v>654.6295098340787</c:v>
                </c:pt>
                <c:pt idx="55">
                  <c:v>677.51638389071002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6.8563022170882038</c:v>
                </c:pt>
                <c:pt idx="2">
                  <c:v>13.404124196716184</c:v>
                </c:pt>
                <c:pt idx="3">
                  <c:v>19.852322544383771</c:v>
                </c:pt>
                <c:pt idx="4">
                  <c:v>26.239110567324747</c:v>
                </c:pt>
                <c:pt idx="5">
                  <c:v>32.58180778909253</c:v>
                </c:pt>
                <c:pt idx="6">
                  <c:v>38.890293989032266</c:v>
                </c:pt>
                <c:pt idx="7">
                  <c:v>45.170938278880548</c:v>
                </c:pt>
                <c:pt idx="8">
                  <c:v>51.428176996414315</c:v>
                </c:pt>
                <c:pt idx="9">
                  <c:v>57.665270906334314</c:v>
                </c:pt>
                <c:pt idx="10">
                  <c:v>63.884713649366454</c:v>
                </c:pt>
                <c:pt idx="11">
                  <c:v>70.088471278026603</c:v>
                </c:pt>
                <c:pt idx="12">
                  <c:v>76.278131877772395</c:v>
                </c:pt>
                <c:pt idx="13">
                  <c:v>82.455003759929525</c:v>
                </c:pt>
                <c:pt idx="14">
                  <c:v>88.620182523234931</c:v>
                </c:pt>
                <c:pt idx="15">
                  <c:v>94.774598383492886</c:v>
                </c:pt>
                <c:pt idx="16">
                  <c:v>100.91905051085341</c:v>
                </c:pt>
                <c:pt idx="17">
                  <c:v>107.05423253304251</c:v>
                </c:pt>
                <c:pt idx="18">
                  <c:v>113.18075186469645</c:v>
                </c:pt>
                <c:pt idx="19">
                  <c:v>119.29914461814332</c:v>
                </c:pt>
                <c:pt idx="20">
                  <c:v>125.40988728552047</c:v>
                </c:pt>
                <c:pt idx="21">
                  <c:v>131.51340601807155</c:v>
                </c:pt>
                <c:pt idx="22">
                  <c:v>137.61008408787927</c:v>
                </c:pt>
                <c:pt idx="23">
                  <c:v>143.70026795456974</c:v>
                </c:pt>
                <c:pt idx="24">
                  <c:v>149.78427224716597</c:v>
                </c:pt>
                <c:pt idx="25">
                  <c:v>155.86238389223666</c:v>
                </c:pt>
                <c:pt idx="26">
                  <c:v>161.93486556294815</c:v>
                </c:pt>
                <c:pt idx="27">
                  <c:v>168.00195858256834</c:v>
                </c:pt>
                <c:pt idx="28">
                  <c:v>174.06388538572972</c:v>
                </c:pt>
                <c:pt idx="29">
                  <c:v>180.12085161820221</c:v>
                </c:pt>
                <c:pt idx="30">
                  <c:v>186.17304793890636</c:v>
                </c:pt>
                <c:pt idx="31">
                  <c:v>192.22065157490752</c:v>
                </c:pt>
                <c:pt idx="32">
                  <c:v>198.26382767013027</c:v>
                </c:pt>
                <c:pt idx="33">
                  <c:v>204.30273046074669</c:v>
                </c:pt>
                <c:pt idx="34">
                  <c:v>210.33750430409097</c:v>
                </c:pt>
                <c:pt idx="35">
                  <c:v>216.36828458312357</c:v>
                </c:pt>
                <c:pt idx="36">
                  <c:v>222.39519850462258</c:v>
                </c:pt>
                <c:pt idx="37">
                  <c:v>177.23275099155015</c:v>
                </c:pt>
                <c:pt idx="38">
                  <c:v>192.31365664017562</c:v>
                </c:pt>
                <c:pt idx="39">
                  <c:v>207.36704601268957</c:v>
                </c:pt>
                <c:pt idx="40">
                  <c:v>222.39519850462258</c:v>
                </c:pt>
                <c:pt idx="41">
                  <c:v>237.40006003332346</c:v>
                </c:pt>
                <c:pt idx="42">
                  <c:v>252.38331027766819</c:v>
                </c:pt>
                <c:pt idx="43">
                  <c:v>197.89206483029088</c:v>
                </c:pt>
                <c:pt idx="44">
                  <c:v>211.82236955720643</c:v>
                </c:pt>
                <c:pt idx="45">
                  <c:v>225.73156206865386</c:v>
                </c:pt>
                <c:pt idx="46">
                  <c:v>239.62112692922543</c:v>
                </c:pt>
                <c:pt idx="47">
                  <c:v>253.49236242872414</c:v>
                </c:pt>
                <c:pt idx="48">
                  <c:v>267.34641308822552</c:v>
                </c:pt>
                <c:pt idx="49">
                  <c:v>212.10075501566249</c:v>
                </c:pt>
                <c:pt idx="50">
                  <c:v>225.17558044390702</c:v>
                </c:pt>
                <c:pt idx="51">
                  <c:v>238.23301538685791</c:v>
                </c:pt>
                <c:pt idx="52">
                  <c:v>251.27414765839754</c:v>
                </c:pt>
                <c:pt idx="53">
                  <c:v>264.29994286684672</c:v>
                </c:pt>
                <c:pt idx="54">
                  <c:v>277.31126361907224</c:v>
                </c:pt>
                <c:pt idx="55">
                  <c:v>238.64946815456793</c:v>
                </c:pt>
                <c:pt idx="56">
                  <c:v>251.55144870004509</c:v>
                </c:pt>
                <c:pt idx="57">
                  <c:v>264.43843589912359</c:v>
                </c:pt>
                <c:pt idx="58">
                  <c:v>277.31126361907224</c:v>
                </c:pt>
                <c:pt idx="59">
                  <c:v>290.17068195242013</c:v>
                </c:pt>
                <c:pt idx="60">
                  <c:v>303.01736905236095</c:v>
                </c:pt>
                <c:pt idx="61">
                  <c:v>315.8519408547117</c:v>
                </c:pt>
                <c:pt idx="62">
                  <c:v>328.67495913612646</c:v>
                </c:pt>
                <c:pt idx="63">
                  <c:v>277.51877807553285</c:v>
                </c:pt>
                <c:pt idx="64">
                  <c:v>290.99987776518338</c:v>
                </c:pt>
                <c:pt idx="65">
                  <c:v>304.46702943717844</c:v>
                </c:pt>
                <c:pt idx="66">
                  <c:v>317.92093705953022</c:v>
                </c:pt>
                <c:pt idx="67">
                  <c:v>331.36224013942211</c:v>
                </c:pt>
                <c:pt idx="68">
                  <c:v>344.79152205649916</c:v>
                </c:pt>
                <c:pt idx="69">
                  <c:v>358.20931702950719</c:v>
                </c:pt>
                <c:pt idx="70">
                  <c:v>371.61611598424741</c:v>
                </c:pt>
                <c:pt idx="71">
                  <c:v>296.38837122187988</c:v>
                </c:pt>
                <c:pt idx="72">
                  <c:v>308.81509268095891</c:v>
                </c:pt>
                <c:pt idx="73">
                  <c:v>321.23071159819335</c:v>
                </c:pt>
                <c:pt idx="74">
                  <c:v>333.63571766825345</c:v>
                </c:pt>
                <c:pt idx="75">
                  <c:v>346.03056118755541</c:v>
                </c:pt>
                <c:pt idx="76">
                  <c:v>358.41565755176788</c:v>
                </c:pt>
                <c:pt idx="77">
                  <c:v>370.79139109899648</c:v>
                </c:pt>
                <c:pt idx="78">
                  <c:v>383.15811841294641</c:v>
                </c:pt>
                <c:pt idx="79">
                  <c:v>324.44782454706302</c:v>
                </c:pt>
                <c:pt idx="80">
                  <c:v>335.10525861604305</c:v>
                </c:pt>
                <c:pt idx="81">
                  <c:v>345.75522759374343</c:v>
                </c:pt>
                <c:pt idx="82">
                  <c:v>356.39799393248722</c:v>
                </c:pt>
                <c:pt idx="83">
                  <c:v>367.03380312398758</c:v>
                </c:pt>
                <c:pt idx="84">
                  <c:v>377.66288526568451</c:v>
                </c:pt>
                <c:pt idx="85">
                  <c:v>388.28545644148653</c:v>
                </c:pt>
                <c:pt idx="86">
                  <c:v>398.90171994348879</c:v>
                </c:pt>
                <c:pt idx="87">
                  <c:v>409.51186735681631</c:v>
                </c:pt>
                <c:pt idx="88">
                  <c:v>355.27900000392862</c:v>
                </c:pt>
                <c:pt idx="89">
                  <c:v>365.34719838865385</c:v>
                </c:pt>
                <c:pt idx="90">
                  <c:v>375.409337882025</c:v>
                </c:pt>
                <c:pt idx="91">
                  <c:v>385.46560384589816</c:v>
                </c:pt>
                <c:pt idx="92">
                  <c:v>395.51617117728159</c:v>
                </c:pt>
                <c:pt idx="93">
                  <c:v>405.56120515578431</c:v>
                </c:pt>
                <c:pt idx="94">
                  <c:v>415.600862202705</c:v>
                </c:pt>
                <c:pt idx="95">
                  <c:v>425.63529056292811</c:v>
                </c:pt>
                <c:pt idx="96">
                  <c:v>435.66463091915057</c:v>
                </c:pt>
                <c:pt idx="97">
                  <c:v>445.68901694659024</c:v>
                </c:pt>
                <c:pt idx="98">
                  <c:v>387.27841746168298</c:v>
                </c:pt>
                <c:pt idx="99">
                  <c:v>397.98676836858493</c:v>
                </c:pt>
                <c:pt idx="100">
                  <c:v>408.68888090830427</c:v>
                </c:pt>
                <c:pt idx="101">
                  <c:v>419.38494151279878</c:v>
                </c:pt>
                <c:pt idx="102">
                  <c:v>430.07512632625304</c:v>
                </c:pt>
                <c:pt idx="103">
                  <c:v>440.7596020198643</c:v>
                </c:pt>
                <c:pt idx="104">
                  <c:v>451.43852652349534</c:v>
                </c:pt>
                <c:pt idx="105">
                  <c:v>462.11204968448214</c:v>
                </c:pt>
                <c:pt idx="106">
                  <c:v>472.78031386240127</c:v>
                </c:pt>
                <c:pt idx="107">
                  <c:v>483.44345446735355</c:v>
                </c:pt>
                <c:pt idx="108">
                  <c:v>418.89140782951267</c:v>
                </c:pt>
                <c:pt idx="109">
                  <c:v>429.91070560096585</c:v>
                </c:pt>
                <c:pt idx="110">
                  <c:v>440.92393481649702</c:v>
                </c:pt>
                <c:pt idx="111">
                  <c:v>451.93126844289685</c:v>
                </c:pt>
                <c:pt idx="112">
                  <c:v>462.93287033289954</c:v>
                </c:pt>
                <c:pt idx="113">
                  <c:v>473.92889591522453</c:v>
                </c:pt>
                <c:pt idx="114">
                  <c:v>484.91949281724283</c:v>
                </c:pt>
                <c:pt idx="115">
                  <c:v>495.90480142825095</c:v>
                </c:pt>
                <c:pt idx="116">
                  <c:v>506.8849554102398</c:v>
                </c:pt>
                <c:pt idx="117">
                  <c:v>517.86008216210269</c:v>
                </c:pt>
                <c:pt idx="118">
                  <c:v>454.03897934443148</c:v>
                </c:pt>
                <c:pt idx="119">
                  <c:v>464.02724957217771</c:v>
                </c:pt>
                <c:pt idx="120">
                  <c:v>474.01093522123909</c:v>
                </c:pt>
                <c:pt idx="121">
                  <c:v>483.99014648364442</c:v>
                </c:pt>
                <c:pt idx="122">
                  <c:v>493.96498863602937</c:v>
                </c:pt>
                <c:pt idx="123">
                  <c:v>503.93556235585828</c:v>
                </c:pt>
                <c:pt idx="124">
                  <c:v>513.90196401131686</c:v>
                </c:pt>
                <c:pt idx="125">
                  <c:v>523.86428592754601</c:v>
                </c:pt>
                <c:pt idx="126">
                  <c:v>533.82261663157078</c:v>
                </c:pt>
                <c:pt idx="127">
                  <c:v>543.77704107800207</c:v>
                </c:pt>
                <c:pt idx="128">
                  <c:v>553.72764085735434</c:v>
                </c:pt>
                <c:pt idx="129">
                  <c:v>563.67449438860933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2.9205980688266564</c:v>
                </c:pt>
                <c:pt idx="2">
                  <c:v>3.8193886180668186</c:v>
                </c:pt>
                <c:pt idx="3">
                  <c:v>4.9958857422955205</c:v>
                </c:pt>
                <c:pt idx="4">
                  <c:v>6.5362176188514516</c:v>
                </c:pt>
                <c:pt idx="5">
                  <c:v>8.5533177888034189</c:v>
                </c:pt>
                <c:pt idx="6">
                  <c:v>11.195294658284743</c:v>
                </c:pt>
                <c:pt idx="7">
                  <c:v>14.656421978560983</c:v>
                </c:pt>
                <c:pt idx="8">
                  <c:v>19.191573306246756</c:v>
                </c:pt>
                <c:pt idx="9">
                  <c:v>25.135182506128984</c:v>
                </c:pt>
                <c:pt idx="10">
                  <c:v>32.9261531469324</c:v>
                </c:pt>
                <c:pt idx="11">
                  <c:v>43.140587989048477</c:v>
                </c:pt>
                <c:pt idx="12">
                  <c:v>56.534799687422179</c:v>
                </c:pt>
                <c:pt idx="13">
                  <c:v>74.101840122506715</c:v>
                </c:pt>
                <c:pt idx="14">
                  <c:v>97.145807411654872</c:v>
                </c:pt>
                <c:pt idx="15">
                  <c:v>127.37953432582198</c:v>
                </c:pt>
                <c:pt idx="16">
                  <c:v>118.40085351731194</c:v>
                </c:pt>
                <c:pt idx="17">
                  <c:v>130.43254725556008</c:v>
                </c:pt>
                <c:pt idx="18">
                  <c:v>142.43741279453405</c:v>
                </c:pt>
                <c:pt idx="19">
                  <c:v>154.41803223213648</c:v>
                </c:pt>
                <c:pt idx="20">
                  <c:v>166.37655350878956</c:v>
                </c:pt>
                <c:pt idx="21">
                  <c:v>178.31479007290758</c:v>
                </c:pt>
                <c:pt idx="22">
                  <c:v>190.23429237820369</c:v>
                </c:pt>
                <c:pt idx="23">
                  <c:v>202.13640047813919</c:v>
                </c:pt>
                <c:pt idx="24">
                  <c:v>214.02228355767383</c:v>
                </c:pt>
                <c:pt idx="25">
                  <c:v>225.89297020726829</c:v>
                </c:pt>
                <c:pt idx="26">
                  <c:v>203.26907123098991</c:v>
                </c:pt>
                <c:pt idx="27">
                  <c:v>218.35773715529595</c:v>
                </c:pt>
                <c:pt idx="28">
                  <c:v>233.42244664801694</c:v>
                </c:pt>
                <c:pt idx="29">
                  <c:v>248.46496383915087</c:v>
                </c:pt>
                <c:pt idx="30">
                  <c:v>263.48682168593831</c:v>
                </c:pt>
                <c:pt idx="31">
                  <c:v>278.48936400091264</c:v>
                </c:pt>
                <c:pt idx="32">
                  <c:v>293.47377793906497</c:v>
                </c:pt>
                <c:pt idx="33">
                  <c:v>308.44111949657537</c:v>
                </c:pt>
                <c:pt idx="34">
                  <c:v>323.39233379750681</c:v>
                </c:pt>
                <c:pt idx="35">
                  <c:v>338.32827143043045</c:v>
                </c:pt>
                <c:pt idx="36">
                  <c:v>300.21113544922031</c:v>
                </c:pt>
                <c:pt idx="37">
                  <c:v>318.16118821698814</c:v>
                </c:pt>
                <c:pt idx="38">
                  <c:v>336.08882358493895</c:v>
                </c:pt>
                <c:pt idx="39">
                  <c:v>353.99540526070859</c:v>
                </c:pt>
                <c:pt idx="40">
                  <c:v>371.88214774985937</c:v>
                </c:pt>
                <c:pt idx="41">
                  <c:v>389.75013922020372</c:v>
                </c:pt>
                <c:pt idx="42">
                  <c:v>407.60035995338353</c:v>
                </c:pt>
                <c:pt idx="43">
                  <c:v>425.43369739515907</c:v>
                </c:pt>
                <c:pt idx="44">
                  <c:v>443.25095855050762</c:v>
                </c:pt>
                <c:pt idx="45">
                  <c:v>461.05288028198464</c:v>
                </c:pt>
                <c:pt idx="46">
                  <c:v>405.74176424723106</c:v>
                </c:pt>
                <c:pt idx="47">
                  <c:v>426.54773922354394</c:v>
                </c:pt>
                <c:pt idx="48">
                  <c:v>447.33189509390417</c:v>
                </c:pt>
                <c:pt idx="49">
                  <c:v>468.09538752671051</c:v>
                </c:pt>
                <c:pt idx="50">
                  <c:v>488.83926137072285</c:v>
                </c:pt>
                <c:pt idx="51">
                  <c:v>509.5644656291002</c:v>
                </c:pt>
                <c:pt idx="52">
                  <c:v>530.27186587125868</c:v>
                </c:pt>
                <c:pt idx="53">
                  <c:v>550.96225460584594</c:v>
                </c:pt>
                <c:pt idx="54">
                  <c:v>571.6363600152373</c:v>
                </c:pt>
                <c:pt idx="55">
                  <c:v>592.29485336141568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2.3089120638447924</c:v>
                </c:pt>
                <c:pt idx="2">
                  <c:v>3.0782067292371238</c:v>
                </c:pt>
                <c:pt idx="3">
                  <c:v>4.1048794949724252</c:v>
                </c:pt>
                <c:pt idx="4">
                  <c:v>5.4753739255109108</c:v>
                </c:pt>
                <c:pt idx="5">
                  <c:v>7.3052715595703477</c:v>
                </c:pt>
                <c:pt idx="6">
                  <c:v>9.7491463667594704</c:v>
                </c:pt>
                <c:pt idx="7">
                  <c:v>13.013762184679505</c:v>
                </c:pt>
                <c:pt idx="8">
                  <c:v>17.375750361340604</c:v>
                </c:pt>
                <c:pt idx="9">
                  <c:v>23.205292672354815</c:v>
                </c:pt>
                <c:pt idx="10">
                  <c:v>30.997855001816294</c:v>
                </c:pt>
                <c:pt idx="11">
                  <c:v>41.416715680494413</c:v>
                </c:pt>
                <c:pt idx="12">
                  <c:v>55.349969758254908</c:v>
                </c:pt>
                <c:pt idx="13">
                  <c:v>73.986948781796045</c:v>
                </c:pt>
                <c:pt idx="14">
                  <c:v>98.920684924951942</c:v>
                </c:pt>
                <c:pt idx="15">
                  <c:v>132.28531646581547</c:v>
                </c:pt>
                <c:pt idx="16">
                  <c:v>114.53757778409698</c:v>
                </c:pt>
                <c:pt idx="17">
                  <c:v>126.13192519870654</c:v>
                </c:pt>
                <c:pt idx="18">
                  <c:v>137.70042561220842</c:v>
                </c:pt>
                <c:pt idx="19">
                  <c:v>149.24555893307607</c:v>
                </c:pt>
                <c:pt idx="20">
                  <c:v>160.76938929367725</c:v>
                </c:pt>
                <c:pt idx="21">
                  <c:v>172.27366024134906</c:v>
                </c:pt>
                <c:pt idx="22">
                  <c:v>183.75986309288544</c:v>
                </c:pt>
                <c:pt idx="23">
                  <c:v>195.22928725915381</c:v>
                </c:pt>
                <c:pt idx="24">
                  <c:v>206.68305809808399</c:v>
                </c:pt>
                <c:pt idx="25">
                  <c:v>218.12216592131381</c:v>
                </c:pt>
                <c:pt idx="26">
                  <c:v>196.38985757072433</c:v>
                </c:pt>
                <c:pt idx="27">
                  <c:v>210.88387892336655</c:v>
                </c:pt>
                <c:pt idx="28">
                  <c:v>225.35493278909925</c:v>
                </c:pt>
                <c:pt idx="29">
                  <c:v>239.80470213417223</c:v>
                </c:pt>
                <c:pt idx="30">
                  <c:v>254.23465040940451</c:v>
                </c:pt>
                <c:pt idx="31">
                  <c:v>268.64606128457058</c:v>
                </c:pt>
                <c:pt idx="32">
                  <c:v>283.04006939986527</c:v>
                </c:pt>
                <c:pt idx="33">
                  <c:v>297.41768452820423</c:v>
                </c:pt>
                <c:pt idx="34">
                  <c:v>311.77981081702836</c:v>
                </c:pt>
                <c:pt idx="35">
                  <c:v>326.12726229676838</c:v>
                </c:pt>
                <c:pt idx="36">
                  <c:v>290.23086730017559</c:v>
                </c:pt>
                <c:pt idx="37">
                  <c:v>307.47274922302057</c:v>
                </c:pt>
                <c:pt idx="38">
                  <c:v>324.69315596665729</c:v>
                </c:pt>
                <c:pt idx="39">
                  <c:v>341.89338654010209</c:v>
                </c:pt>
                <c:pt idx="40">
                  <c:v>359.07459859126061</c:v>
                </c:pt>
                <c:pt idx="41">
                  <c:v>376.23782995907055</c:v>
                </c:pt>
                <c:pt idx="42">
                  <c:v>393.3840160864109</c:v>
                </c:pt>
                <c:pt idx="43">
                  <c:v>410.51400423811288</c:v>
                </c:pt>
                <c:pt idx="44">
                  <c:v>427.62856522178487</c:v>
                </c:pt>
                <c:pt idx="45">
                  <c:v>444.72840313441998</c:v>
                </c:pt>
                <c:pt idx="46">
                  <c:v>391.09881148730875</c:v>
                </c:pt>
                <c:pt idx="47">
                  <c:v>410.228632896401</c:v>
                </c:pt>
                <c:pt idx="48">
                  <c:v>429.33920046529823</c:v>
                </c:pt>
                <c:pt idx="49">
                  <c:v>448.43149133120272</c:v>
                </c:pt>
                <c:pt idx="50">
                  <c:v>467.50639268287932</c:v>
                </c:pt>
                <c:pt idx="51">
                  <c:v>486.56471344798018</c:v>
                </c:pt>
                <c:pt idx="52">
                  <c:v>505.60719405430797</c:v>
                </c:pt>
                <c:pt idx="53">
                  <c:v>524.6345146444429</c:v>
                </c:pt>
                <c:pt idx="54">
                  <c:v>543.64730203709632</c:v>
                </c:pt>
                <c:pt idx="55">
                  <c:v>562.64613566440221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1" zoomScale="50" zoomScaleNormal="50" workbookViewId="0">
      <selection activeCell="E19" sqref="E19"/>
    </sheetView>
  </sheetViews>
  <sheetFormatPr baseColWidth="10" defaultColWidth="11.453125" defaultRowHeight="14.5" x14ac:dyDescent="0.35"/>
  <cols>
    <col min="1" max="1" width="13.7265625" style="25" customWidth="1"/>
    <col min="2" max="2" width="36.1796875" style="25" customWidth="1"/>
    <col min="3" max="3" width="14.81640625" style="25" bestFit="1" customWidth="1"/>
    <col min="4" max="4" width="16.453125" style="25" customWidth="1"/>
    <col min="5" max="5" width="23.26953125" style="25" customWidth="1"/>
    <col min="6" max="6" width="28.81640625" style="25" bestFit="1" customWidth="1"/>
    <col min="7" max="8" width="14.7265625" style="25" customWidth="1"/>
    <col min="9" max="9" width="17" style="25" customWidth="1"/>
    <col min="10" max="10" width="13.81640625" style="25" customWidth="1"/>
    <col min="11" max="16384" width="11.453125" style="25"/>
  </cols>
  <sheetData>
    <row r="1" spans="1:38" x14ac:dyDescent="0.3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4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5" thickBot="1" x14ac:dyDescent="0.4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3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35">
      <c r="A5" s="304" t="s">
        <v>231</v>
      </c>
      <c r="B5" s="304"/>
      <c r="C5" s="26">
        <v>4.12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" x14ac:dyDescent="0.3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5">
      <c r="A9" s="33" t="s">
        <v>165</v>
      </c>
      <c r="B9" s="34" t="s">
        <v>13</v>
      </c>
      <c r="C9" s="35">
        <v>0.34</v>
      </c>
      <c r="D9" s="36">
        <f t="shared" ref="D9:D18" si="0">C9*$C$5</f>
        <v>1.4008</v>
      </c>
      <c r="E9" s="37">
        <v>129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5">
      <c r="A10" s="33" t="s">
        <v>166</v>
      </c>
      <c r="B10" s="34" t="s">
        <v>164</v>
      </c>
      <c r="C10" s="35">
        <v>0.34</v>
      </c>
      <c r="D10" s="36">
        <f t="shared" si="0"/>
        <v>1.4008</v>
      </c>
      <c r="E10" s="37">
        <v>100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5">
      <c r="A11" s="33" t="s">
        <v>167</v>
      </c>
      <c r="B11" s="34" t="s">
        <v>39</v>
      </c>
      <c r="C11" s="35">
        <v>6.4000000000000001E-2</v>
      </c>
      <c r="D11" s="36">
        <f t="shared" si="0"/>
        <v>0.26368000000000003</v>
      </c>
      <c r="E11" s="37">
        <v>62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5">
      <c r="A12" s="33" t="s">
        <v>168</v>
      </c>
      <c r="B12" s="34" t="s">
        <v>138</v>
      </c>
      <c r="C12" s="35">
        <v>6.4000000000000001E-2</v>
      </c>
      <c r="D12" s="36">
        <f t="shared" si="0"/>
        <v>0.26368000000000003</v>
      </c>
      <c r="E12" s="37">
        <v>62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5">
      <c r="A13" s="33" t="s">
        <v>169</v>
      </c>
      <c r="B13" s="34" t="s">
        <v>10</v>
      </c>
      <c r="C13" s="35">
        <v>3.85E-2</v>
      </c>
      <c r="D13" s="36">
        <f t="shared" si="0"/>
        <v>0.15862000000000001</v>
      </c>
      <c r="E13" s="37">
        <v>129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5">
      <c r="A14" s="33" t="s">
        <v>170</v>
      </c>
      <c r="B14" s="34" t="s">
        <v>5</v>
      </c>
      <c r="C14" s="35">
        <v>3.85E-2</v>
      </c>
      <c r="D14" s="36">
        <f t="shared" si="0"/>
        <v>0.15862000000000001</v>
      </c>
      <c r="E14" s="37">
        <v>55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5">
      <c r="A15" s="33" t="s">
        <v>171</v>
      </c>
      <c r="B15" s="34" t="s">
        <v>1</v>
      </c>
      <c r="C15" s="35">
        <v>3.7999999999999999E-2</v>
      </c>
      <c r="D15" s="36">
        <f t="shared" si="0"/>
        <v>0.15656</v>
      </c>
      <c r="E15" s="37">
        <v>129</v>
      </c>
      <c r="F15" s="38" t="str">
        <f t="array" ref="F15">IF(E15="","",IF(INDEX(A:A,MAX(IF(ISNUMBER($A$192:$A$211),ROW($A$192:$A$211),"")))&lt;&gt;E15,"Corrigez : révolution incorrecte","OK"))</f>
        <v>OK</v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5">
      <c r="A16" s="33" t="s">
        <v>172</v>
      </c>
      <c r="B16" s="34" t="s">
        <v>24</v>
      </c>
      <c r="C16" s="35">
        <v>3.7999999999999999E-2</v>
      </c>
      <c r="D16" s="36">
        <f t="shared" si="0"/>
        <v>0.15656</v>
      </c>
      <c r="E16" s="37">
        <v>55</v>
      </c>
      <c r="F16" s="38" t="str">
        <f t="array" ref="F16">IF(E16="","",IF(INDEX(A:A,MAX(IF(ISNUMBER($A$218:$A$237),ROW($A$218:$A$237),"")))&lt;&gt;E16,"Corrigez : révolution incorrecte","OK"))</f>
        <v>OK</v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5">
      <c r="A17" s="33" t="s">
        <v>173</v>
      </c>
      <c r="B17" s="34" t="s">
        <v>50</v>
      </c>
      <c r="C17" s="35">
        <v>3.7999999999999999E-2</v>
      </c>
      <c r="D17" s="36">
        <f t="shared" si="0"/>
        <v>0.15656</v>
      </c>
      <c r="E17" s="37">
        <v>55</v>
      </c>
      <c r="F17" s="38" t="str">
        <f t="array" ref="F17">IF(E17="","",IF(INDEX(A:A,MAX(IF(ISNUMBER($A$244:$A$263),ROW($A$244:$A$263),"")))&lt;&gt;E17,"Corrigez : révolution incorrecte","OK"))</f>
        <v>OK</v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5">
      <c r="A19" s="100"/>
      <c r="B19" s="39" t="s">
        <v>175</v>
      </c>
      <c r="C19" s="40">
        <f>SUM(C9:C18)</f>
        <v>0.99900000000000011</v>
      </c>
      <c r="D19" s="41">
        <f>SUM(D9:D18)</f>
        <v>4.1158799999999998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5">
      <c r="A32" s="49" t="s">
        <v>165</v>
      </c>
      <c r="B32" s="50" t="str">
        <f>IF(B9="","",B9)</f>
        <v>Chêne rouge d'Amérique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4" thickBot="1" x14ac:dyDescent="0.4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ht="15" thickBot="1" x14ac:dyDescent="0.4">
      <c r="A36" s="342">
        <v>36</v>
      </c>
      <c r="B36" s="343">
        <v>130</v>
      </c>
      <c r="C36" s="343">
        <v>1</v>
      </c>
      <c r="D36" s="343">
        <v>36</v>
      </c>
      <c r="E36" s="344">
        <v>0</v>
      </c>
      <c r="F36" s="344">
        <v>0</v>
      </c>
      <c r="G36" s="344">
        <v>0</v>
      </c>
      <c r="H36" s="344">
        <v>1</v>
      </c>
      <c r="I36" s="52">
        <f>IFERROR(B36/A36,"")</f>
        <v>3.6111111111111112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ht="15" thickBot="1" x14ac:dyDescent="0.4">
      <c r="A37" s="345">
        <v>42</v>
      </c>
      <c r="B37" s="346">
        <v>148</v>
      </c>
      <c r="C37" s="346">
        <v>2</v>
      </c>
      <c r="D37" s="346">
        <v>41</v>
      </c>
      <c r="E37" s="347">
        <v>0</v>
      </c>
      <c r="F37" s="347">
        <v>0</v>
      </c>
      <c r="G37" s="347">
        <v>0</v>
      </c>
      <c r="H37" s="347">
        <v>1</v>
      </c>
      <c r="I37" s="56">
        <f t="shared" ref="I37:I55" si="1">IF(A37&lt;&gt;0,(B37-(B36-D36))/(A37-A36),"")</f>
        <v>9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ht="15" thickBot="1" x14ac:dyDescent="0.4">
      <c r="A38" s="345">
        <v>48</v>
      </c>
      <c r="B38" s="346">
        <v>157</v>
      </c>
      <c r="C38" s="346">
        <v>3</v>
      </c>
      <c r="D38" s="346">
        <v>41</v>
      </c>
      <c r="E38" s="347">
        <v>0</v>
      </c>
      <c r="F38" s="347">
        <v>0</v>
      </c>
      <c r="G38" s="347">
        <v>0</v>
      </c>
      <c r="H38" s="347">
        <v>1</v>
      </c>
      <c r="I38" s="56">
        <f t="shared" si="1"/>
        <v>8.3333333333333339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ht="15" thickBot="1" x14ac:dyDescent="0.4">
      <c r="A39" s="345">
        <v>54</v>
      </c>
      <c r="B39" s="346">
        <v>163</v>
      </c>
      <c r="C39" s="346">
        <v>4</v>
      </c>
      <c r="D39" s="346">
        <v>31</v>
      </c>
      <c r="E39" s="347">
        <v>0.7</v>
      </c>
      <c r="F39" s="347">
        <v>0</v>
      </c>
      <c r="G39" s="347">
        <v>0</v>
      </c>
      <c r="H39" s="347">
        <v>0.3</v>
      </c>
      <c r="I39" s="52">
        <f t="shared" si="1"/>
        <v>7.833333333333333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ht="15" thickBot="1" x14ac:dyDescent="0.4">
      <c r="A40" s="345">
        <v>62</v>
      </c>
      <c r="B40" s="346">
        <v>194</v>
      </c>
      <c r="C40" s="346">
        <v>5</v>
      </c>
      <c r="D40" s="346">
        <v>39</v>
      </c>
      <c r="E40" s="347">
        <v>0.7</v>
      </c>
      <c r="F40" s="347">
        <v>0</v>
      </c>
      <c r="G40" s="347">
        <v>0</v>
      </c>
      <c r="H40" s="347">
        <v>0.3</v>
      </c>
      <c r="I40" s="52">
        <f t="shared" si="1"/>
        <v>7.75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ht="15" thickBot="1" x14ac:dyDescent="0.4">
      <c r="A41" s="345">
        <v>70</v>
      </c>
      <c r="B41" s="346">
        <v>220</v>
      </c>
      <c r="C41" s="346">
        <v>6</v>
      </c>
      <c r="D41" s="346">
        <v>53</v>
      </c>
      <c r="E41" s="347">
        <v>0.7</v>
      </c>
      <c r="F41" s="347">
        <v>0</v>
      </c>
      <c r="G41" s="347">
        <v>0</v>
      </c>
      <c r="H41" s="347">
        <v>0.3</v>
      </c>
      <c r="I41" s="56">
        <f t="shared" si="1"/>
        <v>8.125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ht="15" thickBot="1" x14ac:dyDescent="0.4">
      <c r="A42" s="345">
        <v>78</v>
      </c>
      <c r="B42" s="346">
        <v>227</v>
      </c>
      <c r="C42" s="346">
        <v>7</v>
      </c>
      <c r="D42" s="346">
        <v>42</v>
      </c>
      <c r="E42" s="347">
        <v>0.7</v>
      </c>
      <c r="F42" s="347">
        <v>0</v>
      </c>
      <c r="G42" s="347">
        <v>0</v>
      </c>
      <c r="H42" s="347">
        <v>0.3</v>
      </c>
      <c r="I42" s="56">
        <f t="shared" si="1"/>
        <v>7.5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ht="15" thickBot="1" x14ac:dyDescent="0.4">
      <c r="A43" s="345">
        <v>87</v>
      </c>
      <c r="B43" s="346">
        <v>243</v>
      </c>
      <c r="C43" s="346">
        <v>8</v>
      </c>
      <c r="D43" s="346">
        <v>39</v>
      </c>
      <c r="E43" s="347">
        <v>0.9</v>
      </c>
      <c r="F43" s="347">
        <v>0</v>
      </c>
      <c r="G43" s="347">
        <v>0</v>
      </c>
      <c r="H43" s="347">
        <v>0.1</v>
      </c>
      <c r="I43" s="52">
        <f t="shared" si="1"/>
        <v>6.4444444444444446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ht="15" thickBot="1" x14ac:dyDescent="0.4">
      <c r="A44" s="345">
        <v>97</v>
      </c>
      <c r="B44" s="346">
        <v>265</v>
      </c>
      <c r="C44" s="346">
        <v>9</v>
      </c>
      <c r="D44" s="346">
        <v>42</v>
      </c>
      <c r="E44" s="347">
        <v>0.9</v>
      </c>
      <c r="F44" s="347">
        <v>0</v>
      </c>
      <c r="G44" s="347">
        <v>0</v>
      </c>
      <c r="H44" s="347">
        <v>0.1</v>
      </c>
      <c r="I44" s="52">
        <f t="shared" si="1"/>
        <v>6.1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ht="15" thickBot="1" x14ac:dyDescent="0.4">
      <c r="A45" s="345">
        <v>107</v>
      </c>
      <c r="B45" s="346">
        <v>288</v>
      </c>
      <c r="C45" s="346">
        <v>10</v>
      </c>
      <c r="D45" s="346">
        <v>46</v>
      </c>
      <c r="E45" s="347">
        <v>0.9</v>
      </c>
      <c r="F45" s="347">
        <v>0</v>
      </c>
      <c r="G45" s="347">
        <v>0</v>
      </c>
      <c r="H45" s="347">
        <v>0.1</v>
      </c>
      <c r="I45" s="52">
        <f t="shared" si="1"/>
        <v>6.5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ht="15" thickBot="1" x14ac:dyDescent="0.4">
      <c r="A46" s="345">
        <v>117</v>
      </c>
      <c r="B46" s="346">
        <v>309</v>
      </c>
      <c r="C46" s="346">
        <v>11</v>
      </c>
      <c r="D46" s="346">
        <v>45</v>
      </c>
      <c r="E46" s="347">
        <v>0.9</v>
      </c>
      <c r="F46" s="347">
        <v>0</v>
      </c>
      <c r="G46" s="347">
        <v>0</v>
      </c>
      <c r="H46" s="347">
        <v>0.1</v>
      </c>
      <c r="I46" s="52">
        <f t="shared" si="1"/>
        <v>6.7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ht="15" thickBot="1" x14ac:dyDescent="0.4">
      <c r="A47" s="345">
        <v>129</v>
      </c>
      <c r="B47" s="346">
        <v>337</v>
      </c>
      <c r="C47" s="346" t="s">
        <v>324</v>
      </c>
      <c r="D47" s="346">
        <v>337</v>
      </c>
      <c r="E47" s="347">
        <v>0.9</v>
      </c>
      <c r="F47" s="347">
        <v>0</v>
      </c>
      <c r="G47" s="347">
        <v>0</v>
      </c>
      <c r="H47" s="347">
        <v>0.1</v>
      </c>
      <c r="I47" s="52">
        <f t="shared" si="1"/>
        <v>6.083333333333333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5">
      <c r="A58" s="49" t="s">
        <v>166</v>
      </c>
      <c r="B58" s="55" t="str">
        <f>IF(B10="","",B10)</f>
        <v>Cèdre de l'Atlas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4" thickBot="1" x14ac:dyDescent="0.4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ht="15" thickBot="1" x14ac:dyDescent="0.4">
      <c r="A62" s="348">
        <v>20</v>
      </c>
      <c r="B62" s="349">
        <v>115</v>
      </c>
      <c r="C62" s="343">
        <v>1</v>
      </c>
      <c r="D62" s="349">
        <v>23</v>
      </c>
      <c r="E62" s="344">
        <v>0</v>
      </c>
      <c r="F62" s="344">
        <v>0.56000000000000005</v>
      </c>
      <c r="G62" s="344">
        <v>0.44</v>
      </c>
      <c r="H62" s="344">
        <v>0</v>
      </c>
      <c r="I62" s="56">
        <f>IFERROR(B62/A62,"")</f>
        <v>5.75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ht="15" thickBot="1" x14ac:dyDescent="0.4">
      <c r="A63" s="351">
        <v>30</v>
      </c>
      <c r="B63" s="352">
        <v>157</v>
      </c>
      <c r="C63" s="346">
        <v>2</v>
      </c>
      <c r="D63" s="352">
        <v>31</v>
      </c>
      <c r="E63" s="347">
        <v>0.7</v>
      </c>
      <c r="F63" s="347">
        <v>0.17</v>
      </c>
      <c r="G63" s="347">
        <v>0.13</v>
      </c>
      <c r="H63" s="347">
        <v>0</v>
      </c>
      <c r="I63" s="52">
        <f>IF(A63&lt;&gt;0,(B63-(B62-D62))/(A63-A62),"")</f>
        <v>6.5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ht="15" thickBot="1" x14ac:dyDescent="0.4">
      <c r="A64" s="351">
        <v>40</v>
      </c>
      <c r="B64" s="352">
        <v>196</v>
      </c>
      <c r="C64" s="346">
        <v>3</v>
      </c>
      <c r="D64" s="352">
        <v>39</v>
      </c>
      <c r="E64" s="347">
        <v>0.7</v>
      </c>
      <c r="F64" s="347">
        <v>0.17</v>
      </c>
      <c r="G64" s="347">
        <v>0.13</v>
      </c>
      <c r="H64" s="347">
        <v>0</v>
      </c>
      <c r="I64" s="52">
        <f>IF(A64&lt;&gt;0,(B64-(B63-D63))/(A64-A63),"")</f>
        <v>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ht="15" thickBot="1" x14ac:dyDescent="0.4">
      <c r="A65" s="351">
        <v>50</v>
      </c>
      <c r="B65" s="352">
        <v>226</v>
      </c>
      <c r="C65" s="346">
        <v>4</v>
      </c>
      <c r="D65" s="352">
        <v>45</v>
      </c>
      <c r="E65" s="347">
        <v>0.7</v>
      </c>
      <c r="F65" s="347">
        <v>0.17</v>
      </c>
      <c r="G65" s="347">
        <v>0.13</v>
      </c>
      <c r="H65" s="347">
        <v>0</v>
      </c>
      <c r="I65" s="52">
        <f>IF(A65&lt;&gt;0,(B65-(B64-D64))/(A65-A64),"")</f>
        <v>6.9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ht="15" thickBot="1" x14ac:dyDescent="0.4">
      <c r="A66" s="351">
        <v>60</v>
      </c>
      <c r="B66" s="352">
        <v>261</v>
      </c>
      <c r="C66" s="346">
        <v>5</v>
      </c>
      <c r="D66" s="352">
        <v>52</v>
      </c>
      <c r="E66" s="347">
        <v>0.7</v>
      </c>
      <c r="F66" s="347">
        <v>0.17</v>
      </c>
      <c r="G66" s="347">
        <v>0.13</v>
      </c>
      <c r="H66" s="347">
        <v>0</v>
      </c>
      <c r="I66" s="52">
        <f t="shared" ref="I66:I81" si="2">IF(A66&lt;&gt;0,(B66-(B65-D65))/(A66-A65),"")</f>
        <v>8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ht="15" thickBot="1" x14ac:dyDescent="0.4">
      <c r="A67" s="351">
        <v>70</v>
      </c>
      <c r="B67" s="352">
        <v>284</v>
      </c>
      <c r="C67" s="346">
        <v>6</v>
      </c>
      <c r="D67" s="352">
        <v>57</v>
      </c>
      <c r="E67" s="347">
        <v>0.7</v>
      </c>
      <c r="F67" s="347">
        <v>0.17</v>
      </c>
      <c r="G67" s="347">
        <v>0.13</v>
      </c>
      <c r="H67" s="347">
        <v>0</v>
      </c>
      <c r="I67" s="52">
        <f t="shared" si="2"/>
        <v>7.5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ht="15" thickBot="1" x14ac:dyDescent="0.4">
      <c r="A68" s="351">
        <v>80</v>
      </c>
      <c r="B68" s="352">
        <v>304</v>
      </c>
      <c r="C68" s="346">
        <v>7</v>
      </c>
      <c r="D68" s="352">
        <v>61</v>
      </c>
      <c r="E68" s="347">
        <v>0.7</v>
      </c>
      <c r="F68" s="347">
        <v>0.17</v>
      </c>
      <c r="G68" s="347">
        <v>0.13</v>
      </c>
      <c r="H68" s="347">
        <v>0</v>
      </c>
      <c r="I68" s="52">
        <f t="shared" si="2"/>
        <v>7.7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ht="15" thickBot="1" x14ac:dyDescent="0.4">
      <c r="A69" s="351">
        <v>90</v>
      </c>
      <c r="B69" s="352">
        <v>326</v>
      </c>
      <c r="C69" s="346">
        <v>8</v>
      </c>
      <c r="D69" s="352">
        <v>65</v>
      </c>
      <c r="E69" s="347">
        <v>0.7</v>
      </c>
      <c r="F69" s="347">
        <v>0.17</v>
      </c>
      <c r="G69" s="347">
        <v>0.13</v>
      </c>
      <c r="H69" s="347">
        <v>0</v>
      </c>
      <c r="I69" s="52">
        <f t="shared" si="2"/>
        <v>8.3000000000000007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ht="15" thickBot="1" x14ac:dyDescent="0.4">
      <c r="A70" s="351">
        <v>100</v>
      </c>
      <c r="B70" s="352">
        <v>344</v>
      </c>
      <c r="C70" s="346" t="s">
        <v>324</v>
      </c>
      <c r="D70" s="352">
        <v>344</v>
      </c>
      <c r="E70" s="347">
        <v>0.7</v>
      </c>
      <c r="F70" s="347">
        <v>0.17</v>
      </c>
      <c r="G70" s="347">
        <v>0.13</v>
      </c>
      <c r="H70" s="347">
        <v>0</v>
      </c>
      <c r="I70" s="52">
        <f t="shared" si="2"/>
        <v>8.3000000000000007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5">
      <c r="A84" s="49" t="s">
        <v>167</v>
      </c>
      <c r="B84" s="55" t="str">
        <f>IF(B11="","",B11)</f>
        <v>Pin pignon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4" thickBot="1" x14ac:dyDescent="0.4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ht="15" thickBot="1" x14ac:dyDescent="0.4">
      <c r="A88" s="348">
        <v>12</v>
      </c>
      <c r="B88" s="349">
        <v>36</v>
      </c>
      <c r="C88" s="349">
        <v>0</v>
      </c>
      <c r="D88" s="350">
        <v>0</v>
      </c>
      <c r="E88" s="344">
        <v>0</v>
      </c>
      <c r="F88" s="344">
        <v>0.56000000000000005</v>
      </c>
      <c r="G88" s="344">
        <v>0.44</v>
      </c>
      <c r="H88" s="344">
        <v>0</v>
      </c>
      <c r="I88" s="56">
        <f>IFERROR(B88/A88,"")</f>
        <v>3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ht="15" thickBot="1" x14ac:dyDescent="0.4">
      <c r="A89" s="351">
        <v>16</v>
      </c>
      <c r="B89" s="352">
        <v>81</v>
      </c>
      <c r="C89" s="346">
        <v>1</v>
      </c>
      <c r="D89" s="352">
        <v>15</v>
      </c>
      <c r="E89" s="347">
        <v>0</v>
      </c>
      <c r="F89" s="347">
        <v>0.56000000000000005</v>
      </c>
      <c r="G89" s="347">
        <v>0.44</v>
      </c>
      <c r="H89" s="347">
        <v>0</v>
      </c>
      <c r="I89" s="56">
        <f t="shared" ref="I89:I107" si="3">IF(A89&lt;&gt;0,(B89-(B88-D88))/(A89-A88),"")</f>
        <v>11.25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ht="15" thickBot="1" x14ac:dyDescent="0.4">
      <c r="A90" s="351">
        <v>20</v>
      </c>
      <c r="B90" s="352">
        <v>119</v>
      </c>
      <c r="C90" s="346">
        <v>2</v>
      </c>
      <c r="D90" s="352">
        <v>22</v>
      </c>
      <c r="E90" s="347">
        <v>0</v>
      </c>
      <c r="F90" s="347">
        <v>0.56000000000000005</v>
      </c>
      <c r="G90" s="347">
        <v>0.44</v>
      </c>
      <c r="H90" s="347">
        <v>0</v>
      </c>
      <c r="I90" s="56">
        <f t="shared" si="3"/>
        <v>13.25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ht="15" thickBot="1" x14ac:dyDescent="0.4">
      <c r="A91" s="351">
        <v>24</v>
      </c>
      <c r="B91" s="352">
        <v>157</v>
      </c>
      <c r="C91" s="346">
        <v>3</v>
      </c>
      <c r="D91" s="352">
        <v>31</v>
      </c>
      <c r="E91" s="347">
        <v>0.7</v>
      </c>
      <c r="F91" s="347">
        <v>0.17</v>
      </c>
      <c r="G91" s="347">
        <v>0.13</v>
      </c>
      <c r="H91" s="347">
        <v>0</v>
      </c>
      <c r="I91" s="56">
        <f t="shared" si="3"/>
        <v>15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ht="15" thickBot="1" x14ac:dyDescent="0.4">
      <c r="A92" s="351">
        <v>28</v>
      </c>
      <c r="B92" s="352">
        <v>190</v>
      </c>
      <c r="C92" s="346">
        <v>4</v>
      </c>
      <c r="D92" s="352">
        <v>35</v>
      </c>
      <c r="E92" s="347">
        <v>0.7</v>
      </c>
      <c r="F92" s="347">
        <v>0.17</v>
      </c>
      <c r="G92" s="347">
        <v>0.13</v>
      </c>
      <c r="H92" s="347">
        <v>0</v>
      </c>
      <c r="I92" s="56">
        <f t="shared" si="3"/>
        <v>16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ht="15" thickBot="1" x14ac:dyDescent="0.4">
      <c r="A93" s="351">
        <v>34</v>
      </c>
      <c r="B93" s="352">
        <v>244</v>
      </c>
      <c r="C93" s="346">
        <v>5</v>
      </c>
      <c r="D93" s="352">
        <v>46</v>
      </c>
      <c r="E93" s="347">
        <v>0.7</v>
      </c>
      <c r="F93" s="347">
        <v>0.17</v>
      </c>
      <c r="G93" s="347">
        <v>0.13</v>
      </c>
      <c r="H93" s="347">
        <v>0</v>
      </c>
      <c r="I93" s="56">
        <f t="shared" si="3"/>
        <v>14.833333333333334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ht="15" thickBot="1" x14ac:dyDescent="0.4">
      <c r="A94" s="351">
        <v>40</v>
      </c>
      <c r="B94" s="352">
        <v>275</v>
      </c>
      <c r="C94" s="346">
        <v>6</v>
      </c>
      <c r="D94" s="352">
        <v>41</v>
      </c>
      <c r="E94" s="347">
        <v>0.7</v>
      </c>
      <c r="F94" s="347">
        <v>0.17</v>
      </c>
      <c r="G94" s="347">
        <v>0.13</v>
      </c>
      <c r="H94" s="347">
        <v>0</v>
      </c>
      <c r="I94" s="56">
        <f t="shared" si="3"/>
        <v>12.833333333333334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ht="15" thickBot="1" x14ac:dyDescent="0.4">
      <c r="A95" s="351">
        <v>46</v>
      </c>
      <c r="B95" s="352">
        <v>293</v>
      </c>
      <c r="C95" s="346">
        <v>7</v>
      </c>
      <c r="D95" s="352">
        <v>29</v>
      </c>
      <c r="E95" s="347">
        <v>0.7</v>
      </c>
      <c r="F95" s="347">
        <v>0.17</v>
      </c>
      <c r="G95" s="347">
        <v>0.13</v>
      </c>
      <c r="H95" s="347">
        <v>0</v>
      </c>
      <c r="I95" s="56">
        <f t="shared" si="3"/>
        <v>9.8333333333333339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ht="15" thickBot="1" x14ac:dyDescent="0.4">
      <c r="A96" s="351">
        <v>54</v>
      </c>
      <c r="B96" s="352">
        <v>311</v>
      </c>
      <c r="C96" s="346">
        <v>8</v>
      </c>
      <c r="D96" s="352">
        <v>16</v>
      </c>
      <c r="E96" s="347">
        <v>0.7</v>
      </c>
      <c r="F96" s="347">
        <v>0.17</v>
      </c>
      <c r="G96" s="347">
        <v>0.13</v>
      </c>
      <c r="H96" s="347">
        <v>0</v>
      </c>
      <c r="I96" s="56">
        <f t="shared" si="3"/>
        <v>5.875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ht="15" thickBot="1" x14ac:dyDescent="0.4">
      <c r="A97" s="351">
        <v>62</v>
      </c>
      <c r="B97" s="352">
        <v>316</v>
      </c>
      <c r="C97" s="346" t="s">
        <v>324</v>
      </c>
      <c r="D97" s="352">
        <v>316</v>
      </c>
      <c r="E97" s="347">
        <v>0.7</v>
      </c>
      <c r="F97" s="347">
        <v>0.17</v>
      </c>
      <c r="G97" s="347">
        <v>0.13</v>
      </c>
      <c r="H97" s="347">
        <v>0</v>
      </c>
      <c r="I97" s="56">
        <f t="shared" si="3"/>
        <v>2.625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5">
      <c r="A110" s="49" t="s">
        <v>168</v>
      </c>
      <c r="B110" s="55" t="str">
        <f>IF(B12="","",B12)</f>
        <v>Pin taeda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4" thickBot="1" x14ac:dyDescent="0.4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ht="15" thickBot="1" x14ac:dyDescent="0.4">
      <c r="A114" s="348">
        <v>12</v>
      </c>
      <c r="B114" s="349">
        <v>36</v>
      </c>
      <c r="C114" s="349">
        <v>0</v>
      </c>
      <c r="D114" s="350">
        <v>0</v>
      </c>
      <c r="E114" s="344">
        <v>0</v>
      </c>
      <c r="F114" s="344">
        <v>0.56000000000000005</v>
      </c>
      <c r="G114" s="344">
        <v>0.44</v>
      </c>
      <c r="H114" s="344">
        <v>0</v>
      </c>
      <c r="I114" s="56">
        <f>IFERROR(B114/A114,"")</f>
        <v>3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ht="15" thickBot="1" x14ac:dyDescent="0.4">
      <c r="A115" s="351">
        <v>16</v>
      </c>
      <c r="B115" s="352">
        <v>81</v>
      </c>
      <c r="C115" s="346">
        <v>1</v>
      </c>
      <c r="D115" s="352">
        <v>15</v>
      </c>
      <c r="E115" s="347">
        <v>0</v>
      </c>
      <c r="F115" s="347">
        <v>0.56000000000000005</v>
      </c>
      <c r="G115" s="347">
        <v>0.44</v>
      </c>
      <c r="H115" s="347">
        <v>0</v>
      </c>
      <c r="I115" s="56">
        <f t="shared" ref="I115:I133" si="4">IF(A115&lt;&gt;0,(B115-(B114-D114))/(A115-A114),"")</f>
        <v>11.25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ht="15" thickBot="1" x14ac:dyDescent="0.4">
      <c r="A116" s="351">
        <v>20</v>
      </c>
      <c r="B116" s="352">
        <v>119</v>
      </c>
      <c r="C116" s="346">
        <v>2</v>
      </c>
      <c r="D116" s="352">
        <v>22</v>
      </c>
      <c r="E116" s="347">
        <v>0</v>
      </c>
      <c r="F116" s="347">
        <v>0.56000000000000005</v>
      </c>
      <c r="G116" s="347">
        <v>0.44</v>
      </c>
      <c r="H116" s="347">
        <v>0</v>
      </c>
      <c r="I116" s="56">
        <f t="shared" si="4"/>
        <v>13.25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ht="15" thickBot="1" x14ac:dyDescent="0.4">
      <c r="A117" s="351">
        <v>24</v>
      </c>
      <c r="B117" s="352">
        <v>157</v>
      </c>
      <c r="C117" s="346">
        <v>3</v>
      </c>
      <c r="D117" s="352">
        <v>31</v>
      </c>
      <c r="E117" s="347">
        <v>0.7</v>
      </c>
      <c r="F117" s="347">
        <v>0.17</v>
      </c>
      <c r="G117" s="347">
        <v>0.13</v>
      </c>
      <c r="H117" s="347">
        <v>0</v>
      </c>
      <c r="I117" s="56">
        <f t="shared" si="4"/>
        <v>15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ht="15" thickBot="1" x14ac:dyDescent="0.4">
      <c r="A118" s="351">
        <v>28</v>
      </c>
      <c r="B118" s="352">
        <v>190</v>
      </c>
      <c r="C118" s="346">
        <v>4</v>
      </c>
      <c r="D118" s="352">
        <v>35</v>
      </c>
      <c r="E118" s="347">
        <v>0.7</v>
      </c>
      <c r="F118" s="347">
        <v>0.17</v>
      </c>
      <c r="G118" s="347">
        <v>0.13</v>
      </c>
      <c r="H118" s="347">
        <v>0</v>
      </c>
      <c r="I118" s="56">
        <f t="shared" si="4"/>
        <v>16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ht="15" thickBot="1" x14ac:dyDescent="0.4">
      <c r="A119" s="351">
        <v>34</v>
      </c>
      <c r="B119" s="352">
        <v>244</v>
      </c>
      <c r="C119" s="346">
        <v>5</v>
      </c>
      <c r="D119" s="352">
        <v>46</v>
      </c>
      <c r="E119" s="347">
        <v>0.7</v>
      </c>
      <c r="F119" s="347">
        <v>0.17</v>
      </c>
      <c r="G119" s="347">
        <v>0.13</v>
      </c>
      <c r="H119" s="347">
        <v>0</v>
      </c>
      <c r="I119" s="56">
        <f t="shared" si="4"/>
        <v>14.833333333333334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ht="15" thickBot="1" x14ac:dyDescent="0.4">
      <c r="A120" s="351">
        <v>40</v>
      </c>
      <c r="B120" s="352">
        <v>275</v>
      </c>
      <c r="C120" s="346">
        <v>6</v>
      </c>
      <c r="D120" s="352">
        <v>41</v>
      </c>
      <c r="E120" s="347">
        <v>0.7</v>
      </c>
      <c r="F120" s="347">
        <v>0.17</v>
      </c>
      <c r="G120" s="347">
        <v>0.13</v>
      </c>
      <c r="H120" s="347">
        <v>0</v>
      </c>
      <c r="I120" s="56">
        <f t="shared" si="4"/>
        <v>12.833333333333334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ht="15" thickBot="1" x14ac:dyDescent="0.4">
      <c r="A121" s="351">
        <v>46</v>
      </c>
      <c r="B121" s="352">
        <v>293</v>
      </c>
      <c r="C121" s="346">
        <v>7</v>
      </c>
      <c r="D121" s="352">
        <v>29</v>
      </c>
      <c r="E121" s="347">
        <v>0.7</v>
      </c>
      <c r="F121" s="347">
        <v>0.17</v>
      </c>
      <c r="G121" s="347">
        <v>0.13</v>
      </c>
      <c r="H121" s="347">
        <v>0</v>
      </c>
      <c r="I121" s="56">
        <f t="shared" si="4"/>
        <v>9.8333333333333339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ht="15" thickBot="1" x14ac:dyDescent="0.4">
      <c r="A122" s="351">
        <v>54</v>
      </c>
      <c r="B122" s="352">
        <v>311</v>
      </c>
      <c r="C122" s="346">
        <v>8</v>
      </c>
      <c r="D122" s="352">
        <v>16</v>
      </c>
      <c r="E122" s="347">
        <v>0.7</v>
      </c>
      <c r="F122" s="347">
        <v>0.17</v>
      </c>
      <c r="G122" s="347">
        <v>0.13</v>
      </c>
      <c r="H122" s="347">
        <v>0</v>
      </c>
      <c r="I122" s="56">
        <f t="shared" si="4"/>
        <v>5.875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ht="15" thickBot="1" x14ac:dyDescent="0.4">
      <c r="A123" s="351">
        <v>62</v>
      </c>
      <c r="B123" s="352">
        <v>316</v>
      </c>
      <c r="C123" s="346" t="s">
        <v>324</v>
      </c>
      <c r="D123" s="352">
        <v>316</v>
      </c>
      <c r="E123" s="347">
        <v>0.7</v>
      </c>
      <c r="F123" s="347">
        <v>0.17</v>
      </c>
      <c r="G123" s="347">
        <v>0.13</v>
      </c>
      <c r="H123" s="347">
        <v>0</v>
      </c>
      <c r="I123" s="56">
        <f t="shared" si="4"/>
        <v>2.625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5">
      <c r="A136" s="49" t="s">
        <v>169</v>
      </c>
      <c r="B136" s="55" t="str">
        <f>IF(B13="","",B13)</f>
        <v>Chêne-liège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4" thickBot="1" x14ac:dyDescent="0.4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ht="15" thickBot="1" x14ac:dyDescent="0.4">
      <c r="A140" s="342">
        <v>36</v>
      </c>
      <c r="B140" s="343">
        <v>130</v>
      </c>
      <c r="C140" s="343">
        <v>1</v>
      </c>
      <c r="D140" s="343">
        <v>36</v>
      </c>
      <c r="E140" s="344">
        <v>0</v>
      </c>
      <c r="F140" s="344">
        <v>0</v>
      </c>
      <c r="G140" s="344">
        <v>0</v>
      </c>
      <c r="H140" s="344">
        <v>1</v>
      </c>
      <c r="I140" s="60">
        <f>IFERROR(B140/A140,"")</f>
        <v>3.6111111111111112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ht="15" thickBot="1" x14ac:dyDescent="0.4">
      <c r="A141" s="345">
        <v>42</v>
      </c>
      <c r="B141" s="346">
        <v>148</v>
      </c>
      <c r="C141" s="346">
        <v>2</v>
      </c>
      <c r="D141" s="346">
        <v>41</v>
      </c>
      <c r="E141" s="347">
        <v>0</v>
      </c>
      <c r="F141" s="347">
        <v>0</v>
      </c>
      <c r="G141" s="347">
        <v>0</v>
      </c>
      <c r="H141" s="347">
        <v>1</v>
      </c>
      <c r="I141" s="60">
        <f t="shared" ref="I141:I159" si="5">IF(A141&lt;&gt;0,(B141-(B140-D140))/(A141-A140),"")</f>
        <v>9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ht="15" thickBot="1" x14ac:dyDescent="0.4">
      <c r="A142" s="345">
        <v>48</v>
      </c>
      <c r="B142" s="346">
        <v>157</v>
      </c>
      <c r="C142" s="346">
        <v>3</v>
      </c>
      <c r="D142" s="346">
        <v>41</v>
      </c>
      <c r="E142" s="347">
        <v>0</v>
      </c>
      <c r="F142" s="347">
        <v>0</v>
      </c>
      <c r="G142" s="347">
        <v>0</v>
      </c>
      <c r="H142" s="347">
        <v>1</v>
      </c>
      <c r="I142" s="60">
        <f t="shared" si="5"/>
        <v>8.3333333333333339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ht="15" thickBot="1" x14ac:dyDescent="0.4">
      <c r="A143" s="345">
        <v>54</v>
      </c>
      <c r="B143" s="346">
        <v>163</v>
      </c>
      <c r="C143" s="346">
        <v>4</v>
      </c>
      <c r="D143" s="346">
        <v>31</v>
      </c>
      <c r="E143" s="347">
        <v>0.7</v>
      </c>
      <c r="F143" s="347">
        <v>0</v>
      </c>
      <c r="G143" s="347">
        <v>0</v>
      </c>
      <c r="H143" s="347">
        <v>0.3</v>
      </c>
      <c r="I143" s="60">
        <f t="shared" si="5"/>
        <v>7.833333333333333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ht="15" thickBot="1" x14ac:dyDescent="0.4">
      <c r="A144" s="345">
        <v>62</v>
      </c>
      <c r="B144" s="346">
        <v>194</v>
      </c>
      <c r="C144" s="346">
        <v>5</v>
      </c>
      <c r="D144" s="346">
        <v>39</v>
      </c>
      <c r="E144" s="347">
        <v>0.7</v>
      </c>
      <c r="F144" s="347">
        <v>0</v>
      </c>
      <c r="G144" s="347">
        <v>0</v>
      </c>
      <c r="H144" s="347">
        <v>0.3</v>
      </c>
      <c r="I144" s="60">
        <f t="shared" si="5"/>
        <v>7.75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ht="15" thickBot="1" x14ac:dyDescent="0.4">
      <c r="A145" s="345">
        <v>70</v>
      </c>
      <c r="B145" s="346">
        <v>220</v>
      </c>
      <c r="C145" s="346">
        <v>6</v>
      </c>
      <c r="D145" s="346">
        <v>53</v>
      </c>
      <c r="E145" s="347">
        <v>0.7</v>
      </c>
      <c r="F145" s="347">
        <v>0</v>
      </c>
      <c r="G145" s="347">
        <v>0</v>
      </c>
      <c r="H145" s="347">
        <v>0.3</v>
      </c>
      <c r="I145" s="60">
        <f t="shared" si="5"/>
        <v>8.125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ht="15" thickBot="1" x14ac:dyDescent="0.4">
      <c r="A146" s="345">
        <v>78</v>
      </c>
      <c r="B146" s="346">
        <v>227</v>
      </c>
      <c r="C146" s="346">
        <v>7</v>
      </c>
      <c r="D146" s="346">
        <v>42</v>
      </c>
      <c r="E146" s="347">
        <v>0.7</v>
      </c>
      <c r="F146" s="347">
        <v>0</v>
      </c>
      <c r="G146" s="347">
        <v>0</v>
      </c>
      <c r="H146" s="347">
        <v>0.3</v>
      </c>
      <c r="I146" s="60">
        <f t="shared" si="5"/>
        <v>7.5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ht="15" thickBot="1" x14ac:dyDescent="0.4">
      <c r="A147" s="345">
        <v>87</v>
      </c>
      <c r="B147" s="346">
        <v>243</v>
      </c>
      <c r="C147" s="346">
        <v>8</v>
      </c>
      <c r="D147" s="346">
        <v>39</v>
      </c>
      <c r="E147" s="347">
        <v>0.9</v>
      </c>
      <c r="F147" s="347">
        <v>0</v>
      </c>
      <c r="G147" s="347">
        <v>0</v>
      </c>
      <c r="H147" s="347">
        <v>0.1</v>
      </c>
      <c r="I147" s="60">
        <f>IF(A147&lt;&gt;0,(B147-(B146-D146))/(A147-A146),"")</f>
        <v>6.4444444444444446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ht="15" thickBot="1" x14ac:dyDescent="0.4">
      <c r="A148" s="345">
        <v>97</v>
      </c>
      <c r="B148" s="346">
        <v>265</v>
      </c>
      <c r="C148" s="346">
        <v>9</v>
      </c>
      <c r="D148" s="346">
        <v>42</v>
      </c>
      <c r="E148" s="347">
        <v>0.9</v>
      </c>
      <c r="F148" s="347">
        <v>0</v>
      </c>
      <c r="G148" s="347">
        <v>0</v>
      </c>
      <c r="H148" s="347">
        <v>0.1</v>
      </c>
      <c r="I148" s="60">
        <f t="shared" si="5"/>
        <v>6.1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ht="15" thickBot="1" x14ac:dyDescent="0.4">
      <c r="A149" s="345">
        <v>107</v>
      </c>
      <c r="B149" s="346">
        <v>288</v>
      </c>
      <c r="C149" s="346">
        <v>10</v>
      </c>
      <c r="D149" s="346">
        <v>46</v>
      </c>
      <c r="E149" s="347">
        <v>0.9</v>
      </c>
      <c r="F149" s="347">
        <v>0</v>
      </c>
      <c r="G149" s="347">
        <v>0</v>
      </c>
      <c r="H149" s="347">
        <v>0.1</v>
      </c>
      <c r="I149" s="60">
        <f t="shared" si="5"/>
        <v>6.5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ht="15" thickBot="1" x14ac:dyDescent="0.4">
      <c r="A150" s="345">
        <v>117</v>
      </c>
      <c r="B150" s="346">
        <v>309</v>
      </c>
      <c r="C150" s="346">
        <v>11</v>
      </c>
      <c r="D150" s="346">
        <v>45</v>
      </c>
      <c r="E150" s="347">
        <v>0.9</v>
      </c>
      <c r="F150" s="347">
        <v>0</v>
      </c>
      <c r="G150" s="347">
        <v>0</v>
      </c>
      <c r="H150" s="347">
        <v>0.1</v>
      </c>
      <c r="I150" s="60">
        <f t="shared" si="5"/>
        <v>6.7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ht="15" thickBot="1" x14ac:dyDescent="0.4">
      <c r="A151" s="345">
        <v>129</v>
      </c>
      <c r="B151" s="346">
        <v>337</v>
      </c>
      <c r="C151" s="346" t="s">
        <v>324</v>
      </c>
      <c r="D151" s="346">
        <v>337</v>
      </c>
      <c r="E151" s="347">
        <v>0.9</v>
      </c>
      <c r="F151" s="347">
        <v>0</v>
      </c>
      <c r="G151" s="347">
        <v>0</v>
      </c>
      <c r="H151" s="347">
        <v>0.1</v>
      </c>
      <c r="I151" s="60">
        <f t="shared" si="5"/>
        <v>6.083333333333333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5">
      <c r="A162" s="49" t="s">
        <v>170</v>
      </c>
      <c r="B162" s="55" t="str">
        <f>IF(B14="","",B14)</f>
        <v>Bouleau verruqueux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4" thickBot="1" x14ac:dyDescent="0.4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ht="15" thickBot="1" x14ac:dyDescent="0.4">
      <c r="A166" s="348">
        <v>15</v>
      </c>
      <c r="B166" s="349">
        <v>88</v>
      </c>
      <c r="C166" s="343">
        <v>1</v>
      </c>
      <c r="D166" s="349">
        <v>20</v>
      </c>
      <c r="E166" s="344">
        <v>0</v>
      </c>
      <c r="F166" s="344">
        <v>0</v>
      </c>
      <c r="G166" s="344">
        <v>0</v>
      </c>
      <c r="H166" s="344">
        <v>1</v>
      </c>
      <c r="I166" s="52">
        <f>IFERROR(B166/A166,"")</f>
        <v>5.8666666666666663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ht="15" thickBot="1" x14ac:dyDescent="0.4">
      <c r="A167" s="351">
        <v>25</v>
      </c>
      <c r="B167" s="352">
        <v>147</v>
      </c>
      <c r="C167" s="346">
        <v>2</v>
      </c>
      <c r="D167" s="352">
        <v>25</v>
      </c>
      <c r="E167" s="347">
        <v>0.7</v>
      </c>
      <c r="F167" s="347">
        <v>0</v>
      </c>
      <c r="G167" s="347">
        <v>0</v>
      </c>
      <c r="H167" s="347">
        <v>0.3</v>
      </c>
      <c r="I167" s="52">
        <f t="shared" ref="I167:I185" si="6">IF(A167&lt;&gt;0,(B167-(B166-D166))/(A167-A166),"")</f>
        <v>7.9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ht="15" thickBot="1" x14ac:dyDescent="0.4">
      <c r="A168" s="351">
        <v>35</v>
      </c>
      <c r="B168" s="352">
        <v>222</v>
      </c>
      <c r="C168" s="346">
        <v>3</v>
      </c>
      <c r="D168" s="352">
        <v>37</v>
      </c>
      <c r="E168" s="347">
        <v>0.7</v>
      </c>
      <c r="F168" s="347">
        <v>0</v>
      </c>
      <c r="G168" s="347">
        <v>0</v>
      </c>
      <c r="H168" s="347">
        <v>0.3</v>
      </c>
      <c r="I168" s="52">
        <f t="shared" si="6"/>
        <v>10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ht="15" thickBot="1" x14ac:dyDescent="0.4">
      <c r="A169" s="351">
        <v>45</v>
      </c>
      <c r="B169" s="352">
        <v>305</v>
      </c>
      <c r="C169" s="346">
        <v>4</v>
      </c>
      <c r="D169" s="352">
        <v>51</v>
      </c>
      <c r="E169" s="347">
        <v>0.7</v>
      </c>
      <c r="F169" s="347">
        <v>0</v>
      </c>
      <c r="G169" s="347">
        <v>0</v>
      </c>
      <c r="H169" s="347">
        <v>0.3</v>
      </c>
      <c r="I169" s="52">
        <f t="shared" si="6"/>
        <v>12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ht="15" thickBot="1" x14ac:dyDescent="0.4">
      <c r="A170" s="351">
        <v>55</v>
      </c>
      <c r="B170" s="352">
        <v>388</v>
      </c>
      <c r="C170" s="346" t="s">
        <v>324</v>
      </c>
      <c r="D170" s="352">
        <v>388</v>
      </c>
      <c r="E170" s="347">
        <v>0.9</v>
      </c>
      <c r="F170" s="347">
        <v>0</v>
      </c>
      <c r="G170" s="347">
        <v>0</v>
      </c>
      <c r="H170" s="347">
        <v>0.1</v>
      </c>
      <c r="I170" s="52">
        <f t="shared" si="6"/>
        <v>13.4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5">
      <c r="A188" s="49" t="s">
        <v>171</v>
      </c>
      <c r="B188" s="55" t="str">
        <f>IF(B15="","",B15)</f>
        <v>Alisier torminal</v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4" thickBot="1" x14ac:dyDescent="0.4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ht="15" thickBot="1" x14ac:dyDescent="0.4">
      <c r="A192" s="342">
        <v>36</v>
      </c>
      <c r="B192" s="343">
        <v>104</v>
      </c>
      <c r="C192" s="343">
        <v>1</v>
      </c>
      <c r="D192" s="343">
        <v>28.8</v>
      </c>
      <c r="E192" s="344">
        <v>0</v>
      </c>
      <c r="F192" s="344">
        <v>0</v>
      </c>
      <c r="G192" s="344">
        <v>0</v>
      </c>
      <c r="H192" s="344">
        <v>1</v>
      </c>
      <c r="I192" s="52">
        <f>IFERROR(B192/A192,"")</f>
        <v>2.8888888888888888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ht="15" thickBot="1" x14ac:dyDescent="0.4">
      <c r="A193" s="345">
        <v>42</v>
      </c>
      <c r="B193" s="346">
        <v>118.4</v>
      </c>
      <c r="C193" s="346">
        <v>2</v>
      </c>
      <c r="D193" s="346">
        <v>32.799999999999997</v>
      </c>
      <c r="E193" s="347">
        <v>0</v>
      </c>
      <c r="F193" s="347">
        <v>0</v>
      </c>
      <c r="G193" s="347">
        <v>0</v>
      </c>
      <c r="H193" s="347">
        <v>1</v>
      </c>
      <c r="I193" s="52">
        <f t="shared" ref="I193:I211" si="7">IF(A193&lt;&gt;0,(B193-(B192-D192))/(A193-A192),"")</f>
        <v>7.2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ht="15" thickBot="1" x14ac:dyDescent="0.4">
      <c r="A194" s="345">
        <v>48</v>
      </c>
      <c r="B194" s="346">
        <v>125.6</v>
      </c>
      <c r="C194" s="346">
        <v>3</v>
      </c>
      <c r="D194" s="346">
        <v>32.799999999999997</v>
      </c>
      <c r="E194" s="347">
        <v>0</v>
      </c>
      <c r="F194" s="347">
        <v>0</v>
      </c>
      <c r="G194" s="347">
        <v>0</v>
      </c>
      <c r="H194" s="347">
        <v>1</v>
      </c>
      <c r="I194" s="52">
        <f t="shared" si="7"/>
        <v>6.6666666666666643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ht="15" thickBot="1" x14ac:dyDescent="0.4">
      <c r="A195" s="345">
        <v>54</v>
      </c>
      <c r="B195" s="346">
        <v>130.4</v>
      </c>
      <c r="C195" s="346">
        <v>4</v>
      </c>
      <c r="D195" s="346">
        <v>24.8</v>
      </c>
      <c r="E195" s="347">
        <v>0.7</v>
      </c>
      <c r="F195" s="347">
        <v>0</v>
      </c>
      <c r="G195" s="347">
        <v>0</v>
      </c>
      <c r="H195" s="347">
        <v>0.3</v>
      </c>
      <c r="I195" s="52">
        <f t="shared" si="7"/>
        <v>6.2666666666666684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ht="15" thickBot="1" x14ac:dyDescent="0.4">
      <c r="A196" s="345">
        <v>62</v>
      </c>
      <c r="B196" s="346">
        <v>155.19999999999999</v>
      </c>
      <c r="C196" s="346">
        <v>5</v>
      </c>
      <c r="D196" s="346">
        <v>31.2</v>
      </c>
      <c r="E196" s="347">
        <v>0.7</v>
      </c>
      <c r="F196" s="347">
        <v>0</v>
      </c>
      <c r="G196" s="347">
        <v>0</v>
      </c>
      <c r="H196" s="347">
        <v>0.3</v>
      </c>
      <c r="I196" s="52">
        <f t="shared" si="7"/>
        <v>6.1999999999999975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ht="15" thickBot="1" x14ac:dyDescent="0.4">
      <c r="A197" s="345">
        <v>70</v>
      </c>
      <c r="B197" s="346">
        <v>176</v>
      </c>
      <c r="C197" s="346">
        <v>6</v>
      </c>
      <c r="D197" s="346">
        <v>42.4</v>
      </c>
      <c r="E197" s="347">
        <v>0.7</v>
      </c>
      <c r="F197" s="347">
        <v>0</v>
      </c>
      <c r="G197" s="347">
        <v>0</v>
      </c>
      <c r="H197" s="347">
        <v>0.3</v>
      </c>
      <c r="I197" s="52">
        <f t="shared" si="7"/>
        <v>6.5000000000000018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ht="15" thickBot="1" x14ac:dyDescent="0.4">
      <c r="A198" s="345">
        <v>78</v>
      </c>
      <c r="B198" s="346">
        <v>181.6</v>
      </c>
      <c r="C198" s="346">
        <v>7</v>
      </c>
      <c r="D198" s="346">
        <v>33.6</v>
      </c>
      <c r="E198" s="347">
        <v>0.7</v>
      </c>
      <c r="F198" s="347">
        <v>0</v>
      </c>
      <c r="G198" s="347">
        <v>0</v>
      </c>
      <c r="H198" s="347">
        <v>0.3</v>
      </c>
      <c r="I198" s="52">
        <f t="shared" si="7"/>
        <v>6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ht="15" thickBot="1" x14ac:dyDescent="0.4">
      <c r="A199" s="345">
        <v>87</v>
      </c>
      <c r="B199" s="346">
        <v>194.4</v>
      </c>
      <c r="C199" s="346">
        <v>8</v>
      </c>
      <c r="D199" s="346">
        <v>31.2</v>
      </c>
      <c r="E199" s="347">
        <v>0.9</v>
      </c>
      <c r="F199" s="347">
        <v>0</v>
      </c>
      <c r="G199" s="347">
        <v>0</v>
      </c>
      <c r="H199" s="347">
        <v>0.1</v>
      </c>
      <c r="I199" s="52">
        <f t="shared" si="7"/>
        <v>5.1555555555555559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ht="15" thickBot="1" x14ac:dyDescent="0.4">
      <c r="A200" s="345">
        <v>97</v>
      </c>
      <c r="B200" s="346">
        <v>212</v>
      </c>
      <c r="C200" s="346">
        <v>9</v>
      </c>
      <c r="D200" s="346">
        <v>33.6</v>
      </c>
      <c r="E200" s="347">
        <v>0.9</v>
      </c>
      <c r="F200" s="347">
        <v>0</v>
      </c>
      <c r="G200" s="347">
        <v>0</v>
      </c>
      <c r="H200" s="347">
        <v>0.1</v>
      </c>
      <c r="I200" s="52">
        <f t="shared" si="7"/>
        <v>4.8799999999999981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ht="15" thickBot="1" x14ac:dyDescent="0.4">
      <c r="A201" s="345">
        <v>107</v>
      </c>
      <c r="B201" s="346">
        <v>230.4</v>
      </c>
      <c r="C201" s="346">
        <v>10</v>
      </c>
      <c r="D201" s="346">
        <v>36.799999999999997</v>
      </c>
      <c r="E201" s="347">
        <v>0.9</v>
      </c>
      <c r="F201" s="347">
        <v>0</v>
      </c>
      <c r="G201" s="347">
        <v>0</v>
      </c>
      <c r="H201" s="347">
        <v>0.1</v>
      </c>
      <c r="I201" s="52">
        <f t="shared" si="7"/>
        <v>5.2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ht="15" thickBot="1" x14ac:dyDescent="0.4">
      <c r="A202" s="345">
        <v>117</v>
      </c>
      <c r="B202" s="346">
        <v>247.2</v>
      </c>
      <c r="C202" s="346">
        <v>11</v>
      </c>
      <c r="D202" s="346">
        <v>36</v>
      </c>
      <c r="E202" s="347">
        <v>0.9</v>
      </c>
      <c r="F202" s="347">
        <v>0</v>
      </c>
      <c r="G202" s="347">
        <v>0</v>
      </c>
      <c r="H202" s="347">
        <v>0.1</v>
      </c>
      <c r="I202" s="52">
        <f t="shared" si="7"/>
        <v>5.3599999999999968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ht="15" thickBot="1" x14ac:dyDescent="0.4">
      <c r="A203" s="345">
        <v>129</v>
      </c>
      <c r="B203" s="346">
        <v>269.60000000000002</v>
      </c>
      <c r="C203" s="346" t="s">
        <v>324</v>
      </c>
      <c r="D203" s="346">
        <v>269.60000000000002</v>
      </c>
      <c r="E203" s="347">
        <v>0.9</v>
      </c>
      <c r="F203" s="347">
        <v>0</v>
      </c>
      <c r="G203" s="347">
        <v>0</v>
      </c>
      <c r="H203" s="347">
        <v>0.1</v>
      </c>
      <c r="I203" s="52">
        <f t="shared" si="7"/>
        <v>4.8666666666666698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5">
      <c r="A214" s="49" t="s">
        <v>172</v>
      </c>
      <c r="B214" s="55" t="str">
        <f>IF(B16="","",B16)</f>
        <v>Eucalyptus</v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4" thickBot="1" x14ac:dyDescent="0.4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ht="15" thickBot="1" x14ac:dyDescent="0.4">
      <c r="A218" s="348">
        <v>15</v>
      </c>
      <c r="B218" s="349">
        <v>65</v>
      </c>
      <c r="C218" s="343">
        <v>1</v>
      </c>
      <c r="D218" s="349">
        <v>11</v>
      </c>
      <c r="E218" s="344">
        <v>0</v>
      </c>
      <c r="F218" s="344">
        <v>0</v>
      </c>
      <c r="G218" s="344">
        <v>0</v>
      </c>
      <c r="H218" s="344">
        <v>1</v>
      </c>
      <c r="I218" s="56">
        <f>IFERROR(B218/A218,"")</f>
        <v>4.333333333333333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ht="15" thickBot="1" x14ac:dyDescent="0.4">
      <c r="A219" s="351">
        <v>25</v>
      </c>
      <c r="B219" s="352">
        <v>117</v>
      </c>
      <c r="C219" s="346">
        <v>2</v>
      </c>
      <c r="D219" s="352">
        <v>20</v>
      </c>
      <c r="E219" s="347">
        <v>0.7</v>
      </c>
      <c r="F219" s="347">
        <v>0</v>
      </c>
      <c r="G219" s="347">
        <v>0</v>
      </c>
      <c r="H219" s="347">
        <v>0.3</v>
      </c>
      <c r="I219" s="56">
        <f t="shared" ref="I219:I237" si="8">IF(A219&lt;&gt;0,(B219-(B218-D218))/(A219-A218),"")</f>
        <v>6.3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ht="15" thickBot="1" x14ac:dyDescent="0.4">
      <c r="A220" s="351">
        <v>35</v>
      </c>
      <c r="B220" s="352">
        <v>177</v>
      </c>
      <c r="C220" s="346">
        <v>3</v>
      </c>
      <c r="D220" s="352">
        <v>30</v>
      </c>
      <c r="E220" s="347">
        <v>0.7</v>
      </c>
      <c r="F220" s="347">
        <v>0</v>
      </c>
      <c r="G220" s="347">
        <v>0</v>
      </c>
      <c r="H220" s="347">
        <v>0.3</v>
      </c>
      <c r="I220" s="56">
        <f t="shared" si="8"/>
        <v>8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ht="15" thickBot="1" x14ac:dyDescent="0.4">
      <c r="A221" s="351">
        <v>45</v>
      </c>
      <c r="B221" s="352">
        <v>243</v>
      </c>
      <c r="C221" s="346">
        <v>4</v>
      </c>
      <c r="D221" s="352">
        <v>41</v>
      </c>
      <c r="E221" s="347">
        <v>0.7</v>
      </c>
      <c r="F221" s="347">
        <v>0</v>
      </c>
      <c r="G221" s="347">
        <v>0</v>
      </c>
      <c r="H221" s="347">
        <v>0.3</v>
      </c>
      <c r="I221" s="56">
        <f t="shared" si="8"/>
        <v>9.6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ht="15" thickBot="1" x14ac:dyDescent="0.4">
      <c r="A222" s="351">
        <v>55</v>
      </c>
      <c r="B222" s="352">
        <v>314</v>
      </c>
      <c r="C222" s="346" t="s">
        <v>324</v>
      </c>
      <c r="D222" s="352">
        <v>314</v>
      </c>
      <c r="E222" s="347">
        <v>0.7</v>
      </c>
      <c r="F222" s="347">
        <v>0</v>
      </c>
      <c r="G222" s="347">
        <v>0</v>
      </c>
      <c r="H222" s="347">
        <v>0.3</v>
      </c>
      <c r="I222" s="56">
        <f t="shared" si="8"/>
        <v>11.2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5">
      <c r="A240" s="49" t="s">
        <v>173</v>
      </c>
      <c r="B240" s="55" t="str">
        <f>IF(B17="","",B17)</f>
        <v>Tilleul</v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4" thickBot="1" x14ac:dyDescent="0.4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ht="15" thickBot="1" x14ac:dyDescent="0.4">
      <c r="A244" s="348">
        <v>15</v>
      </c>
      <c r="B244" s="349">
        <v>88</v>
      </c>
      <c r="C244" s="343">
        <v>1</v>
      </c>
      <c r="D244" s="349">
        <v>20</v>
      </c>
      <c r="E244" s="344">
        <v>0</v>
      </c>
      <c r="F244" s="344">
        <v>0</v>
      </c>
      <c r="G244" s="344">
        <v>0</v>
      </c>
      <c r="H244" s="344">
        <v>1</v>
      </c>
      <c r="I244" s="56">
        <f>IFERROR(B244/A244,"")</f>
        <v>5.8666666666666663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ht="15" thickBot="1" x14ac:dyDescent="0.4">
      <c r="A245" s="351">
        <v>25</v>
      </c>
      <c r="B245" s="352">
        <v>147</v>
      </c>
      <c r="C245" s="346">
        <v>2</v>
      </c>
      <c r="D245" s="352">
        <v>25</v>
      </c>
      <c r="E245" s="347">
        <v>0.7</v>
      </c>
      <c r="F245" s="347">
        <v>0</v>
      </c>
      <c r="G245" s="347">
        <v>0</v>
      </c>
      <c r="H245" s="347">
        <v>0.3</v>
      </c>
      <c r="I245" s="56">
        <f>IF(A245&lt;&gt;0,(B245-(B244-D244))/(A245-A244),"")</f>
        <v>7.9</v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ht="15" thickBot="1" x14ac:dyDescent="0.4">
      <c r="A246" s="351">
        <v>35</v>
      </c>
      <c r="B246" s="352">
        <v>222</v>
      </c>
      <c r="C246" s="346">
        <v>3</v>
      </c>
      <c r="D246" s="352">
        <v>37</v>
      </c>
      <c r="E246" s="347">
        <v>0.7</v>
      </c>
      <c r="F246" s="347">
        <v>0</v>
      </c>
      <c r="G246" s="347">
        <v>0</v>
      </c>
      <c r="H246" s="347">
        <v>0.3</v>
      </c>
      <c r="I246" s="56">
        <f>IF(A246&lt;&gt;0,(B246-(B245-D245))/(A246-A245),"")</f>
        <v>10</v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ht="15" thickBot="1" x14ac:dyDescent="0.4">
      <c r="A247" s="351">
        <v>45</v>
      </c>
      <c r="B247" s="352">
        <v>305</v>
      </c>
      <c r="C247" s="346">
        <v>4</v>
      </c>
      <c r="D247" s="352">
        <v>51</v>
      </c>
      <c r="E247" s="347">
        <v>0.7</v>
      </c>
      <c r="F247" s="347">
        <v>0</v>
      </c>
      <c r="G247" s="347">
        <v>0</v>
      </c>
      <c r="H247" s="347">
        <v>0.3</v>
      </c>
      <c r="I247" s="56">
        <f t="shared" ref="I247:I263" si="9">IF(A247&lt;&gt;0,(B247-(B246-D246))/(A247-A246),"")</f>
        <v>12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ht="15" thickBot="1" x14ac:dyDescent="0.4">
      <c r="A248" s="351">
        <v>55</v>
      </c>
      <c r="B248" s="352">
        <v>388</v>
      </c>
      <c r="C248" s="346" t="s">
        <v>324</v>
      </c>
      <c r="D248" s="352">
        <v>388</v>
      </c>
      <c r="E248" s="347">
        <v>0.9</v>
      </c>
      <c r="F248" s="347">
        <v>0</v>
      </c>
      <c r="G248" s="347">
        <v>0</v>
      </c>
      <c r="H248" s="347">
        <v>0.1</v>
      </c>
      <c r="I248" s="56">
        <f t="shared" si="9"/>
        <v>13.4</v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5" x14ac:dyDescent="0.3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4" zoomScale="80" zoomScaleNormal="80" workbookViewId="0">
      <selection activeCell="B19" sqref="B19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5" thickBot="1" x14ac:dyDescent="0.6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5">
      <c r="C104" s="5"/>
      <c r="F104" s="5"/>
    </row>
    <row r="105" spans="3:35" x14ac:dyDescent="0.35">
      <c r="C105" s="5"/>
      <c r="F105" s="5"/>
    </row>
    <row r="106" spans="3:35" x14ac:dyDescent="0.35">
      <c r="C106" s="5"/>
      <c r="F106" s="5"/>
    </row>
    <row r="107" spans="3:35" x14ac:dyDescent="0.35">
      <c r="C107" s="5"/>
      <c r="F107" s="5"/>
    </row>
    <row r="108" spans="3:35" x14ac:dyDescent="0.35">
      <c r="C108" s="5"/>
      <c r="F108" s="5"/>
    </row>
    <row r="109" spans="3:35" x14ac:dyDescent="0.35">
      <c r="C109" s="5"/>
      <c r="F109" s="5"/>
    </row>
    <row r="110" spans="3:35" x14ac:dyDescent="0.35">
      <c r="C110" s="5"/>
      <c r="F110" s="5"/>
    </row>
    <row r="111" spans="3:35" x14ac:dyDescent="0.35">
      <c r="C111" s="5"/>
      <c r="F111" s="5"/>
    </row>
    <row r="112" spans="3:35" x14ac:dyDescent="0.35">
      <c r="C112" s="5"/>
      <c r="F112" s="5"/>
    </row>
    <row r="113" spans="3:6" x14ac:dyDescent="0.35">
      <c r="C113" s="5"/>
      <c r="F113" s="5"/>
    </row>
    <row r="114" spans="3:6" x14ac:dyDescent="0.35">
      <c r="C114" s="5"/>
      <c r="F114" s="5"/>
    </row>
    <row r="115" spans="3:6" x14ac:dyDescent="0.35">
      <c r="C115" s="5"/>
      <c r="F115" s="5"/>
    </row>
    <row r="116" spans="3:6" x14ac:dyDescent="0.35">
      <c r="C116" s="5"/>
      <c r="F116" s="5"/>
    </row>
    <row r="117" spans="3:6" x14ac:dyDescent="0.35">
      <c r="C117" s="5"/>
      <c r="F117" s="5"/>
    </row>
    <row r="118" spans="3:6" x14ac:dyDescent="0.35">
      <c r="C118" s="5"/>
      <c r="F118" s="5"/>
    </row>
    <row r="119" spans="3:6" x14ac:dyDescent="0.35">
      <c r="C119" s="5"/>
      <c r="F119" s="5"/>
    </row>
    <row r="120" spans="3:6" x14ac:dyDescent="0.35">
      <c r="C120" s="5"/>
      <c r="F120" s="5"/>
    </row>
    <row r="121" spans="3:6" x14ac:dyDescent="0.35">
      <c r="C121" s="5"/>
      <c r="F121" s="5"/>
    </row>
    <row r="122" spans="3:6" x14ac:dyDescent="0.35">
      <c r="C122" s="5"/>
      <c r="F122" s="5"/>
    </row>
    <row r="123" spans="3:6" x14ac:dyDescent="0.35">
      <c r="C123" s="5"/>
      <c r="F123" s="5"/>
    </row>
    <row r="124" spans="3:6" x14ac:dyDescent="0.35">
      <c r="C124" s="5"/>
      <c r="F124" s="5"/>
    </row>
    <row r="125" spans="3:6" x14ac:dyDescent="0.35">
      <c r="C125" s="5"/>
      <c r="F125" s="5"/>
    </row>
    <row r="126" spans="3:6" x14ac:dyDescent="0.35">
      <c r="C126" s="5"/>
      <c r="F126" s="5"/>
    </row>
    <row r="127" spans="3:6" x14ac:dyDescent="0.35">
      <c r="C127" s="5"/>
      <c r="F127" s="5"/>
    </row>
    <row r="128" spans="3:6" x14ac:dyDescent="0.35">
      <c r="C128" s="5"/>
      <c r="F128" s="5"/>
    </row>
    <row r="129" spans="3:6" x14ac:dyDescent="0.35">
      <c r="C129" s="5"/>
      <c r="F129" s="5"/>
    </row>
    <row r="130" spans="3:6" x14ac:dyDescent="0.35">
      <c r="C130" s="5"/>
      <c r="F130" s="5"/>
    </row>
    <row r="131" spans="3:6" x14ac:dyDescent="0.35">
      <c r="C131" s="5"/>
      <c r="F131" s="5"/>
    </row>
    <row r="132" spans="3:6" x14ac:dyDescent="0.35">
      <c r="F132" s="5"/>
    </row>
    <row r="133" spans="3:6" x14ac:dyDescent="0.35">
      <c r="F133" s="5"/>
    </row>
    <row r="134" spans="3:6" x14ac:dyDescent="0.35">
      <c r="F134" s="5"/>
    </row>
    <row r="135" spans="3:6" x14ac:dyDescent="0.35">
      <c r="F135" s="5"/>
    </row>
    <row r="136" spans="3:6" x14ac:dyDescent="0.35">
      <c r="F136" s="5"/>
    </row>
    <row r="137" spans="3:6" x14ac:dyDescent="0.35">
      <c r="F137" s="5"/>
    </row>
    <row r="138" spans="3:6" x14ac:dyDescent="0.35">
      <c r="F138" s="5"/>
    </row>
    <row r="139" spans="3:6" x14ac:dyDescent="0.35">
      <c r="F139" s="5"/>
    </row>
    <row r="140" spans="3:6" x14ac:dyDescent="0.35">
      <c r="F140" s="5"/>
    </row>
    <row r="141" spans="3:6" x14ac:dyDescent="0.35">
      <c r="F141" s="5"/>
    </row>
    <row r="142" spans="3:6" x14ac:dyDescent="0.35">
      <c r="F142" s="5"/>
    </row>
    <row r="143" spans="3:6" x14ac:dyDescent="0.35">
      <c r="F143" s="5"/>
    </row>
    <row r="144" spans="3:6" x14ac:dyDescent="0.35">
      <c r="F144" s="5"/>
    </row>
    <row r="145" spans="6:6" x14ac:dyDescent="0.35">
      <c r="F145" s="5"/>
    </row>
    <row r="146" spans="6:6" x14ac:dyDescent="0.35">
      <c r="F146" s="5"/>
    </row>
    <row r="147" spans="6:6" x14ac:dyDescent="0.35">
      <c r="F147" s="5"/>
    </row>
    <row r="148" spans="6:6" x14ac:dyDescent="0.35">
      <c r="F148" s="5"/>
    </row>
    <row r="149" spans="6:6" x14ac:dyDescent="0.35">
      <c r="F149" s="5"/>
    </row>
    <row r="150" spans="6:6" x14ac:dyDescent="0.35">
      <c r="F150" s="5"/>
    </row>
    <row r="151" spans="6:6" x14ac:dyDescent="0.35">
      <c r="F151" s="5"/>
    </row>
    <row r="152" spans="6:6" x14ac:dyDescent="0.35">
      <c r="F152" s="5"/>
    </row>
    <row r="153" spans="6:6" x14ac:dyDescent="0.35">
      <c r="F153" s="5"/>
    </row>
    <row r="154" spans="6:6" x14ac:dyDescent="0.35">
      <c r="F154" s="5"/>
    </row>
    <row r="155" spans="6:6" x14ac:dyDescent="0.35">
      <c r="F155" s="5"/>
    </row>
    <row r="156" spans="6:6" x14ac:dyDescent="0.35">
      <c r="F156" s="5"/>
    </row>
    <row r="157" spans="6:6" x14ac:dyDescent="0.35">
      <c r="F157" s="5"/>
    </row>
    <row r="158" spans="6:6" x14ac:dyDescent="0.35">
      <c r="F158" s="5"/>
    </row>
    <row r="159" spans="6:6" x14ac:dyDescent="0.35">
      <c r="F159" s="5"/>
    </row>
    <row r="160" spans="6:6" x14ac:dyDescent="0.35">
      <c r="F160" s="5"/>
    </row>
    <row r="161" spans="6:6" x14ac:dyDescent="0.35">
      <c r="F161" s="5"/>
    </row>
    <row r="162" spans="6:6" x14ac:dyDescent="0.35">
      <c r="F162" s="5"/>
    </row>
    <row r="163" spans="6:6" x14ac:dyDescent="0.3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71" bestFit="1" customWidth="1"/>
    <col min="2" max="4" width="11.453125" style="71"/>
    <col min="5" max="5" width="9.54296875" style="71" customWidth="1"/>
    <col min="6" max="7" width="11.453125" style="71"/>
    <col min="8" max="8" width="10.7265625" style="71" customWidth="1"/>
    <col min="9" max="9" width="9.453125" style="71" customWidth="1"/>
    <col min="10" max="11" width="10.54296875" style="71" bestFit="1" customWidth="1"/>
    <col min="12" max="12" width="14" style="71" bestFit="1" customWidth="1"/>
    <col min="13" max="13" width="14" style="71" customWidth="1"/>
    <col min="14" max="23" width="11.453125" style="71"/>
    <col min="24" max="24" width="11.7265625" style="71" bestFit="1" customWidth="1"/>
    <col min="25" max="25" width="14.54296875" style="71" bestFit="1" customWidth="1"/>
    <col min="26" max="26" width="12.453125" style="71" bestFit="1" customWidth="1"/>
    <col min="27" max="27" width="9.7265625" style="71" bestFit="1" customWidth="1"/>
    <col min="28" max="28" width="11" style="71" bestFit="1" customWidth="1"/>
    <col min="29" max="29" width="9.453125" style="71" bestFit="1" customWidth="1"/>
    <col min="30" max="31" width="9.453125" style="71" customWidth="1"/>
    <col min="32" max="32" width="11.453125" style="71"/>
    <col min="33" max="34" width="14" style="71" bestFit="1" customWidth="1"/>
    <col min="35" max="35" width="10.54296875" style="71" bestFit="1" customWidth="1"/>
    <col min="36" max="36" width="9.453125" style="71" bestFit="1" customWidth="1"/>
    <col min="37" max="38" width="10.54296875" style="71" bestFit="1" customWidth="1"/>
    <col min="39" max="41" width="10.54296875" style="71" customWidth="1"/>
    <col min="42" max="42" width="9" style="71" bestFit="1" customWidth="1"/>
    <col min="43" max="43" width="10.54296875" style="71" bestFit="1" customWidth="1"/>
    <col min="44" max="44" width="9.26953125" style="71" bestFit="1" customWidth="1"/>
    <col min="45" max="45" width="11.7265625" style="71" bestFit="1" customWidth="1"/>
    <col min="46" max="46" width="8.453125" style="71" bestFit="1" customWidth="1"/>
    <col min="47" max="47" width="9.453125" style="71" bestFit="1" customWidth="1"/>
    <col min="48" max="48" width="9.7265625" style="71" bestFit="1" customWidth="1"/>
    <col min="49" max="49" width="11" style="71" bestFit="1" customWidth="1"/>
    <col min="50" max="50" width="9.453125" style="71" bestFit="1" customWidth="1"/>
    <col min="51" max="52" width="9.453125" style="71" customWidth="1"/>
    <col min="53" max="53" width="10.54296875" style="71" bestFit="1" customWidth="1"/>
    <col min="54" max="54" width="14.26953125" style="71" customWidth="1"/>
    <col min="55" max="55" width="14" style="71" customWidth="1"/>
    <col min="56" max="56" width="10.54296875" style="71" bestFit="1" customWidth="1"/>
    <col min="57" max="57" width="9.453125" style="71" bestFit="1" customWidth="1"/>
    <col min="58" max="59" width="10.54296875" style="71" bestFit="1" customWidth="1"/>
    <col min="60" max="62" width="10.54296875" style="71" customWidth="1"/>
    <col min="63" max="63" width="9" style="71" bestFit="1" customWidth="1"/>
    <col min="64" max="64" width="10.54296875" style="71" bestFit="1" customWidth="1"/>
    <col min="65" max="65" width="9.26953125" style="71" bestFit="1" customWidth="1"/>
    <col min="66" max="66" width="11.7265625" style="71" bestFit="1" customWidth="1"/>
    <col min="67" max="67" width="8.453125" style="71" bestFit="1" customWidth="1"/>
    <col min="68" max="68" width="9.453125" style="71" bestFit="1" customWidth="1"/>
    <col min="69" max="69" width="9.7265625" style="71" bestFit="1" customWidth="1"/>
    <col min="70" max="70" width="11" style="71" bestFit="1" customWidth="1"/>
    <col min="71" max="71" width="9.453125" style="71" bestFit="1" customWidth="1"/>
    <col min="72" max="73" width="9.453125" style="71" customWidth="1"/>
    <col min="74" max="74" width="10.54296875" style="71" bestFit="1" customWidth="1"/>
    <col min="75" max="75" width="14" style="71" bestFit="1" customWidth="1"/>
    <col min="76" max="76" width="13.81640625" style="71" customWidth="1"/>
    <col min="77" max="77" width="10.54296875" style="71" bestFit="1" customWidth="1"/>
    <col min="78" max="78" width="9.453125" style="71" bestFit="1" customWidth="1"/>
    <col min="79" max="80" width="10.54296875" style="71" bestFit="1" customWidth="1"/>
    <col min="81" max="83" width="10.54296875" style="71" customWidth="1"/>
    <col min="84" max="84" width="11.453125" style="71"/>
    <col min="85" max="85" width="10.54296875" style="71" bestFit="1" customWidth="1"/>
    <col min="86" max="86" width="9.26953125" style="71" bestFit="1" customWidth="1"/>
    <col min="87" max="87" width="11.7265625" style="71" bestFit="1" customWidth="1"/>
    <col min="88" max="88" width="8.453125" style="71" bestFit="1" customWidth="1"/>
    <col min="89" max="89" width="9.453125" style="71" bestFit="1" customWidth="1"/>
    <col min="90" max="90" width="9.7265625" style="71" bestFit="1" customWidth="1"/>
    <col min="91" max="91" width="11" style="71" bestFit="1" customWidth="1"/>
    <col min="92" max="92" width="9.453125" style="71" bestFit="1" customWidth="1"/>
    <col min="93" max="94" width="9.453125" style="71" customWidth="1"/>
    <col min="95" max="95" width="11.453125" style="71"/>
    <col min="96" max="97" width="14" style="71" customWidth="1"/>
    <col min="98" max="98" width="10.54296875" style="71" bestFit="1" customWidth="1"/>
    <col min="99" max="99" width="9.453125" style="71" bestFit="1" customWidth="1"/>
    <col min="100" max="101" width="10.54296875" style="71" bestFit="1" customWidth="1"/>
    <col min="102" max="104" width="10.54296875" style="71" customWidth="1"/>
    <col min="105" max="105" width="9" style="71" bestFit="1" customWidth="1"/>
    <col min="106" max="106" width="10.54296875" style="71" bestFit="1" customWidth="1"/>
    <col min="107" max="107" width="9.26953125" style="71" bestFit="1" customWidth="1"/>
    <col min="108" max="108" width="11.7265625" style="71" bestFit="1" customWidth="1"/>
    <col min="109" max="109" width="8.453125" style="71" bestFit="1" customWidth="1"/>
    <col min="110" max="110" width="9.453125" style="71" bestFit="1" customWidth="1"/>
    <col min="111" max="111" width="9.7265625" style="71" bestFit="1" customWidth="1"/>
    <col min="112" max="112" width="11" style="71" bestFit="1" customWidth="1"/>
    <col min="113" max="113" width="9.453125" style="71" bestFit="1" customWidth="1"/>
    <col min="114" max="115" width="9.453125" style="71" customWidth="1"/>
    <col min="116" max="116" width="10.54296875" style="71" bestFit="1" customWidth="1"/>
    <col min="117" max="117" width="14.26953125" style="71" customWidth="1"/>
    <col min="118" max="118" width="14" style="71" bestFit="1" customWidth="1"/>
    <col min="119" max="119" width="10.54296875" style="71" bestFit="1" customWidth="1"/>
    <col min="120" max="120" width="9.453125" style="71" bestFit="1" customWidth="1"/>
    <col min="121" max="122" width="10.54296875" style="71" bestFit="1" customWidth="1"/>
    <col min="123" max="125" width="10.54296875" style="71" customWidth="1"/>
    <col min="126" max="126" width="9" style="71" bestFit="1" customWidth="1"/>
    <col min="127" max="127" width="10.54296875" style="71" bestFit="1" customWidth="1"/>
    <col min="128" max="128" width="9.26953125" style="71" bestFit="1" customWidth="1"/>
    <col min="129" max="129" width="11.7265625" style="71" bestFit="1" customWidth="1"/>
    <col min="130" max="130" width="8.453125" style="71" bestFit="1" customWidth="1"/>
    <col min="131" max="131" width="9.453125" style="71" bestFit="1" customWidth="1"/>
    <col min="132" max="132" width="9.7265625" style="71" bestFit="1" customWidth="1"/>
    <col min="133" max="133" width="11" style="71" bestFit="1" customWidth="1"/>
    <col min="134" max="134" width="9.453125" style="71" bestFit="1" customWidth="1"/>
    <col min="135" max="136" width="9.453125" style="71" customWidth="1"/>
    <col min="137" max="137" width="10.54296875" style="71" bestFit="1" customWidth="1"/>
    <col min="138" max="139" width="14" style="71" customWidth="1"/>
    <col min="140" max="140" width="10.54296875" style="71" bestFit="1" customWidth="1"/>
    <col min="141" max="141" width="9.453125" style="71" bestFit="1" customWidth="1"/>
    <col min="142" max="143" width="10.54296875" style="71" bestFit="1" customWidth="1"/>
    <col min="144" max="146" width="10.54296875" style="71" customWidth="1"/>
    <col min="147" max="147" width="9" style="71" bestFit="1" customWidth="1"/>
    <col min="148" max="148" width="10.54296875" style="71" bestFit="1" customWidth="1"/>
    <col min="149" max="149" width="9.26953125" style="71" bestFit="1" customWidth="1"/>
    <col min="150" max="150" width="11.7265625" style="71" bestFit="1" customWidth="1"/>
    <col min="151" max="151" width="8.453125" style="71" bestFit="1" customWidth="1"/>
    <col min="152" max="152" width="9.453125" style="71" bestFit="1" customWidth="1"/>
    <col min="153" max="153" width="9.7265625" style="71" bestFit="1" customWidth="1"/>
    <col min="154" max="154" width="11" style="71" bestFit="1" customWidth="1"/>
    <col min="155" max="155" width="9.453125" style="71" bestFit="1" customWidth="1"/>
    <col min="156" max="157" width="9.453125" style="71" customWidth="1"/>
    <col min="158" max="158" width="11.453125" style="71"/>
    <col min="159" max="160" width="14" style="71" bestFit="1" customWidth="1"/>
    <col min="161" max="161" width="10.54296875" style="71" bestFit="1" customWidth="1"/>
    <col min="162" max="162" width="9.453125" style="71" bestFit="1" customWidth="1"/>
    <col min="163" max="164" width="10.54296875" style="71" bestFit="1" customWidth="1"/>
    <col min="165" max="167" width="10.54296875" style="71" customWidth="1"/>
    <col min="168" max="168" width="9" style="71" bestFit="1" customWidth="1"/>
    <col min="169" max="169" width="10.54296875" style="71" bestFit="1" customWidth="1"/>
    <col min="170" max="170" width="9.26953125" style="71" bestFit="1" customWidth="1"/>
    <col min="171" max="171" width="11.7265625" style="71" bestFit="1" customWidth="1"/>
    <col min="172" max="172" width="8.1796875" style="71" bestFit="1" customWidth="1"/>
    <col min="173" max="173" width="9.453125" style="71" bestFit="1" customWidth="1"/>
    <col min="174" max="174" width="9.7265625" style="71" bestFit="1" customWidth="1"/>
    <col min="175" max="175" width="11" style="71" bestFit="1" customWidth="1"/>
    <col min="176" max="176" width="9.453125" style="71" bestFit="1" customWidth="1"/>
    <col min="177" max="178" width="9.453125" style="71" customWidth="1"/>
    <col min="179" max="179" width="10.54296875" style="71" bestFit="1" customWidth="1"/>
    <col min="180" max="181" width="14" style="71" bestFit="1" customWidth="1"/>
    <col min="182" max="182" width="10.54296875" style="71" bestFit="1" customWidth="1"/>
    <col min="183" max="183" width="9.453125" style="71" bestFit="1" customWidth="1"/>
    <col min="184" max="185" width="10.54296875" style="71" bestFit="1" customWidth="1"/>
    <col min="186" max="188" width="10.54296875" style="71" customWidth="1"/>
    <col min="189" max="189" width="9" style="71" bestFit="1" customWidth="1"/>
    <col min="190" max="190" width="10.54296875" style="71" bestFit="1" customWidth="1"/>
    <col min="191" max="191" width="9.26953125" style="71" bestFit="1" customWidth="1"/>
    <col min="192" max="192" width="11.453125" style="71"/>
    <col min="193" max="193" width="8.453125" style="71" bestFit="1" customWidth="1"/>
    <col min="194" max="194" width="9.453125" style="71" bestFit="1" customWidth="1"/>
    <col min="195" max="195" width="9.7265625" style="71" bestFit="1" customWidth="1"/>
    <col min="196" max="196" width="11" style="71" bestFit="1" customWidth="1"/>
    <col min="197" max="197" width="9.453125" style="71" bestFit="1" customWidth="1"/>
    <col min="198" max="199" width="9.453125" style="71" customWidth="1"/>
    <col min="200" max="200" width="10.54296875" style="71" bestFit="1" customWidth="1"/>
    <col min="201" max="201" width="14" style="71" customWidth="1"/>
    <col min="202" max="202" width="14.26953125" style="71" customWidth="1"/>
    <col min="203" max="203" width="10.54296875" style="71" bestFit="1" customWidth="1"/>
    <col min="204" max="204" width="9.453125" style="71" bestFit="1" customWidth="1"/>
    <col min="205" max="206" width="10.54296875" style="71" bestFit="1" customWidth="1"/>
    <col min="207" max="209" width="10.54296875" style="71" customWidth="1"/>
    <col min="210" max="210" width="9" style="71" bestFit="1" customWidth="1"/>
    <col min="211" max="211" width="10.54296875" style="71" bestFit="1" customWidth="1"/>
    <col min="212" max="212" width="9.26953125" style="71" bestFit="1" customWidth="1"/>
    <col min="213" max="213" width="11.7265625" style="71" bestFit="1" customWidth="1"/>
    <col min="214" max="214" width="8.453125" style="71" bestFit="1" customWidth="1"/>
    <col min="215" max="215" width="9.453125" style="71" bestFit="1" customWidth="1"/>
    <col min="216" max="216" width="9.7265625" style="71" bestFit="1" customWidth="1"/>
    <col min="217" max="217" width="11" style="71" bestFit="1" customWidth="1"/>
    <col min="218" max="218" width="9.453125" style="71" bestFit="1" customWidth="1"/>
    <col min="219" max="16384" width="11.453125" style="71"/>
  </cols>
  <sheetData>
    <row r="1" spans="1:218" s="5" customFormat="1" ht="26.5" thickBot="1" x14ac:dyDescent="0.6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rouge d'Amérique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Cèdre de l'Atlas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Pin pignon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Pin taeda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Chêne-liège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>Bouleau verruqueux</v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>Alisier torminal</v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>Eucalyptus</v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>Tilleul</v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5" thickBot="1" x14ac:dyDescent="0.4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401.34220206028908</v>
      </c>
      <c r="T3" s="62">
        <f>IF('Données projet'!E9&gt;30,$R$33-$H$33,LOOKUP('Données projet'!$E$9,$A$3:$A$203,R3:R203)-LOOKUP('Données projet'!$E$9,$A$3:$A$203,$H$3:$H$203))</f>
        <v>265.33314259106987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253.48761861464732</v>
      </c>
      <c r="AO3" s="62">
        <f>IF('Données projet'!E10&gt;30,$AM$33-$H$33,LOOKUP('Données projet'!$E$10,$A$3:$A$203,AM3:AM203)-LOOKUP('Données projet'!$E$10,$A$3:$A$203,$H$3:$H$203))</f>
        <v>219.50855998133855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482.85256243111911</v>
      </c>
      <c r="BJ3" s="62">
        <f>IF('Données projet'!E11&gt;30,$BH$33-$H$33,LOOKUP('Données projet'!$E$11,$A$3:$A$203,BH3:BH203)-LOOKUP('Données projet'!$E$11,$A$3:$A$203,$H$3:$H$203))</f>
        <v>517.78430032567064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165</v>
      </c>
      <c r="CD3" s="62">
        <f ca="1">AVERAGE(OFFSET($CC$3,0,0,'Données projet'!$E$12+1,1))-AVERAGE(OFFSET($H$3,0,0,'Données projet'!$E$12+1,1))</f>
        <v>275.76900776033335</v>
      </c>
      <c r="CE3" s="62">
        <f>IF('Données projet'!E12&gt;30,$CC$33-$H$33,LOOKUP('Données projet'!$E$12,$A$3:$A$203,CC3:CC203)-LOOKUP('Données projet'!$E$12,$A$3:$A$203,$H$3:$H$203))</f>
        <v>299.36898480605191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165</v>
      </c>
      <c r="CY3" s="62">
        <f ca="1">AVERAGE(OFFSET($CX$3,0,0,'Données projet'!$E$13+1,1))-AVERAGE(OFFSET($H$3,0,0,'Données projet'!$E$13+1,1))</f>
        <v>482.24068797679558</v>
      </c>
      <c r="CZ3" s="62">
        <f>IF('Données projet'!E13&gt;30,$CX$33-$H$33,LOOKUP('Données projet'!$E$13,$A$3:$A$203,CX3:CX203)-LOOKUP('Données projet'!$E$13,$A$3:$A$203,$H$3:$H$203))</f>
        <v>316.28941055521693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165</v>
      </c>
      <c r="DT3" s="62">
        <f ca="1">AVERAGE(OFFSET($DS$3,0,0,'Données projet'!$E$14+1,1))-AVERAGE(OFFSET($H$3,0,0,'Données projet'!$E$14+1,1))</f>
        <v>325.58538970226539</v>
      </c>
      <c r="DU3" s="62">
        <f>IF('Données projet'!E14&gt;30,$DS$33-$H$33,LOOKUP('Données projet'!$E$14,$A$3:$A$203,DS3:DS203)-LOOKUP('Données projet'!$E$14,$A$3:$A$203,$H$3:$H$203))</f>
        <v>361.81085660423457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165</v>
      </c>
      <c r="EO3" s="62">
        <f ca="1">AVERAGE(OFFSET($EN$3,0,0,'Données projet'!$E$15+1,1))-AVERAGE(OFFSET($H$3,0,0,'Données projet'!$E$15+1,1))</f>
        <v>364.22267539944085</v>
      </c>
      <c r="EP3" s="62">
        <f>IF('Données projet'!E15&gt;30,$EN$33-$H$33,LOOKUP('Données projet'!$E$15,$A$3:$A$203,EN3:EN203)-LOOKUP('Données projet'!$E$15,$A$3:$A$203,$H$3:$H$203))</f>
        <v>241.947139538615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2">
        <f>FH3+(EZ3+FA3)*44/12</f>
        <v>165</v>
      </c>
      <c r="FJ3" s="62">
        <f ca="1">AVERAGE(OFFSET($FI$3,0,0,'Données projet'!$E$16+1,1))-AVERAGE(OFFSET($H$3,0,0,'Données projet'!$E$16+1,1))</f>
        <v>286.59837239471312</v>
      </c>
      <c r="FK3" s="62">
        <f>IF('Données projet'!E16&gt;30,$FI$33-$H$33,LOOKUP('Données projet'!$E$16,$A$3:$A$203,FI3:FI203)-LOOKUP('Données projet'!$E$16,$A$3:$A$203,$H$3:$H$203))</f>
        <v>319.26091328564689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projet'!$B$17,Paramètres!$A$1:$I$89,3,0)*VLOOKUP('Données projet'!$B$17,Paramètres!$A$1:$I$89,5,0)</f>
        <v>0</v>
      </c>
      <c r="GB3" s="13">
        <v>0</v>
      </c>
      <c r="GC3" s="15">
        <f>(GA3+GB3)*0.475*44/12</f>
        <v>0</v>
      </c>
      <c r="GD3" s="62">
        <f>GC3+(FU3+FV3)*44/12</f>
        <v>165</v>
      </c>
      <c r="GE3" s="62">
        <f ca="1">AVERAGE(OFFSET($GD$3,0,0,'Données projet'!$E$17+1,1))-AVERAGE(OFFSET($H$3,0,0,'Données projet'!$E$17+1,1))</f>
        <v>277.37570531842186</v>
      </c>
      <c r="GF3" s="62">
        <f>IF('Données projet'!E17&gt;30,$GD$33-$H$33,LOOKUP('Données projet'!$E$17,$A$3:$A$203,GD3:GD203)-LOOKUP('Données projet'!$E$17,$A$3:$A$203,$H$3:$H$203))</f>
        <v>310.00874200911312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3.6111111111111112</v>
      </c>
      <c r="N4" s="14">
        <f>IF('Données projet'!$A$36&gt;35,N3+M4-V3,IF(A4&lt;'Données projet'!$A$36,$K$205^A4,IF(A4='Données projet'!$A$36,'Données projet'!$B$36,N3+M4-V3)))</f>
        <v>3.6111111111111112</v>
      </c>
      <c r="O4" s="14">
        <f>N4*VLOOKUP('Données projet'!$B$9,Paramètres!$A$1:$I$89,3,0)*VLOOKUP('Données projet'!$B$9,Paramètres!$A$1:$I$89,5,0)</f>
        <v>3.1546666666666674</v>
      </c>
      <c r="P4" s="14">
        <f>EXP(-1.0587+0.8836*LN(O4)+0.284)</f>
        <v>1.2718249985082455</v>
      </c>
      <c r="Q4" s="22">
        <f t="shared" ref="Q4:Q34" si="2">(O4+P4)*0.475*44/12</f>
        <v>7.7094729835129714</v>
      </c>
      <c r="R4" s="62">
        <f t="shared" si="0"/>
        <v>175.52190693643681</v>
      </c>
      <c r="S4" s="62">
        <f ca="1">AVERAGE(OFFSET($R$3,0,0,'Données projet'!$E$9+1,1))-AVERAGE(OFFSET($H$3,0,0,'Données projet'!$E$9+1,1))</f>
        <v>401.34220206028908</v>
      </c>
      <c r="T4" s="62">
        <f>$T$3</f>
        <v>265.33314259106987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5.75</v>
      </c>
      <c r="AI4" s="14">
        <f>IF('Données projet'!$A$62&gt;35,AI3+AH4-AQ3,IF(A4&lt;'Données projet'!$A$62,$AF$205^A4,IF(A4='Données projet'!$A$62,'Données projet'!$B$62,AI3+AH4-AQ3)))</f>
        <v>1.2677537154322802</v>
      </c>
      <c r="AJ4" s="14">
        <f>AI4*VLOOKUP('Données projet'!$B$10,Paramètres!$A$1:$I$89,3,0)*VLOOKUP('Données projet'!$B$10,Paramètres!$A$1:$I$89,5,0)</f>
        <v>0.59330873882230706</v>
      </c>
      <c r="AK4" s="14">
        <f>EXP(-1.0587+0.8836*LN(AJ4)+0.284)</f>
        <v>0.29055137246158741</v>
      </c>
      <c r="AL4" s="22">
        <f t="shared" ref="AL4:AL67" si="4">(AJ4+AK4)*0.475*44/12</f>
        <v>1.5393896938194491</v>
      </c>
      <c r="AM4" s="62">
        <f t="shared" ref="AM4:AM67" si="5">AL4+(AD4+AE4)*44/12</f>
        <v>169.3518236467433</v>
      </c>
      <c r="AN4" s="62">
        <f ca="1">AVERAGE(OFFSET($AM$3,0,0,'Données projet'!$E$10+1,1))-AVERAGE(OFFSET($H$3,0,0,'Données projet'!$E$10+1,1))</f>
        <v>253.48761861464732</v>
      </c>
      <c r="AO4" s="62">
        <f>$AO$3</f>
        <v>219.50855998133855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3</v>
      </c>
      <c r="BD4" s="13">
        <f>IF('Données projet'!$A$88&gt;35,BD3+BC4-BL3,IF(A4&lt;'Données projet'!$A$88,$BA$205^A4,IF(A4='Données projet'!$A$88,'Données projet'!$B$88,BD3+BC4-BL3)))</f>
        <v>1.3480061545972777</v>
      </c>
      <c r="BE4" s="14">
        <f>BD4*VLOOKUP('Données projet'!$B$11,Paramètres!$A$1:$I$89,3,0)*VLOOKUP('Données projet'!$B$11,Paramètres!$A$1:$I$89,5,0)</f>
        <v>1.5529030900960636</v>
      </c>
      <c r="BF4" s="14">
        <f>EXP(-1.0587+0.8836*LN(BE4)+0.284)</f>
        <v>0.67990340506767144</v>
      </c>
      <c r="BG4" s="22">
        <f t="shared" ref="BG4:BG67" si="7">(BE4+BF4)*0.475*44/12</f>
        <v>3.8888046457435048</v>
      </c>
      <c r="BH4" s="62">
        <f t="shared" ref="BH4:BH67" si="8">BG4+(AY4+AZ4)*44/12</f>
        <v>171.70123859866735</v>
      </c>
      <c r="BI4" s="62">
        <f ca="1">AVERAGE(OFFSET($BH$3,0,0,'Données projet'!$E$11+1,1))-AVERAGE(OFFSET($H$3,0,0,'Données projet'!$E$11+1,1))</f>
        <v>482.85256243111911</v>
      </c>
      <c r="BJ4" s="62">
        <f>$BJ$3</f>
        <v>517.78430032567064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3</v>
      </c>
      <c r="BY4" s="13">
        <f>IF('Données projet'!$A$114&gt;35,BY3+BX4-CG3,IF(A4&lt;'Données projet'!$A$114,$BV$205^A4,IF(A4='Données projet'!$A$114,'Données projet'!$B$114,BY3+BX4-CG3)))</f>
        <v>1.3480061545972777</v>
      </c>
      <c r="BZ4" s="14">
        <f>BY4*VLOOKUP('Données projet'!$B$12,Paramètres!$A$1:$I$89,3,0)*VLOOKUP('Données projet'!$B$12,Paramètres!$A$1:$I$89,5,0)</f>
        <v>0.80610768044917203</v>
      </c>
      <c r="CA4" s="14">
        <f>EXP(-1.0587+0.8836*LN(BZ4)+0.284)</f>
        <v>0.38092631183578585</v>
      </c>
      <c r="CB4" s="22">
        <f t="shared" ref="CB4:CB67" si="10">(BZ4+CA4)*0.475*44/12</f>
        <v>2.0674175365629677</v>
      </c>
      <c r="CC4" s="62">
        <f t="shared" ref="CC4:CC67" si="11">CB4+(BT4+BU4)*44/12</f>
        <v>169.87985148948681</v>
      </c>
      <c r="CD4" s="62">
        <f ca="1">AVERAGE(OFFSET($CC$3,0,0,'Données projet'!$E$12+1,1))-AVERAGE(OFFSET($H$3,0,0,'Données projet'!$E$12+1,1))</f>
        <v>275.76900776033335</v>
      </c>
      <c r="CE4" s="62">
        <f>$CE$3</f>
        <v>299.36898480605191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3.6111111111111112</v>
      </c>
      <c r="CT4" s="13">
        <f>IF('Données projet'!$A$140&gt;35,CT3+CS4-DB3,IF(A4&lt;'Données projet'!$A$140,$CQ$205^A4,IF(A4='Données projet'!$A$140,'Données projet'!$B$140,CT3+CS4-DB3)))</f>
        <v>3.6111111111111112</v>
      </c>
      <c r="CU4" s="18">
        <f>CT4*VLOOKUP('Données projet'!$B$13,Paramètres!$A$1:$I$89,3,0)*VLOOKUP('Données projet'!$B$13,Paramètres!$A$1:$I$89,5,0)</f>
        <v>3.9433333333333334</v>
      </c>
      <c r="CV4" s="14">
        <f>EXP(-1.0587+0.8836*LN(CU4)+0.284)</f>
        <v>1.5490200692378848</v>
      </c>
      <c r="CW4" s="22">
        <f t="shared" ref="CW4:CW67" si="13">(CU4+CV4)*0.475*44/12</f>
        <v>9.5658488428115387</v>
      </c>
      <c r="CX4" s="62">
        <f t="shared" ref="CX4:CX67" si="14">CW4+(CO4+CP4)*44/12</f>
        <v>177.37828279573537</v>
      </c>
      <c r="CY4" s="62">
        <f ca="1">AVERAGE(OFFSET($CX$3,0,0,'Données projet'!$E$13+1,1))-AVERAGE(OFFSET($H$3,0,0,'Données projet'!$E$13+1,1))</f>
        <v>482.24068797679558</v>
      </c>
      <c r="CZ4" s="62">
        <f>$CZ$3</f>
        <v>316.28941055521693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5.8666666666666663</v>
      </c>
      <c r="DO4" s="13">
        <f>IF('Données projet'!$A$166&gt;35,DO3+DN4-DW3,IF(A4&lt;'Données projet'!$A$166,$DL$205^A4,IF(A4='Données projet'!$A$166,'Données projet'!$B$166,DO3+DN4-DW3)))</f>
        <v>1.3478208741268516</v>
      </c>
      <c r="DP4" s="18">
        <f>DO4*VLOOKUP('Données projet'!$B$14,Paramètres!$A$1:$I$89,3,0)*VLOOKUP('Données projet'!$B$14,Paramètres!$A$1:$I$89,5,0)</f>
        <v>1.0933522930917021</v>
      </c>
      <c r="DQ4" s="14">
        <f>EXP(-1.0587+0.8836*LN(DP4)+0.284)</f>
        <v>0.49865537771254698</v>
      </c>
      <c r="DR4" s="22">
        <f t="shared" ref="DR4:DR67" si="16">(DP4+DQ4)*0.475*44/12</f>
        <v>2.7727466933174001</v>
      </c>
      <c r="DS4" s="62">
        <f t="shared" ref="DS4:DS67" si="17">DR4+(DJ4+DK4)*44/12</f>
        <v>170.58518064624124</v>
      </c>
      <c r="DT4" s="62">
        <f ca="1">AVERAGE(OFFSET($DS$3,0,0,'Données projet'!$E$14+1,1))-AVERAGE(OFFSET($H$3,0,0,'Données projet'!$E$14+1,1))</f>
        <v>325.58538970226539</v>
      </c>
      <c r="DU4" s="62">
        <f>$DU$3</f>
        <v>361.81085660423457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2.8888888888888888</v>
      </c>
      <c r="EJ4" s="13">
        <f>IF('Données projet'!$A$192&gt;35,EJ3+EI4-ER3,IF(A4&lt;'Données projet'!$A$192,$EG$205^A4,IF(A4='Données projet'!$A$192,'Données projet'!$B$192,EJ3+EI4-ER3)))</f>
        <v>2.8888888888888888</v>
      </c>
      <c r="EK4" s="18">
        <f>EJ4*VLOOKUP('Données projet'!$B$15,Paramètres!$A$1:$I$89,3,0)*VLOOKUP('Données projet'!$B$15,Paramètres!$A$1:$I$89,5,0)</f>
        <v>2.7941333333333334</v>
      </c>
      <c r="EL4" s="14">
        <f>EXP(-1.0587+0.8836*LN(EK4)+0.284)</f>
        <v>1.1424995185833389</v>
      </c>
      <c r="EM4" s="22">
        <f t="shared" ref="EM4:EM67" si="19">(EK4+EL4)*0.475*44/12</f>
        <v>6.8563022170882038</v>
      </c>
      <c r="EN4" s="62">
        <f t="shared" ref="EN4:EN67" si="20">EM4+(EE4+EF4)*44/12</f>
        <v>174.66873617001204</v>
      </c>
      <c r="EO4" s="62">
        <f ca="1">AVERAGE(OFFSET($EN$3,0,0,'Données projet'!$E$15+1,1))-AVERAGE(OFFSET($H$3,0,0,'Données projet'!$E$15+1,1))</f>
        <v>364.22267539944085</v>
      </c>
      <c r="EP4" s="62">
        <f>$EP$3</f>
        <v>241.947139538615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4.333333333333333</v>
      </c>
      <c r="FE4" s="13">
        <f>IF('Données projet'!$A$218&gt;35,FE3+FD4-FM3,IF(A4&lt;'Données projet'!$A$218,$FB$205^A4,IF(A4='Données projet'!$A$218,'Données projet'!$B$218,FE3+FD4-FM3)))</f>
        <v>1.3208724756526424</v>
      </c>
      <c r="FF4" s="18">
        <f>FE4*VLOOKUP('Données projet'!$B$16,Paramètres!$A$1:$I$89,3,0)*VLOOKUP('Données projet'!$B$16,Paramètres!$A$1:$I$89,5,0)</f>
        <v>1.1539141947301486</v>
      </c>
      <c r="FG4" s="14">
        <f>EXP(-1.0587+0.8836*LN(FF4)+0.284)</f>
        <v>0.52298421799329042</v>
      </c>
      <c r="FH4" s="22">
        <f t="shared" ref="FH4:FH67" si="22">(FF4+FG4)*0.475*44/12</f>
        <v>2.9205980688266564</v>
      </c>
      <c r="FI4" s="62">
        <f t="shared" ref="FI4:FI67" si="23">FH4+(EZ4+FA4)*44/12</f>
        <v>170.73303202175049</v>
      </c>
      <c r="FJ4" s="62">
        <f ca="1">AVERAGE(OFFSET($FI$3,0,0,'Données projet'!$E$16+1,1))-AVERAGE(OFFSET($H$3,0,0,'Données projet'!$E$16+1,1))</f>
        <v>286.59837239471312</v>
      </c>
      <c r="FK4" s="62">
        <f>$FK$3</f>
        <v>319.26091328564689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5.8666666666666663</v>
      </c>
      <c r="FZ4" s="13">
        <f>IF('Données projet'!$A$244&gt;35,FZ3+FY4-GH3,IF(A4&lt;'Données projet'!$A$244,$FW$205^A4,IF(A4='Données projet'!$A$244,'Données projet'!$B$244,FZ3+FY4-GH3)))</f>
        <v>1.3478208741268516</v>
      </c>
      <c r="GA4" s="18">
        <f>FZ4*VLOOKUP('Données projet'!$B$17,Paramètres!$A$1:$I$89,3,0)*VLOOKUP('Données projet'!$B$17,Paramètres!$A$1:$I$89,5,0)</f>
        <v>0.90411824236429206</v>
      </c>
      <c r="GB4" s="14">
        <f>EXP(-1.0587+0.8836*LN(GA4)+0.284)</f>
        <v>0.42157289477147414</v>
      </c>
      <c r="GC4" s="22">
        <f t="shared" ref="GC4:GC67" si="25">(GA4+GB4)*0.475*44/12</f>
        <v>2.3089120638447924</v>
      </c>
      <c r="GD4" s="62">
        <f t="shared" ref="GD4:GD67" si="26">GC4+(FU4+FV4)*44/12</f>
        <v>170.12134601676863</v>
      </c>
      <c r="GE4" s="62">
        <f ca="1">AVERAGE(OFFSET($GD$3,0,0,'Données projet'!$E$17+1,1))-AVERAGE(OFFSET($H$3,0,0,'Données projet'!$E$17+1,1))</f>
        <v>277.37570531842186</v>
      </c>
      <c r="GF4" s="62">
        <f>$GF$3</f>
        <v>310.00874200911312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projet'!$B$17,Paramètres!$A$1:$I$89,3,0)*0.475*44/12</f>
        <v>0</v>
      </c>
      <c r="GM4" s="23">
        <f>EXP(-LN(2)/25)*GM3+(1-EXP(-LN(2)/25))/(LN(2)/25)*Calculateur!GH4*Calculateur!GJ4*VLOOKUP('Données projet'!$B$17,Paramètres!$A$1:$I$89,3,0)*0.475*44/12</f>
        <v>0</v>
      </c>
      <c r="GN4" s="23">
        <f>EXP(-LN(2)/2)*GN3+(1-EXP(-LN(2)/2))/(LN(2)/2)*GH4*GK4*VLOOKUP('Données projet'!$B$17,Paramètres!$A$1:$I$89,3,0)*0.475*44/12</f>
        <v>0</v>
      </c>
      <c r="GO4" s="23">
        <f t="shared" ref="GO4:GO67" si="27">SUM(GL4:GN4)</f>
        <v>0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3.6111111111111112</v>
      </c>
      <c r="N5" s="14">
        <f>IF('Données projet'!$A$36&gt;35,N4+M5-V4,IF(A5&lt;'Données projet'!$A$36,$K$205^A5,IF(A5='Données projet'!$A$36,'Données projet'!$B$36,N4+M5-V4)))</f>
        <v>7.2222222222222223</v>
      </c>
      <c r="O5" s="14">
        <f>N5*VLOOKUP('Données projet'!$B$9,Paramètres!$A$1:$I$89,3,0)*VLOOKUP('Données projet'!$B$9,Paramètres!$A$1:$I$89,5,0)</f>
        <v>6.3093333333333348</v>
      </c>
      <c r="P5" s="14">
        <f t="shared" ref="P5:P68" si="33">EXP(-1.0587+0.8836*LN(O5)+0.284)</f>
        <v>2.3464832651836938</v>
      </c>
      <c r="Q5" s="22">
        <f t="shared" si="2"/>
        <v>15.075547242417157</v>
      </c>
      <c r="R5" s="62">
        <f t="shared" si="0"/>
        <v>185.67282852991798</v>
      </c>
      <c r="S5" s="62">
        <f ca="1">AVERAGE(OFFSET($R$3,0,0,'Données projet'!$E$9+1,1))-AVERAGE(OFFSET($H$3,0,0,'Données projet'!$E$9+1,1))</f>
        <v>401.34220206028908</v>
      </c>
      <c r="T5" s="62">
        <f t="shared" ref="T5:T68" si="34">$T$3</f>
        <v>265.33314259106987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5.75</v>
      </c>
      <c r="AI5" s="14">
        <f>IF('Données projet'!$A$62&gt;35,AI4+AH5-AQ4,IF(A5&lt;'Données projet'!$A$62,$AF$205^A5,IF(A5='Données projet'!$A$62,'Données projet'!$B$62,AI4+AH5-AQ4)))</f>
        <v>1.6071994829923508</v>
      </c>
      <c r="AJ5" s="14">
        <f>AI5*VLOOKUP('Données projet'!$B$10,Paramètres!$A$1:$I$89,3,0)*VLOOKUP('Données projet'!$B$10,Paramètres!$A$1:$I$89,5,0)</f>
        <v>0.75216935804042018</v>
      </c>
      <c r="AK5" s="14">
        <f t="shared" ref="AK5:AK68" si="35">EXP(-1.0587+0.8836*LN(AJ5)+0.284)</f>
        <v>0.35831464735172275</v>
      </c>
      <c r="AL5" s="22">
        <f t="shared" si="4"/>
        <v>1.9340929760579824</v>
      </c>
      <c r="AM5" s="62">
        <f t="shared" si="5"/>
        <v>172.5313742635588</v>
      </c>
      <c r="AN5" s="62">
        <f ca="1">AVERAGE(OFFSET($AM$3,0,0,'Données projet'!$E$10+1,1))-AVERAGE(OFFSET($H$3,0,0,'Données projet'!$E$10+1,1))</f>
        <v>253.48761861464732</v>
      </c>
      <c r="AO5" s="62">
        <f t="shared" ref="AO5:AO68" si="36">$AO$3</f>
        <v>219.50855998133855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3</v>
      </c>
      <c r="BD5" s="13">
        <f>IF('Données projet'!$A$88&gt;35,BD4+BC5-BL4,IF(A5&lt;'Données projet'!$A$88,$BA$205^A5,IF(A5='Données projet'!$A$88,'Données projet'!$B$88,BD4+BC5-BL4)))</f>
        <v>1.8171205928321397</v>
      </c>
      <c r="BE5" s="14">
        <f>BD5*VLOOKUP('Données projet'!$B$11,Paramètres!$A$1:$I$89,3,0)*VLOOKUP('Données projet'!$B$11,Paramètres!$A$1:$I$89,5,0)</f>
        <v>2.0933229229426247</v>
      </c>
      <c r="BF5" s="14">
        <f t="shared" ref="BF5:BF68" si="37">EXP(-1.0587+0.8836*LN(BE5)+0.284)</f>
        <v>0.88520316285498124</v>
      </c>
      <c r="BG5" s="22">
        <f t="shared" si="7"/>
        <v>5.1875995994308299</v>
      </c>
      <c r="BH5" s="62">
        <f t="shared" si="8"/>
        <v>175.78488088693166</v>
      </c>
      <c r="BI5" s="62">
        <f ca="1">AVERAGE(OFFSET($BH$3,0,0,'Données projet'!$E$11+1,1))-AVERAGE(OFFSET($H$3,0,0,'Données projet'!$E$11+1,1))</f>
        <v>482.85256243111911</v>
      </c>
      <c r="BJ5" s="62">
        <f t="shared" ref="BJ5:BJ68" si="38">$BJ$3</f>
        <v>517.78430032567064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3</v>
      </c>
      <c r="BY5" s="13">
        <f>IF('Données projet'!$A$114&gt;35,BY4+BX5-CG4,IF(A5&lt;'Données projet'!$A$114,$BV$205^A5,IF(A5='Données projet'!$A$114,'Données projet'!$B$114,BY4+BX5-CG4)))</f>
        <v>1.8171205928321397</v>
      </c>
      <c r="BZ5" s="14">
        <f>BY5*VLOOKUP('Données projet'!$B$12,Paramètres!$A$1:$I$89,3,0)*VLOOKUP('Données projet'!$B$12,Paramètres!$A$1:$I$89,5,0)</f>
        <v>1.0866381145136197</v>
      </c>
      <c r="CA5" s="14">
        <f t="shared" ref="CA5:CA68" si="39">EXP(-1.0587+0.8836*LN(BZ5)+0.284)</f>
        <v>0.49594865026181029</v>
      </c>
      <c r="CB5" s="22">
        <f t="shared" si="10"/>
        <v>2.7563386153172069</v>
      </c>
      <c r="CC5" s="62">
        <f t="shared" si="11"/>
        <v>173.35361990281805</v>
      </c>
      <c r="CD5" s="62">
        <f ca="1">AVERAGE(OFFSET($CC$3,0,0,'Données projet'!$E$12+1,1))-AVERAGE(OFFSET($H$3,0,0,'Données projet'!$E$12+1,1))</f>
        <v>275.76900776033335</v>
      </c>
      <c r="CE5" s="62">
        <f t="shared" ref="CE5:CE68" si="40">$CE$3</f>
        <v>299.36898480605191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3.6111111111111112</v>
      </c>
      <c r="CT5" s="13">
        <f>IF('Données projet'!$A$140&gt;35,CT4+CS5-DB4,IF(A5&lt;'Données projet'!$A$140,$CQ$205^A5,IF(A5='Données projet'!$A$140,'Données projet'!$B$140,CT4+CS5-DB4)))</f>
        <v>7.2222222222222223</v>
      </c>
      <c r="CU5" s="18">
        <f>CT5*VLOOKUP('Données projet'!$B$13,Paramètres!$A$1:$I$89,3,0)*VLOOKUP('Données projet'!$B$13,Paramètres!$A$1:$I$89,5,0)</f>
        <v>7.8866666666666667</v>
      </c>
      <c r="CV5" s="14">
        <f t="shared" ref="CV5:CV68" si="41">EXP(-1.0587+0.8836*LN(CU5)+0.284)</f>
        <v>2.8579007915111516</v>
      </c>
      <c r="CW5" s="22">
        <f t="shared" si="13"/>
        <v>18.713454989659699</v>
      </c>
      <c r="CX5" s="62">
        <f t="shared" si="14"/>
        <v>189.31073627716054</v>
      </c>
      <c r="CY5" s="62">
        <f ca="1">AVERAGE(OFFSET($CX$3,0,0,'Données projet'!$E$13+1,1))-AVERAGE(OFFSET($H$3,0,0,'Données projet'!$E$13+1,1))</f>
        <v>482.24068797679558</v>
      </c>
      <c r="CZ5" s="62">
        <f t="shared" ref="CZ5:CZ68" si="42">$CZ$3</f>
        <v>316.28941055521693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5.8666666666666663</v>
      </c>
      <c r="DO5" s="13">
        <f>IF('Données projet'!$A$166&gt;35,DO4+DN5-DW4,IF(A5&lt;'Données projet'!$A$166,$DL$205^A5,IF(A5='Données projet'!$A$166,'Données projet'!$B$166,DO4+DN5-DW4)))</f>
        <v>1.8166211087320703</v>
      </c>
      <c r="DP5" s="18">
        <f>DO5*VLOOKUP('Données projet'!$B$14,Paramètres!$A$1:$I$89,3,0)*VLOOKUP('Données projet'!$B$14,Paramètres!$A$1:$I$89,5,0)</f>
        <v>1.4736430434034555</v>
      </c>
      <c r="DQ5" s="14">
        <f t="shared" ref="DQ5:DQ68" si="43">EXP(-1.0587+0.8836*LN(DP5)+0.284)</f>
        <v>0.6491476655385533</v>
      </c>
      <c r="DR5" s="22">
        <f t="shared" si="16"/>
        <v>3.6971938180739983</v>
      </c>
      <c r="DS5" s="62">
        <f t="shared" si="17"/>
        <v>174.29447510557483</v>
      </c>
      <c r="DT5" s="62">
        <f ca="1">AVERAGE(OFFSET($DS$3,0,0,'Données projet'!$E$14+1,1))-AVERAGE(OFFSET($H$3,0,0,'Données projet'!$E$14+1,1))</f>
        <v>325.58538970226539</v>
      </c>
      <c r="DU5" s="62">
        <f t="shared" ref="DU5:DU68" si="44">$DU$3</f>
        <v>361.81085660423457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2.8888888888888888</v>
      </c>
      <c r="EJ5" s="13">
        <f>IF('Données projet'!$A$192&gt;35,EJ4+EI5-ER4,IF(A5&lt;'Données projet'!$A$192,$EG$205^A5,IF(A5='Données projet'!$A$192,'Données projet'!$B$192,EJ4+EI5-ER4)))</f>
        <v>5.7777777777777777</v>
      </c>
      <c r="EK5" s="18">
        <f>EJ5*VLOOKUP('Données projet'!$B$15,Paramètres!$A$1:$I$89,3,0)*VLOOKUP('Données projet'!$B$15,Paramètres!$A$1:$I$89,5,0)</f>
        <v>5.5882666666666667</v>
      </c>
      <c r="EL5" s="14">
        <f t="shared" ref="EL5:EL68" si="45">EXP(-1.0587+0.8836*LN(EK5)+0.284)</f>
        <v>2.1078811974765967</v>
      </c>
      <c r="EM5" s="22">
        <f t="shared" si="19"/>
        <v>13.404124196716184</v>
      </c>
      <c r="EN5" s="62">
        <f t="shared" si="20"/>
        <v>184.00140548421703</v>
      </c>
      <c r="EO5" s="62">
        <f ca="1">AVERAGE(OFFSET($EN$3,0,0,'Données projet'!$E$15+1,1))-AVERAGE(OFFSET($H$3,0,0,'Données projet'!$E$15+1,1))</f>
        <v>364.22267539944085</v>
      </c>
      <c r="EP5" s="62">
        <f t="shared" ref="EP5:EP68" si="46">$EP$3</f>
        <v>241.947139538615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4.333333333333333</v>
      </c>
      <c r="FE5" s="13">
        <f>IF('Données projet'!$A$218&gt;35,FE4+FD5-FM4,IF(A5&lt;'Données projet'!$A$218,$FB$205^A5,IF(A5='Données projet'!$A$218,'Données projet'!$B$218,FE4+FD5-FM4)))</f>
        <v>1.7447040969367404</v>
      </c>
      <c r="FF5" s="18">
        <f>FE5*VLOOKUP('Données projet'!$B$16,Paramètres!$A$1:$I$89,3,0)*VLOOKUP('Données projet'!$B$16,Paramètres!$A$1:$I$89,5,0)</f>
        <v>1.5241734990839366</v>
      </c>
      <c r="FG5" s="14">
        <f t="shared" ref="FG5:FG68" si="47">EXP(-1.0587+0.8836*LN(FF5)+0.284)</f>
        <v>0.66877690363385434</v>
      </c>
      <c r="FH5" s="22">
        <f t="shared" si="22"/>
        <v>3.8193886180668186</v>
      </c>
      <c r="FI5" s="62">
        <f t="shared" si="23"/>
        <v>174.41666990556766</v>
      </c>
      <c r="FJ5" s="62">
        <f ca="1">AVERAGE(OFFSET($FI$3,0,0,'Données projet'!$E$16+1,1))-AVERAGE(OFFSET($H$3,0,0,'Données projet'!$E$16+1,1))</f>
        <v>286.59837239471312</v>
      </c>
      <c r="FK5" s="62">
        <f t="shared" ref="FK5:FK68" si="48">$FK$3</f>
        <v>319.26091328564689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5.8666666666666663</v>
      </c>
      <c r="FZ5" s="13">
        <f>IF('Données projet'!$A$244&gt;35,FZ4+FY5-GH4,IF(A5&lt;'Données projet'!$A$244,$FW$205^A5,IF(A5='Données projet'!$A$244,'Données projet'!$B$244,FZ4+FY5-GH4)))</f>
        <v>1.8166211087320703</v>
      </c>
      <c r="GA5" s="18">
        <f>FZ5*VLOOKUP('Données projet'!$B$17,Paramètres!$A$1:$I$89,3,0)*VLOOKUP('Données projet'!$B$17,Paramètres!$A$1:$I$89,5,0)</f>
        <v>1.2185894397374728</v>
      </c>
      <c r="GB5" s="14">
        <f t="shared" ref="GB5:GB68" si="49">EXP(-1.0587+0.8836*LN(GA5)+0.284)</f>
        <v>0.54880198374795719</v>
      </c>
      <c r="GC5" s="22">
        <f t="shared" si="25"/>
        <v>3.0782067292371238</v>
      </c>
      <c r="GD5" s="62">
        <f t="shared" si="26"/>
        <v>173.67548801673797</v>
      </c>
      <c r="GE5" s="62">
        <f ca="1">AVERAGE(OFFSET($GD$3,0,0,'Données projet'!$E$17+1,1))-AVERAGE(OFFSET($H$3,0,0,'Données projet'!$E$17+1,1))</f>
        <v>277.37570531842186</v>
      </c>
      <c r="GF5" s="62">
        <f t="shared" ref="GF5:GF68" si="50">$GF$3</f>
        <v>310.00874200911312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projet'!$B$17,Paramètres!$A$1:$I$89,3,0)*0.475*44/12</f>
        <v>0</v>
      </c>
      <c r="GM5" s="23">
        <f>EXP(-LN(2)/25)*GM4+(1-EXP(-LN(2)/25))/(LN(2)/25)*Calculateur!GH5*Calculateur!GJ5*VLOOKUP('Données projet'!$B$17,Paramètres!$A$1:$I$89,3,0)*0.475*44/12</f>
        <v>0</v>
      </c>
      <c r="GN5" s="23">
        <f>EXP(-LN(2)/2)*GN4+(1-EXP(-LN(2)/2))/(LN(2)/2)*GH5*GK5*VLOOKUP('Données projet'!$B$17,Paramètres!$A$1:$I$89,3,0)*0.475*44/12</f>
        <v>0</v>
      </c>
      <c r="GO5" s="23">
        <f t="shared" si="27"/>
        <v>0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3.6111111111111112</v>
      </c>
      <c r="N6" s="14">
        <f>IF('Données projet'!$A$36&gt;35,N5+M6-V5,IF(A6&lt;'Données projet'!$A$36,$K$205^A6,IF(A6='Données projet'!$A$36,'Données projet'!$B$36,N5+M6-V5)))</f>
        <v>10.833333333333334</v>
      </c>
      <c r="O6" s="14">
        <f>N6*VLOOKUP('Données projet'!$B$9,Paramètres!$A$1:$I$89,3,0)*VLOOKUP('Données projet'!$B$9,Paramètres!$A$1:$I$89,5,0)</f>
        <v>9.4640000000000022</v>
      </c>
      <c r="P6" s="14">
        <f t="shared" si="33"/>
        <v>3.3574665746279604</v>
      </c>
      <c r="Q6" s="22">
        <f t="shared" si="2"/>
        <v>22.33072095081037</v>
      </c>
      <c r="R6" s="62">
        <f t="shared" si="0"/>
        <v>195.68574152069525</v>
      </c>
      <c r="S6" s="62">
        <f ca="1">AVERAGE(OFFSET($R$3,0,0,'Données projet'!$E$9+1,1))-AVERAGE(OFFSET($H$3,0,0,'Données projet'!$E$9+1,1))</f>
        <v>401.34220206028908</v>
      </c>
      <c r="T6" s="62">
        <f t="shared" si="34"/>
        <v>265.33314259106987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5.75</v>
      </c>
      <c r="AI6" s="14">
        <f>IF('Données projet'!$A$62&gt;35,AI5+AH6-AQ5,IF(A6&lt;'Données projet'!$A$62,$AF$205^A6,IF(A6='Données projet'!$A$62,'Données projet'!$B$62,AI5+AH6-AQ5)))</f>
        <v>2.0375331160043926</v>
      </c>
      <c r="AJ6" s="14">
        <f>AI6*VLOOKUP('Données projet'!$B$10,Paramètres!$A$1:$I$89,3,0)*VLOOKUP('Données projet'!$B$10,Paramètres!$A$1:$I$89,5,0)</f>
        <v>0.95356549829005577</v>
      </c>
      <c r="AK6" s="14">
        <f t="shared" si="35"/>
        <v>0.44188187933534279</v>
      </c>
      <c r="AL6" s="22">
        <f t="shared" si="4"/>
        <v>2.4304041826975693</v>
      </c>
      <c r="AM6" s="62">
        <f t="shared" si="5"/>
        <v>175.78542475258246</v>
      </c>
      <c r="AN6" s="62">
        <f ca="1">AVERAGE(OFFSET($AM$3,0,0,'Données projet'!$E$10+1,1))-AVERAGE(OFFSET($H$3,0,0,'Données projet'!$E$10+1,1))</f>
        <v>253.48761861464732</v>
      </c>
      <c r="AO6" s="62">
        <f t="shared" si="36"/>
        <v>219.50855998133855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3</v>
      </c>
      <c r="BD6" s="13">
        <f>IF('Données projet'!$A$88&gt;35,BD5+BC6-BL5,IF(A6&lt;'Données projet'!$A$88,$BA$205^A6,IF(A6='Données projet'!$A$88,'Données projet'!$B$88,BD5+BC6-BL5)))</f>
        <v>2.4494897427831783</v>
      </c>
      <c r="BE6" s="14">
        <f>BD6*VLOOKUP('Données projet'!$B$11,Paramètres!$A$1:$I$89,3,0)*VLOOKUP('Données projet'!$B$11,Paramètres!$A$1:$I$89,5,0)</f>
        <v>2.8218121836862209</v>
      </c>
      <c r="BF6" s="14">
        <f t="shared" si="37"/>
        <v>1.1524940656099103</v>
      </c>
      <c r="BG6" s="22">
        <f t="shared" si="7"/>
        <v>6.9219167175240948</v>
      </c>
      <c r="BH6" s="62">
        <f t="shared" si="8"/>
        <v>180.27693728740897</v>
      </c>
      <c r="BI6" s="62">
        <f ca="1">AVERAGE(OFFSET($BH$3,0,0,'Données projet'!$E$11+1,1))-AVERAGE(OFFSET($H$3,0,0,'Données projet'!$E$11+1,1))</f>
        <v>482.85256243111911</v>
      </c>
      <c r="BJ6" s="62">
        <f t="shared" si="38"/>
        <v>517.78430032567064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3</v>
      </c>
      <c r="BY6" s="13">
        <f>IF('Données projet'!$A$114&gt;35,BY5+BX6-CG5,IF(A6&lt;'Données projet'!$A$114,$BV$205^A6,IF(A6='Données projet'!$A$114,'Données projet'!$B$114,BY5+BX6-CG5)))</f>
        <v>2.4494897427831783</v>
      </c>
      <c r="BZ6" s="14">
        <f>BY6*VLOOKUP('Données projet'!$B$12,Paramètres!$A$1:$I$89,3,0)*VLOOKUP('Données projet'!$B$12,Paramètres!$A$1:$I$89,5,0)</f>
        <v>1.4647948661843406</v>
      </c>
      <c r="CA6" s="14">
        <f t="shared" si="39"/>
        <v>0.64570247854798968</v>
      </c>
      <c r="CB6" s="22">
        <f t="shared" si="10"/>
        <v>3.6757828754088084</v>
      </c>
      <c r="CC6" s="62">
        <f t="shared" si="11"/>
        <v>177.03080344529369</v>
      </c>
      <c r="CD6" s="62">
        <f ca="1">AVERAGE(OFFSET($CC$3,0,0,'Données projet'!$E$12+1,1))-AVERAGE(OFFSET($H$3,0,0,'Données projet'!$E$12+1,1))</f>
        <v>275.76900776033335</v>
      </c>
      <c r="CE6" s="62">
        <f t="shared" si="40"/>
        <v>299.36898480605191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3.6111111111111112</v>
      </c>
      <c r="CT6" s="13">
        <f>IF('Données projet'!$A$140&gt;35,CT5+CS6-DB5,IF(A6&lt;'Données projet'!$A$140,$CQ$205^A6,IF(A6='Données projet'!$A$140,'Données projet'!$B$140,CT5+CS6-DB5)))</f>
        <v>10.833333333333334</v>
      </c>
      <c r="CU6" s="18">
        <f>CT6*VLOOKUP('Données projet'!$B$13,Paramètres!$A$1:$I$89,3,0)*VLOOKUP('Données projet'!$B$13,Paramètres!$A$1:$I$89,5,0)</f>
        <v>11.83</v>
      </c>
      <c r="CV6" s="14">
        <f t="shared" si="41"/>
        <v>4.0892285589559991</v>
      </c>
      <c r="CW6" s="22">
        <f t="shared" si="13"/>
        <v>27.725989740181699</v>
      </c>
      <c r="CX6" s="62">
        <f t="shared" si="14"/>
        <v>201.08101031006657</v>
      </c>
      <c r="CY6" s="62">
        <f ca="1">AVERAGE(OFFSET($CX$3,0,0,'Données projet'!$E$13+1,1))-AVERAGE(OFFSET($H$3,0,0,'Données projet'!$E$13+1,1))</f>
        <v>482.24068797679558</v>
      </c>
      <c r="CZ6" s="62">
        <f t="shared" si="42"/>
        <v>316.28941055521693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5.8666666666666663</v>
      </c>
      <c r="DO6" s="13">
        <f>IF('Données projet'!$A$166&gt;35,DO5+DN6-DW5,IF(A6&lt;'Données projet'!$A$166,$DL$205^A6,IF(A6='Données projet'!$A$166,'Données projet'!$B$166,DO5+DN6-DW5)))</f>
        <v>2.4484798507285492</v>
      </c>
      <c r="DP6" s="18">
        <f>DO6*VLOOKUP('Données projet'!$B$14,Paramètres!$A$1:$I$89,3,0)*VLOOKUP('Données projet'!$B$14,Paramètres!$A$1:$I$89,5,0)</f>
        <v>1.986206854910999</v>
      </c>
      <c r="DQ6" s="14">
        <f t="shared" si="43"/>
        <v>0.84505795085813329</v>
      </c>
      <c r="DR6" s="22">
        <f t="shared" si="16"/>
        <v>4.9311195367145713</v>
      </c>
      <c r="DS6" s="62">
        <f t="shared" si="17"/>
        <v>178.28614010659945</v>
      </c>
      <c r="DT6" s="62">
        <f ca="1">AVERAGE(OFFSET($DS$3,0,0,'Données projet'!$E$14+1,1))-AVERAGE(OFFSET($H$3,0,0,'Données projet'!$E$14+1,1))</f>
        <v>325.58538970226539</v>
      </c>
      <c r="DU6" s="62">
        <f t="shared" si="44"/>
        <v>361.81085660423457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2.8888888888888888</v>
      </c>
      <c r="EJ6" s="13">
        <f>IF('Données projet'!$A$192&gt;35,EJ5+EI6-ER5,IF(A6&lt;'Données projet'!$A$192,$EG$205^A6,IF(A6='Données projet'!$A$192,'Données projet'!$B$192,EJ5+EI6-ER5)))</f>
        <v>8.6666666666666661</v>
      </c>
      <c r="EK6" s="18">
        <f>EJ6*VLOOKUP('Données projet'!$B$15,Paramètres!$A$1:$I$89,3,0)*VLOOKUP('Données projet'!$B$15,Paramètres!$A$1:$I$89,5,0)</f>
        <v>8.3824000000000005</v>
      </c>
      <c r="EL6" s="14">
        <f t="shared" si="45"/>
        <v>3.0160627049093405</v>
      </c>
      <c r="EM6" s="22">
        <f t="shared" si="19"/>
        <v>19.852322544383771</v>
      </c>
      <c r="EN6" s="62">
        <f t="shared" si="20"/>
        <v>193.20734311426867</v>
      </c>
      <c r="EO6" s="62">
        <f ca="1">AVERAGE(OFFSET($EN$3,0,0,'Données projet'!$E$15+1,1))-AVERAGE(OFFSET($H$3,0,0,'Données projet'!$E$15+1,1))</f>
        <v>364.22267539944085</v>
      </c>
      <c r="EP6" s="62">
        <f t="shared" si="46"/>
        <v>241.947139538615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4.333333333333333</v>
      </c>
      <c r="FE6" s="13">
        <f>IF('Données projet'!$A$218&gt;35,FE5+FD6-FM5,IF(A6&lt;'Données projet'!$A$218,$FB$205^A6,IF(A6='Données projet'!$A$218,'Données projet'!$B$218,FE5+FD6-FM5)))</f>
        <v>2.3045316198021402</v>
      </c>
      <c r="FF6" s="18">
        <f>FE6*VLOOKUP('Données projet'!$B$16,Paramètres!$A$1:$I$89,3,0)*VLOOKUP('Données projet'!$B$16,Paramètres!$A$1:$I$89,5,0)</f>
        <v>2.01323882305915</v>
      </c>
      <c r="FG6" s="14">
        <f t="shared" si="47"/>
        <v>0.85521232084258414</v>
      </c>
      <c r="FH6" s="22">
        <f t="shared" si="22"/>
        <v>4.9958857422955205</v>
      </c>
      <c r="FI6" s="62">
        <f t="shared" si="23"/>
        <v>178.3509063121804</v>
      </c>
      <c r="FJ6" s="62">
        <f ca="1">AVERAGE(OFFSET($FI$3,0,0,'Données projet'!$E$16+1,1))-AVERAGE(OFFSET($H$3,0,0,'Données projet'!$E$16+1,1))</f>
        <v>286.59837239471312</v>
      </c>
      <c r="FK6" s="62">
        <f t="shared" si="48"/>
        <v>319.26091328564689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5.8666666666666663</v>
      </c>
      <c r="FZ6" s="13">
        <f>IF('Données projet'!$A$244&gt;35,FZ5+FY6-GH5,IF(A6&lt;'Données projet'!$A$244,$FW$205^A6,IF(A6='Données projet'!$A$244,'Données projet'!$B$244,FZ5+FY6-GH5)))</f>
        <v>2.4484798507285492</v>
      </c>
      <c r="GA6" s="18">
        <f>FZ6*VLOOKUP('Données projet'!$B$17,Paramètres!$A$1:$I$89,3,0)*VLOOKUP('Données projet'!$B$17,Paramètres!$A$1:$I$89,5,0)</f>
        <v>1.6424402838687111</v>
      </c>
      <c r="GB6" s="14">
        <f t="shared" si="49"/>
        <v>0.71442832568483416</v>
      </c>
      <c r="GC6" s="22">
        <f t="shared" si="25"/>
        <v>4.1048794949724252</v>
      </c>
      <c r="GD6" s="62">
        <f t="shared" si="26"/>
        <v>177.45990006485732</v>
      </c>
      <c r="GE6" s="62">
        <f ca="1">AVERAGE(OFFSET($GD$3,0,0,'Données projet'!$E$17+1,1))-AVERAGE(OFFSET($H$3,0,0,'Données projet'!$E$17+1,1))</f>
        <v>277.37570531842186</v>
      </c>
      <c r="GF6" s="62">
        <f t="shared" si="50"/>
        <v>310.00874200911312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projet'!$B$17,Paramètres!$A$1:$I$89,3,0)*0.475*44/12</f>
        <v>0</v>
      </c>
      <c r="GM6" s="23">
        <f>EXP(-LN(2)/25)*GM5+(1-EXP(-LN(2)/25))/(LN(2)/25)*Calculateur!GH6*Calculateur!GJ6*VLOOKUP('Données projet'!$B$17,Paramètres!$A$1:$I$89,3,0)*0.475*44/12</f>
        <v>0</v>
      </c>
      <c r="GN6" s="23">
        <f>EXP(-LN(2)/2)*GN5+(1-EXP(-LN(2)/2))/(LN(2)/2)*GH6*GK6*VLOOKUP('Données projet'!$B$17,Paramètres!$A$1:$I$89,3,0)*0.475*44/12</f>
        <v>0</v>
      </c>
      <c r="GO6" s="23">
        <f t="shared" si="27"/>
        <v>0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3.6111111111111112</v>
      </c>
      <c r="N7" s="14">
        <f>IF('Données projet'!$A$36&gt;35,N6+M7-V6,IF(A7&lt;'Données projet'!$A$36,$K$205^A7,IF(A7='Données projet'!$A$36,'Données projet'!$B$36,N6+M7-V6)))</f>
        <v>14.444444444444445</v>
      </c>
      <c r="O7" s="14">
        <f>N7*VLOOKUP('Données projet'!$B$9,Paramètres!$A$1:$I$89,3,0)*VLOOKUP('Données projet'!$B$9,Paramètres!$A$1:$I$89,5,0)</f>
        <v>12.61866666666667</v>
      </c>
      <c r="P7" s="14">
        <f t="shared" si="33"/>
        <v>4.3291991588821039</v>
      </c>
      <c r="Q7" s="22">
        <f t="shared" si="2"/>
        <v>29.517532979497449</v>
      </c>
      <c r="R7" s="62">
        <f t="shared" si="0"/>
        <v>205.60365504367439</v>
      </c>
      <c r="S7" s="62">
        <f ca="1">AVERAGE(OFFSET($R$3,0,0,'Données projet'!$E$9+1,1))-AVERAGE(OFFSET($H$3,0,0,'Données projet'!$E$9+1,1))</f>
        <v>401.34220206028908</v>
      </c>
      <c r="T7" s="62">
        <f t="shared" si="34"/>
        <v>265.33314259106987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5.75</v>
      </c>
      <c r="AI7" s="14">
        <f>IF('Données projet'!$A$62&gt;35,AI6+AH7-AQ6,IF(A7&lt;'Données projet'!$A$62,$AF$205^A7,IF(A7='Données projet'!$A$62,'Données projet'!$B$62,AI6+AH7-AQ6)))</f>
        <v>2.5830901781308797</v>
      </c>
      <c r="AJ7" s="14">
        <f>AI7*VLOOKUP('Données projet'!$B$10,Paramètres!$A$1:$I$89,3,0)*VLOOKUP('Données projet'!$B$10,Paramètres!$A$1:$I$89,5,0)</f>
        <v>1.2088862033652517</v>
      </c>
      <c r="AK7" s="14">
        <f t="shared" si="35"/>
        <v>0.54493891535856476</v>
      </c>
      <c r="AL7" s="22">
        <f t="shared" si="4"/>
        <v>3.0545787484439804</v>
      </c>
      <c r="AM7" s="62">
        <f t="shared" si="5"/>
        <v>179.14070081262093</v>
      </c>
      <c r="AN7" s="62">
        <f ca="1">AVERAGE(OFFSET($AM$3,0,0,'Données projet'!$E$10+1,1))-AVERAGE(OFFSET($H$3,0,0,'Données projet'!$E$10+1,1))</f>
        <v>253.48761861464732</v>
      </c>
      <c r="AO7" s="62">
        <f t="shared" si="36"/>
        <v>219.50855998133855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3</v>
      </c>
      <c r="BD7" s="13">
        <f>IF('Données projet'!$A$88&gt;35,BD6+BC7-BL6,IF(A7&lt;'Données projet'!$A$88,$BA$205^A7,IF(A7='Données projet'!$A$88,'Données projet'!$B$88,BD6+BC7-BL6)))</f>
        <v>3.3019272488946267</v>
      </c>
      <c r="BE7" s="14">
        <f>BD7*VLOOKUP('Données projet'!$B$11,Paramètres!$A$1:$I$89,3,0)*VLOOKUP('Données projet'!$B$11,Paramètres!$A$1:$I$89,5,0)</f>
        <v>3.8038201907266096</v>
      </c>
      <c r="BF7" s="14">
        <f t="shared" si="37"/>
        <v>1.5004946062124045</v>
      </c>
      <c r="BG7" s="22">
        <f t="shared" si="7"/>
        <v>9.2383482713354486</v>
      </c>
      <c r="BH7" s="62">
        <f t="shared" si="8"/>
        <v>185.32447033551239</v>
      </c>
      <c r="BI7" s="62">
        <f ca="1">AVERAGE(OFFSET($BH$3,0,0,'Données projet'!$E$11+1,1))-AVERAGE(OFFSET($H$3,0,0,'Données projet'!$E$11+1,1))</f>
        <v>482.85256243111911</v>
      </c>
      <c r="BJ7" s="62">
        <f t="shared" si="38"/>
        <v>517.78430032567064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3</v>
      </c>
      <c r="BY7" s="13">
        <f>IF('Données projet'!$A$114&gt;35,BY6+BX7-CG6,IF(A7&lt;'Données projet'!$A$114,$BV$205^A7,IF(A7='Données projet'!$A$114,'Données projet'!$B$114,BY6+BX7-CG6)))</f>
        <v>3.3019272488946267</v>
      </c>
      <c r="BZ7" s="14">
        <f>BY7*VLOOKUP('Données projet'!$B$12,Paramètres!$A$1:$I$89,3,0)*VLOOKUP('Données projet'!$B$12,Paramètres!$A$1:$I$89,5,0)</f>
        <v>1.974552494838987</v>
      </c>
      <c r="CA7" s="14">
        <f t="shared" si="39"/>
        <v>0.84067511945625772</v>
      </c>
      <c r="CB7" s="22">
        <f t="shared" si="10"/>
        <v>4.9031880948975504</v>
      </c>
      <c r="CC7" s="62">
        <f t="shared" si="11"/>
        <v>180.98931015907451</v>
      </c>
      <c r="CD7" s="62">
        <f ca="1">AVERAGE(OFFSET($CC$3,0,0,'Données projet'!$E$12+1,1))-AVERAGE(OFFSET($H$3,0,0,'Données projet'!$E$12+1,1))</f>
        <v>275.76900776033335</v>
      </c>
      <c r="CE7" s="62">
        <f t="shared" si="40"/>
        <v>299.36898480605191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3.6111111111111112</v>
      </c>
      <c r="CT7" s="13">
        <f>IF('Données projet'!$A$140&gt;35,CT6+CS7-DB6,IF(A7&lt;'Données projet'!$A$140,$CQ$205^A7,IF(A7='Données projet'!$A$140,'Données projet'!$B$140,CT6+CS7-DB6)))</f>
        <v>14.444444444444445</v>
      </c>
      <c r="CU7" s="18">
        <f>CT7*VLOOKUP('Données projet'!$B$13,Paramètres!$A$1:$I$89,3,0)*VLOOKUP('Données projet'!$B$13,Paramètres!$A$1:$I$89,5,0)</f>
        <v>15.773333333333333</v>
      </c>
      <c r="CV7" s="14">
        <f t="shared" si="41"/>
        <v>5.2727508805864005</v>
      </c>
      <c r="CW7" s="22">
        <f t="shared" si="13"/>
        <v>36.65526333924354</v>
      </c>
      <c r="CX7" s="62">
        <f t="shared" si="14"/>
        <v>212.74138540342048</v>
      </c>
      <c r="CY7" s="62">
        <f ca="1">AVERAGE(OFFSET($CX$3,0,0,'Données projet'!$E$13+1,1))-AVERAGE(OFFSET($H$3,0,0,'Données projet'!$E$13+1,1))</f>
        <v>482.24068797679558</v>
      </c>
      <c r="CZ7" s="62">
        <f t="shared" si="42"/>
        <v>316.28941055521693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5.8666666666666663</v>
      </c>
      <c r="DO7" s="13">
        <f>IF('Données projet'!$A$166&gt;35,DO6+DN7-DW6,IF(A7&lt;'Données projet'!$A$166,$DL$205^A7,IF(A7='Données projet'!$A$166,'Données projet'!$B$166,DO6+DN7-DW6)))</f>
        <v>3.3001122526909361</v>
      </c>
      <c r="DP7" s="18">
        <f>DO7*VLOOKUP('Données projet'!$B$14,Paramètres!$A$1:$I$89,3,0)*VLOOKUP('Données projet'!$B$14,Paramètres!$A$1:$I$89,5,0)</f>
        <v>2.6770510593828876</v>
      </c>
      <c r="DQ7" s="14">
        <f t="shared" si="43"/>
        <v>1.1000932117903999</v>
      </c>
      <c r="DR7" s="22">
        <f t="shared" si="16"/>
        <v>6.5785262722934741</v>
      </c>
      <c r="DS7" s="62">
        <f t="shared" si="17"/>
        <v>182.66464833647044</v>
      </c>
      <c r="DT7" s="62">
        <f ca="1">AVERAGE(OFFSET($DS$3,0,0,'Données projet'!$E$14+1,1))-AVERAGE(OFFSET($H$3,0,0,'Données projet'!$E$14+1,1))</f>
        <v>325.58538970226539</v>
      </c>
      <c r="DU7" s="62">
        <f t="shared" si="44"/>
        <v>361.81085660423457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2.8888888888888888</v>
      </c>
      <c r="EJ7" s="13">
        <f>IF('Données projet'!$A$192&gt;35,EJ6+EI7-ER6,IF(A7&lt;'Données projet'!$A$192,$EG$205^A7,IF(A7='Données projet'!$A$192,'Données projet'!$B$192,EJ6+EI7-ER6)))</f>
        <v>11.555555555555555</v>
      </c>
      <c r="EK7" s="18">
        <f>EJ7*VLOOKUP('Données projet'!$B$15,Paramètres!$A$1:$I$89,3,0)*VLOOKUP('Données projet'!$B$15,Paramètres!$A$1:$I$89,5,0)</f>
        <v>11.176533333333333</v>
      </c>
      <c r="EL7" s="14">
        <f t="shared" si="45"/>
        <v>3.8889846957526468</v>
      </c>
      <c r="EM7" s="22">
        <f t="shared" si="19"/>
        <v>26.239110567324747</v>
      </c>
      <c r="EN7" s="62">
        <f t="shared" si="20"/>
        <v>202.32523263150171</v>
      </c>
      <c r="EO7" s="62">
        <f ca="1">AVERAGE(OFFSET($EN$3,0,0,'Données projet'!$E$15+1,1))-AVERAGE(OFFSET($H$3,0,0,'Données projet'!$E$15+1,1))</f>
        <v>364.22267539944085</v>
      </c>
      <c r="EP7" s="62">
        <f t="shared" si="46"/>
        <v>241.947139538615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4.333333333333333</v>
      </c>
      <c r="FE7" s="13">
        <f>IF('Données projet'!$A$218&gt;35,FE6+FD7-FM6,IF(A7&lt;'Données projet'!$A$218,$FB$205^A7,IF(A7='Données projet'!$A$218,'Données projet'!$B$218,FE6+FD7-FM6)))</f>
        <v>3.0439923858678468</v>
      </c>
      <c r="FF7" s="18">
        <f>FE7*VLOOKUP('Données projet'!$B$16,Paramètres!$A$1:$I$89,3,0)*VLOOKUP('Données projet'!$B$16,Paramètres!$A$1:$I$89,5,0)</f>
        <v>2.6592317482941512</v>
      </c>
      <c r="FG7" s="14">
        <f t="shared" si="47"/>
        <v>1.0936204730559642</v>
      </c>
      <c r="FH7" s="22">
        <f t="shared" si="22"/>
        <v>6.5362176188514516</v>
      </c>
      <c r="FI7" s="62">
        <f t="shared" si="23"/>
        <v>182.6223396830284</v>
      </c>
      <c r="FJ7" s="62">
        <f ca="1">AVERAGE(OFFSET($FI$3,0,0,'Données projet'!$E$16+1,1))-AVERAGE(OFFSET($H$3,0,0,'Données projet'!$E$16+1,1))</f>
        <v>286.59837239471312</v>
      </c>
      <c r="FK7" s="62">
        <f t="shared" si="48"/>
        <v>319.26091328564689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5.8666666666666663</v>
      </c>
      <c r="FZ7" s="13">
        <f>IF('Données projet'!$A$244&gt;35,FZ6+FY7-GH6,IF(A7&lt;'Données projet'!$A$244,$FW$205^A7,IF(A7='Données projet'!$A$244,'Données projet'!$B$244,FZ6+FY7-GH6)))</f>
        <v>3.3001122526909361</v>
      </c>
      <c r="GA7" s="18">
        <f>FZ7*VLOOKUP('Données projet'!$B$17,Paramètres!$A$1:$I$89,3,0)*VLOOKUP('Données projet'!$B$17,Paramètres!$A$1:$I$89,5,0)</f>
        <v>2.2137152991050799</v>
      </c>
      <c r="GB7" s="14">
        <f t="shared" si="49"/>
        <v>0.93004006482462942</v>
      </c>
      <c r="GC7" s="22">
        <f t="shared" si="25"/>
        <v>5.4753739255109108</v>
      </c>
      <c r="GD7" s="62">
        <f t="shared" si="26"/>
        <v>181.56149598968787</v>
      </c>
      <c r="GE7" s="62">
        <f ca="1">AVERAGE(OFFSET($GD$3,0,0,'Données projet'!$E$17+1,1))-AVERAGE(OFFSET($H$3,0,0,'Données projet'!$E$17+1,1))</f>
        <v>277.37570531842186</v>
      </c>
      <c r="GF7" s="62">
        <f t="shared" si="50"/>
        <v>310.00874200911312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projet'!$B$17,Paramètres!$A$1:$I$89,3,0)*0.475*44/12</f>
        <v>0</v>
      </c>
      <c r="GM7" s="23">
        <f>EXP(-LN(2)/25)*GM6+(1-EXP(-LN(2)/25))/(LN(2)/25)*Calculateur!GH7*Calculateur!GJ7*VLOOKUP('Données projet'!$B$17,Paramètres!$A$1:$I$89,3,0)*0.475*44/12</f>
        <v>0</v>
      </c>
      <c r="GN7" s="23">
        <f>EXP(-LN(2)/2)*GN6+(1-EXP(-LN(2)/2))/(LN(2)/2)*GH7*GK7*VLOOKUP('Données projet'!$B$17,Paramètres!$A$1:$I$89,3,0)*0.475*44/12</f>
        <v>0</v>
      </c>
      <c r="GO7" s="23">
        <f t="shared" si="27"/>
        <v>0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3.6111111111111112</v>
      </c>
      <c r="N8" s="14">
        <f>IF('Données projet'!$A$36&gt;35,N7+M8-V7,IF(A8&lt;'Données projet'!$A$36,$K$205^A8,IF(A8='Données projet'!$A$36,'Données projet'!$B$36,N7+M8-V7)))</f>
        <v>18.055555555555557</v>
      </c>
      <c r="O8" s="14">
        <f>N8*VLOOKUP('Données projet'!$B$9,Paramètres!$A$1:$I$89,3,0)*VLOOKUP('Données projet'!$B$9,Paramètres!$A$1:$I$89,5,0)</f>
        <v>15.773333333333335</v>
      </c>
      <c r="P8" s="14">
        <f t="shared" si="33"/>
        <v>5.2727508805864005</v>
      </c>
      <c r="Q8" s="22">
        <f t="shared" si="2"/>
        <v>36.65526333924354</v>
      </c>
      <c r="R8" s="62">
        <f t="shared" si="0"/>
        <v>215.44631121569088</v>
      </c>
      <c r="S8" s="62">
        <f ca="1">AVERAGE(OFFSET($R$3,0,0,'Données projet'!$E$9+1,1))-AVERAGE(OFFSET($H$3,0,0,'Données projet'!$E$9+1,1))</f>
        <v>401.34220206028908</v>
      </c>
      <c r="T8" s="62">
        <f t="shared" si="34"/>
        <v>265.33314259106987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5.75</v>
      </c>
      <c r="AI8" s="14">
        <f>IF('Données projet'!$A$62&gt;35,AI7+AH8-AQ7,IF(A8&lt;'Données projet'!$A$62,$AF$205^A8,IF(A8='Données projet'!$A$62,'Données projet'!$B$62,AI7+AH8-AQ7)))</f>
        <v>3.2747221706220535</v>
      </c>
      <c r="AJ8" s="14">
        <f>AI8*VLOOKUP('Données projet'!$B$10,Paramètres!$A$1:$I$89,3,0)*VLOOKUP('Données projet'!$B$10,Paramètres!$A$1:$I$89,5,0)</f>
        <v>1.5325699758511209</v>
      </c>
      <c r="AK8" s="14">
        <f t="shared" si="35"/>
        <v>0.67203122680395833</v>
      </c>
      <c r="AL8" s="22">
        <f t="shared" si="4"/>
        <v>3.839680427957596</v>
      </c>
      <c r="AM8" s="62">
        <f t="shared" si="5"/>
        <v>182.63072830440495</v>
      </c>
      <c r="AN8" s="62">
        <f ca="1">AVERAGE(OFFSET($AM$3,0,0,'Données projet'!$E$10+1,1))-AVERAGE(OFFSET($H$3,0,0,'Données projet'!$E$10+1,1))</f>
        <v>253.48761861464732</v>
      </c>
      <c r="AO8" s="62">
        <f t="shared" si="36"/>
        <v>219.50855998133855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3</v>
      </c>
      <c r="BD8" s="13">
        <f>IF('Données projet'!$A$88&gt;35,BD7+BC8-BL7,IF(A8&lt;'Données projet'!$A$88,$BA$205^A8,IF(A8='Données projet'!$A$88,'Données projet'!$B$88,BD7+BC8-BL7)))</f>
        <v>4.4510182535424141</v>
      </c>
      <c r="BE8" s="14">
        <f>BD8*VLOOKUP('Données projet'!$B$11,Paramètres!$A$1:$I$89,3,0)*VLOOKUP('Données projet'!$B$11,Paramètres!$A$1:$I$89,5,0)</f>
        <v>5.1275730280808611</v>
      </c>
      <c r="BF8" s="14">
        <f t="shared" si="37"/>
        <v>1.9535754069857303</v>
      </c>
      <c r="BG8" s="22">
        <f t="shared" si="7"/>
        <v>12.333000191074312</v>
      </c>
      <c r="BH8" s="62">
        <f t="shared" si="8"/>
        <v>191.12404806752167</v>
      </c>
      <c r="BI8" s="62">
        <f ca="1">AVERAGE(OFFSET($BH$3,0,0,'Données projet'!$E$11+1,1))-AVERAGE(OFFSET($H$3,0,0,'Données projet'!$E$11+1,1))</f>
        <v>482.85256243111911</v>
      </c>
      <c r="BJ8" s="62">
        <f t="shared" si="38"/>
        <v>517.78430032567064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3</v>
      </c>
      <c r="BY8" s="13">
        <f>IF('Données projet'!$A$114&gt;35,BY7+BX8-CG7,IF(A8&lt;'Données projet'!$A$114,$BV$205^A8,IF(A8='Données projet'!$A$114,'Données projet'!$B$114,BY7+BX8-CG7)))</f>
        <v>4.4510182535424141</v>
      </c>
      <c r="BZ8" s="14">
        <f>BY8*VLOOKUP('Données projet'!$B$12,Paramètres!$A$1:$I$89,3,0)*VLOOKUP('Données projet'!$B$12,Paramètres!$A$1:$I$89,5,0)</f>
        <v>2.6617089156183638</v>
      </c>
      <c r="CA8" s="14">
        <f t="shared" si="39"/>
        <v>1.0945205879680817</v>
      </c>
      <c r="CB8" s="22">
        <f t="shared" si="10"/>
        <v>6.5420997187463925</v>
      </c>
      <c r="CC8" s="62">
        <f t="shared" si="11"/>
        <v>185.33314759519374</v>
      </c>
      <c r="CD8" s="62">
        <f ca="1">AVERAGE(OFFSET($CC$3,0,0,'Données projet'!$E$12+1,1))-AVERAGE(OFFSET($H$3,0,0,'Données projet'!$E$12+1,1))</f>
        <v>275.76900776033335</v>
      </c>
      <c r="CE8" s="62">
        <f t="shared" si="40"/>
        <v>299.36898480605191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3.6111111111111112</v>
      </c>
      <c r="CT8" s="13">
        <f>IF('Données projet'!$A$140&gt;35,CT7+CS8-DB7,IF(A8&lt;'Données projet'!$A$140,$CQ$205^A8,IF(A8='Données projet'!$A$140,'Données projet'!$B$140,CT7+CS8-DB7)))</f>
        <v>18.055555555555557</v>
      </c>
      <c r="CU8" s="18">
        <f>CT8*VLOOKUP('Données projet'!$B$13,Paramètres!$A$1:$I$89,3,0)*VLOOKUP('Données projet'!$B$13,Paramètres!$A$1:$I$89,5,0)</f>
        <v>19.716666666666669</v>
      </c>
      <c r="CV8" s="14">
        <f t="shared" si="41"/>
        <v>6.421950302675322</v>
      </c>
      <c r="CW8" s="22">
        <f t="shared" si="13"/>
        <v>45.524757888270635</v>
      </c>
      <c r="CX8" s="62">
        <f t="shared" si="14"/>
        <v>224.31580576471799</v>
      </c>
      <c r="CY8" s="62">
        <f ca="1">AVERAGE(OFFSET($CX$3,0,0,'Données projet'!$E$13+1,1))-AVERAGE(OFFSET($H$3,0,0,'Données projet'!$E$13+1,1))</f>
        <v>482.24068797679558</v>
      </c>
      <c r="CZ8" s="62">
        <f t="shared" si="42"/>
        <v>316.28941055521693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5.8666666666666663</v>
      </c>
      <c r="DO8" s="13">
        <f>IF('Données projet'!$A$166&gt;35,DO7+DN8-DW7,IF(A8&lt;'Données projet'!$A$166,$DL$205^A8,IF(A8='Données projet'!$A$166,'Données projet'!$B$166,DO7+DN8-DW7)))</f>
        <v>4.4479601811386305</v>
      </c>
      <c r="DP8" s="18">
        <f>DO8*VLOOKUP('Données projet'!$B$14,Paramètres!$A$1:$I$89,3,0)*VLOOKUP('Données projet'!$B$14,Paramètres!$A$1:$I$89,5,0)</f>
        <v>3.6081852989396577</v>
      </c>
      <c r="DQ8" s="14">
        <f t="shared" si="43"/>
        <v>1.4320971400817981</v>
      </c>
      <c r="DR8" s="22">
        <f t="shared" si="16"/>
        <v>8.7784919146290346</v>
      </c>
      <c r="DS8" s="62">
        <f t="shared" si="17"/>
        <v>187.56953979107638</v>
      </c>
      <c r="DT8" s="62">
        <f ca="1">AVERAGE(OFFSET($DS$3,0,0,'Données projet'!$E$14+1,1))-AVERAGE(OFFSET($H$3,0,0,'Données projet'!$E$14+1,1))</f>
        <v>325.58538970226539</v>
      </c>
      <c r="DU8" s="62">
        <f t="shared" si="44"/>
        <v>361.81085660423457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2.8888888888888888</v>
      </c>
      <c r="EJ8" s="13">
        <f>IF('Données projet'!$A$192&gt;35,EJ7+EI8-ER7,IF(A8&lt;'Données projet'!$A$192,$EG$205^A8,IF(A8='Données projet'!$A$192,'Données projet'!$B$192,EJ7+EI8-ER7)))</f>
        <v>14.444444444444445</v>
      </c>
      <c r="EK8" s="18">
        <f>EJ8*VLOOKUP('Données projet'!$B$15,Paramètres!$A$1:$I$89,3,0)*VLOOKUP('Données projet'!$B$15,Paramètres!$A$1:$I$89,5,0)</f>
        <v>13.970666666666668</v>
      </c>
      <c r="EL8" s="14">
        <f t="shared" si="45"/>
        <v>4.7365913940563154</v>
      </c>
      <c r="EM8" s="22">
        <f t="shared" si="19"/>
        <v>32.58180778909253</v>
      </c>
      <c r="EN8" s="62">
        <f t="shared" si="20"/>
        <v>211.37285566553987</v>
      </c>
      <c r="EO8" s="62">
        <f ca="1">AVERAGE(OFFSET($EN$3,0,0,'Données projet'!$E$15+1,1))-AVERAGE(OFFSET($H$3,0,0,'Données projet'!$E$15+1,1))</f>
        <v>364.22267539944085</v>
      </c>
      <c r="EP8" s="62">
        <f t="shared" si="46"/>
        <v>241.947139538615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4.333333333333333</v>
      </c>
      <c r="FE8" s="13">
        <f>IF('Données projet'!$A$218&gt;35,FE7+FD8-FM7,IF(A8&lt;'Données projet'!$A$218,$FB$205^A8,IF(A8='Données projet'!$A$218,'Données projet'!$B$218,FE7+FD8-FM7)))</f>
        <v>4.0207257585890561</v>
      </c>
      <c r="FF8" s="18">
        <f>FE8*VLOOKUP('Données projet'!$B$16,Paramètres!$A$1:$I$89,3,0)*VLOOKUP('Données projet'!$B$16,Paramètres!$A$1:$I$89,5,0)</f>
        <v>3.5125060227033997</v>
      </c>
      <c r="FG8" s="14">
        <f t="shared" si="47"/>
        <v>1.3984898368966503</v>
      </c>
      <c r="FH8" s="22">
        <f t="shared" si="22"/>
        <v>8.5533177888034189</v>
      </c>
      <c r="FI8" s="62">
        <f t="shared" si="23"/>
        <v>187.34436566525076</v>
      </c>
      <c r="FJ8" s="62">
        <f ca="1">AVERAGE(OFFSET($FI$3,0,0,'Données projet'!$E$16+1,1))-AVERAGE(OFFSET($H$3,0,0,'Données projet'!$E$16+1,1))</f>
        <v>286.59837239471312</v>
      </c>
      <c r="FK8" s="62">
        <f t="shared" si="48"/>
        <v>319.26091328564689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5.8666666666666663</v>
      </c>
      <c r="FZ8" s="13">
        <f>IF('Données projet'!$A$244&gt;35,FZ7+FY8-GH7,IF(A8&lt;'Données projet'!$A$244,$FW$205^A8,IF(A8='Données projet'!$A$244,'Données projet'!$B$244,FZ7+FY8-GH7)))</f>
        <v>4.4479601811386305</v>
      </c>
      <c r="GA8" s="18">
        <f>FZ8*VLOOKUP('Données projet'!$B$17,Paramètres!$A$1:$I$89,3,0)*VLOOKUP('Données projet'!$B$17,Paramètres!$A$1:$I$89,5,0)</f>
        <v>2.9836916895077934</v>
      </c>
      <c r="GB8" s="14">
        <f t="shared" si="49"/>
        <v>1.2107226030684839</v>
      </c>
      <c r="GC8" s="22">
        <f t="shared" si="25"/>
        <v>7.3052715595703477</v>
      </c>
      <c r="GD8" s="62">
        <f t="shared" si="26"/>
        <v>186.09631943601769</v>
      </c>
      <c r="GE8" s="62">
        <f ca="1">AVERAGE(OFFSET($GD$3,0,0,'Données projet'!$E$17+1,1))-AVERAGE(OFFSET($H$3,0,0,'Données projet'!$E$17+1,1))</f>
        <v>277.37570531842186</v>
      </c>
      <c r="GF8" s="62">
        <f t="shared" si="50"/>
        <v>310.00874200911312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projet'!$B$17,Paramètres!$A$1:$I$89,3,0)*0.475*44/12</f>
        <v>0</v>
      </c>
      <c r="GM8" s="23">
        <f>EXP(-LN(2)/25)*GM7+(1-EXP(-LN(2)/25))/(LN(2)/25)*Calculateur!GH8*Calculateur!GJ8*VLOOKUP('Données projet'!$B$17,Paramètres!$A$1:$I$89,3,0)*0.475*44/12</f>
        <v>0</v>
      </c>
      <c r="GN8" s="23">
        <f>EXP(-LN(2)/2)*GN7+(1-EXP(-LN(2)/2))/(LN(2)/2)*GH8*GK8*VLOOKUP('Données projet'!$B$17,Paramètres!$A$1:$I$89,3,0)*0.475*44/12</f>
        <v>0</v>
      </c>
      <c r="GO8" s="23">
        <f t="shared" si="27"/>
        <v>0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3.6111111111111112</v>
      </c>
      <c r="N9" s="14">
        <f>IF('Données projet'!$A$36&gt;35,N8+M9-V8,IF(A9&lt;'Données projet'!$A$36,$K$205^A9,IF(A9='Données projet'!$A$36,'Données projet'!$B$36,N8+M9-V8)))</f>
        <v>21.666666666666668</v>
      </c>
      <c r="O9" s="14">
        <f>N9*VLOOKUP('Données projet'!$B$9,Paramètres!$A$1:$I$89,3,0)*VLOOKUP('Données projet'!$B$9,Paramètres!$A$1:$I$89,5,0)</f>
        <v>18.928000000000004</v>
      </c>
      <c r="P9" s="14">
        <f t="shared" si="33"/>
        <v>6.1944364515705459</v>
      </c>
      <c r="Q9" s="22">
        <f t="shared" si="2"/>
        <v>43.754910153152046</v>
      </c>
      <c r="R9" s="62">
        <f t="shared" si="0"/>
        <v>225.22516224941103</v>
      </c>
      <c r="S9" s="62">
        <f ca="1">AVERAGE(OFFSET($R$3,0,0,'Données projet'!$E$9+1,1))-AVERAGE(OFFSET($H$3,0,0,'Données projet'!$E$9+1,1))</f>
        <v>401.34220206028908</v>
      </c>
      <c r="T9" s="62">
        <f t="shared" si="34"/>
        <v>265.33314259106987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5.75</v>
      </c>
      <c r="AI9" s="14">
        <f>IF('Données projet'!$A$62&gt;35,AI8+AH9-AQ8,IF(A9&lt;'Données projet'!$A$62,$AF$205^A9,IF(A9='Données projet'!$A$62,'Données projet'!$B$62,AI8+AH9-AQ8)))</f>
        <v>4.1515411988145692</v>
      </c>
      <c r="AJ9" s="14">
        <f>AI9*VLOOKUP('Données projet'!$B$10,Paramètres!$A$1:$I$89,3,0)*VLOOKUP('Données projet'!$B$10,Paramètres!$A$1:$I$89,5,0)</f>
        <v>1.9429212810452183</v>
      </c>
      <c r="AK9" s="14">
        <f t="shared" si="35"/>
        <v>0.82876439371643607</v>
      </c>
      <c r="AL9" s="22">
        <f t="shared" si="4"/>
        <v>4.8273525502098815</v>
      </c>
      <c r="AM9" s="62">
        <f t="shared" si="5"/>
        <v>186.29760464646887</v>
      </c>
      <c r="AN9" s="62">
        <f ca="1">AVERAGE(OFFSET($AM$3,0,0,'Données projet'!$E$10+1,1))-AVERAGE(OFFSET($H$3,0,0,'Données projet'!$E$10+1,1))</f>
        <v>253.48761861464732</v>
      </c>
      <c r="AO9" s="62">
        <f t="shared" si="36"/>
        <v>219.50855998133855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3</v>
      </c>
      <c r="BD9" s="13">
        <f>IF('Données projet'!$A$88&gt;35,BD8+BC9-BL8,IF(A9&lt;'Données projet'!$A$88,$BA$205^A9,IF(A9='Données projet'!$A$88,'Données projet'!$B$88,BD8+BC9-BL8)))</f>
        <v>6</v>
      </c>
      <c r="BE9" s="14">
        <f>BD9*VLOOKUP('Données projet'!$B$11,Paramètres!$A$1:$I$89,3,0)*VLOOKUP('Données projet'!$B$11,Paramètres!$A$1:$I$89,5,0)</f>
        <v>6.9119999999999999</v>
      </c>
      <c r="BF9" s="14">
        <f t="shared" si="37"/>
        <v>2.5434659044947061</v>
      </c>
      <c r="BG9" s="22">
        <f t="shared" si="7"/>
        <v>16.468269783661611</v>
      </c>
      <c r="BH9" s="62">
        <f t="shared" si="8"/>
        <v>197.93852187992059</v>
      </c>
      <c r="BI9" s="62">
        <f ca="1">AVERAGE(OFFSET($BH$3,0,0,'Données projet'!$E$11+1,1))-AVERAGE(OFFSET($H$3,0,0,'Données projet'!$E$11+1,1))</f>
        <v>482.85256243111911</v>
      </c>
      <c r="BJ9" s="62">
        <f t="shared" si="38"/>
        <v>517.78430032567064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3</v>
      </c>
      <c r="BY9" s="13">
        <f>IF('Données projet'!$A$114&gt;35,BY8+BX9-CG8,IF(A9&lt;'Données projet'!$A$114,$BV$205^A9,IF(A9='Données projet'!$A$114,'Données projet'!$B$114,BY8+BX9-CG8)))</f>
        <v>6</v>
      </c>
      <c r="BZ9" s="14">
        <f>BY9*VLOOKUP('Données projet'!$B$12,Paramètres!$A$1:$I$89,3,0)*VLOOKUP('Données projet'!$B$12,Paramètres!$A$1:$I$89,5,0)</f>
        <v>3.5880000000000005</v>
      </c>
      <c r="CA9" s="14">
        <f t="shared" si="39"/>
        <v>1.4250157876217819</v>
      </c>
      <c r="CB9" s="22">
        <f t="shared" si="10"/>
        <v>8.7310024967746021</v>
      </c>
      <c r="CC9" s="62">
        <f t="shared" si="11"/>
        <v>190.20125459303358</v>
      </c>
      <c r="CD9" s="62">
        <f ca="1">AVERAGE(OFFSET($CC$3,0,0,'Données projet'!$E$12+1,1))-AVERAGE(OFFSET($H$3,0,0,'Données projet'!$E$12+1,1))</f>
        <v>275.76900776033335</v>
      </c>
      <c r="CE9" s="62">
        <f t="shared" si="40"/>
        <v>299.36898480605191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3.6111111111111112</v>
      </c>
      <c r="CT9" s="13">
        <f>IF('Données projet'!$A$140&gt;35,CT8+CS9-DB8,IF(A9&lt;'Données projet'!$A$140,$CQ$205^A9,IF(A9='Données projet'!$A$140,'Données projet'!$B$140,CT8+CS9-DB8)))</f>
        <v>21.666666666666668</v>
      </c>
      <c r="CU9" s="18">
        <f>CT9*VLOOKUP('Données projet'!$B$13,Paramètres!$A$1:$I$89,3,0)*VLOOKUP('Données projet'!$B$13,Paramètres!$A$1:$I$89,5,0)</f>
        <v>23.66</v>
      </c>
      <c r="CV9" s="14">
        <f t="shared" si="41"/>
        <v>7.5445178325288822</v>
      </c>
      <c r="CW9" s="22">
        <f t="shared" si="13"/>
        <v>54.347868558321132</v>
      </c>
      <c r="CX9" s="62">
        <f t="shared" si="14"/>
        <v>235.8181206545801</v>
      </c>
      <c r="CY9" s="62">
        <f ca="1">AVERAGE(OFFSET($CX$3,0,0,'Données projet'!$E$13+1,1))-AVERAGE(OFFSET($H$3,0,0,'Données projet'!$E$13+1,1))</f>
        <v>482.24068797679558</v>
      </c>
      <c r="CZ9" s="62">
        <f t="shared" si="42"/>
        <v>316.28941055521693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5.8666666666666663</v>
      </c>
      <c r="DO9" s="13">
        <f>IF('Données projet'!$A$166&gt;35,DO8+DN9-DW8,IF(A9&lt;'Données projet'!$A$166,$DL$205^A9,IF(A9='Données projet'!$A$166,'Données projet'!$B$166,DO8+DN9-DW8)))</f>
        <v>5.9950535794236988</v>
      </c>
      <c r="DP9" s="18">
        <f>DO9*VLOOKUP('Données projet'!$B$14,Paramètres!$A$1:$I$89,3,0)*VLOOKUP('Données projet'!$B$14,Paramètres!$A$1:$I$89,5,0)</f>
        <v>4.8631874636285053</v>
      </c>
      <c r="DQ9" s="14">
        <f t="shared" si="43"/>
        <v>1.864298585474067</v>
      </c>
      <c r="DR9" s="22">
        <f t="shared" si="16"/>
        <v>11.717038202186979</v>
      </c>
      <c r="DS9" s="62">
        <f t="shared" si="17"/>
        <v>193.18729029844596</v>
      </c>
      <c r="DT9" s="62">
        <f ca="1">AVERAGE(OFFSET($DS$3,0,0,'Données projet'!$E$14+1,1))-AVERAGE(OFFSET($H$3,0,0,'Données projet'!$E$14+1,1))</f>
        <v>325.58538970226539</v>
      </c>
      <c r="DU9" s="62">
        <f t="shared" si="44"/>
        <v>361.81085660423457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2.8888888888888888</v>
      </c>
      <c r="EJ9" s="13">
        <f>IF('Données projet'!$A$192&gt;35,EJ8+EI9-ER8,IF(A9&lt;'Données projet'!$A$192,$EG$205^A9,IF(A9='Données projet'!$A$192,'Données projet'!$B$192,EJ8+EI9-ER8)))</f>
        <v>17.333333333333332</v>
      </c>
      <c r="EK9" s="18">
        <f>EJ9*VLOOKUP('Données projet'!$B$15,Paramètres!$A$1:$I$89,3,0)*VLOOKUP('Données projet'!$B$15,Paramètres!$A$1:$I$89,5,0)</f>
        <v>16.764800000000001</v>
      </c>
      <c r="EL9" s="14">
        <f t="shared" si="45"/>
        <v>5.5645554004012991</v>
      </c>
      <c r="EM9" s="22">
        <f t="shared" si="19"/>
        <v>38.890293989032266</v>
      </c>
      <c r="EN9" s="62">
        <f t="shared" si="20"/>
        <v>220.36054608529125</v>
      </c>
      <c r="EO9" s="62">
        <f ca="1">AVERAGE(OFFSET($EN$3,0,0,'Données projet'!$E$15+1,1))-AVERAGE(OFFSET($H$3,0,0,'Données projet'!$E$15+1,1))</f>
        <v>364.22267539944085</v>
      </c>
      <c r="EP9" s="62">
        <f t="shared" si="46"/>
        <v>241.947139538615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4.333333333333333</v>
      </c>
      <c r="FE9" s="13">
        <f>IF('Données projet'!$A$218&gt;35,FE8+FD9-FM8,IF(A9&lt;'Données projet'!$A$218,$FB$205^A9,IF(A9='Données projet'!$A$218,'Données projet'!$B$218,FE8+FD9-FM8)))</f>
        <v>5.310865986667876</v>
      </c>
      <c r="FF9" s="18">
        <f>FE9*VLOOKUP('Données projet'!$B$16,Paramètres!$A$1:$I$89,3,0)*VLOOKUP('Données projet'!$B$16,Paramètres!$A$1:$I$89,5,0)</f>
        <v>4.6395725259530565</v>
      </c>
      <c r="FG9" s="14">
        <f t="shared" si="47"/>
        <v>1.7883478520094751</v>
      </c>
      <c r="FH9" s="22">
        <f t="shared" si="22"/>
        <v>11.195294658284743</v>
      </c>
      <c r="FI9" s="62">
        <f t="shared" si="23"/>
        <v>192.66554675454373</v>
      </c>
      <c r="FJ9" s="62">
        <f ca="1">AVERAGE(OFFSET($FI$3,0,0,'Données projet'!$E$16+1,1))-AVERAGE(OFFSET($H$3,0,0,'Données projet'!$E$16+1,1))</f>
        <v>286.59837239471312</v>
      </c>
      <c r="FK9" s="62">
        <f t="shared" si="48"/>
        <v>319.26091328564689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5.8666666666666663</v>
      </c>
      <c r="FZ9" s="13">
        <f>IF('Données projet'!$A$244&gt;35,FZ8+FY9-GH8,IF(A9&lt;'Données projet'!$A$244,$FW$205^A9,IF(A9='Données projet'!$A$244,'Données projet'!$B$244,FZ8+FY9-GH8)))</f>
        <v>5.9950535794236988</v>
      </c>
      <c r="GA9" s="18">
        <f>FZ9*VLOOKUP('Données projet'!$B$17,Paramètres!$A$1:$I$89,3,0)*VLOOKUP('Données projet'!$B$17,Paramètres!$A$1:$I$89,5,0)</f>
        <v>4.0214819410774165</v>
      </c>
      <c r="GB9" s="14">
        <f t="shared" si="49"/>
        <v>1.576114058975868</v>
      </c>
      <c r="GC9" s="22">
        <f t="shared" si="25"/>
        <v>9.7491463667594704</v>
      </c>
      <c r="GD9" s="62">
        <f t="shared" si="26"/>
        <v>191.21939846301845</v>
      </c>
      <c r="GE9" s="62">
        <f ca="1">AVERAGE(OFFSET($GD$3,0,0,'Données projet'!$E$17+1,1))-AVERAGE(OFFSET($H$3,0,0,'Données projet'!$E$17+1,1))</f>
        <v>277.37570531842186</v>
      </c>
      <c r="GF9" s="62">
        <f t="shared" si="50"/>
        <v>310.00874200911312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projet'!$B$17,Paramètres!$A$1:$I$89,3,0)*0.475*44/12</f>
        <v>0</v>
      </c>
      <c r="GM9" s="23">
        <f>EXP(-LN(2)/25)*GM8+(1-EXP(-LN(2)/25))/(LN(2)/25)*Calculateur!GH9*Calculateur!GJ9*VLOOKUP('Données projet'!$B$17,Paramètres!$A$1:$I$89,3,0)*0.475*44/12</f>
        <v>0</v>
      </c>
      <c r="GN9" s="23">
        <f>EXP(-LN(2)/2)*GN8+(1-EXP(-LN(2)/2))/(LN(2)/2)*GH9*GK9*VLOOKUP('Données projet'!$B$17,Paramètres!$A$1:$I$89,3,0)*0.475*44/12</f>
        <v>0</v>
      </c>
      <c r="GO9" s="23">
        <f t="shared" si="27"/>
        <v>0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3.6111111111111112</v>
      </c>
      <c r="N10" s="14">
        <f>IF('Données projet'!$A$36&gt;35,N9+M10-V9,IF(A10&lt;'Données projet'!$A$36,$K$205^A10,IF(A10='Données projet'!$A$36,'Données projet'!$B$36,N9+M10-V9)))</f>
        <v>25.277777777777779</v>
      </c>
      <c r="O10" s="14">
        <f>N10*VLOOKUP('Données projet'!$B$9,Paramètres!$A$1:$I$89,3,0)*VLOOKUP('Données projet'!$B$9,Paramètres!$A$1:$I$89,5,0)</f>
        <v>22.082666666666668</v>
      </c>
      <c r="P10" s="14">
        <f t="shared" si="33"/>
        <v>7.0983267223892366</v>
      </c>
      <c r="Q10" s="22">
        <f t="shared" si="2"/>
        <v>50.82356348593904</v>
      </c>
      <c r="R10" s="62">
        <f t="shared" si="0"/>
        <v>234.94774442167528</v>
      </c>
      <c r="S10" s="62">
        <f ca="1">AVERAGE(OFFSET($R$3,0,0,'Données projet'!$E$9+1,1))-AVERAGE(OFFSET($H$3,0,0,'Données projet'!$E$9+1,1))</f>
        <v>401.34220206028908</v>
      </c>
      <c r="T10" s="62">
        <f t="shared" si="34"/>
        <v>265.33314259106987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5.75</v>
      </c>
      <c r="AI10" s="14">
        <f>IF('Données projet'!$A$62&gt;35,AI9+AH10-AQ9,IF(A10&lt;'Données projet'!$A$62,$AF$205^A10,IF(A10='Données projet'!$A$62,'Données projet'!$B$62,AI9+AH10-AQ9)))</f>
        <v>5.2631317795673525</v>
      </c>
      <c r="AJ10" s="14">
        <f>AI10*VLOOKUP('Données projet'!$B$10,Paramètres!$A$1:$I$89,3,0)*VLOOKUP('Données projet'!$B$10,Paramètres!$A$1:$I$89,5,0)</f>
        <v>2.4631456728375212</v>
      </c>
      <c r="AK10" s="14">
        <f t="shared" si="35"/>
        <v>1.0220513465701448</v>
      </c>
      <c r="AL10" s="22">
        <f t="shared" si="4"/>
        <v>6.0700514754683512</v>
      </c>
      <c r="AM10" s="62">
        <f t="shared" si="5"/>
        <v>190.19423241120458</v>
      </c>
      <c r="AN10" s="62">
        <f ca="1">AVERAGE(OFFSET($AM$3,0,0,'Données projet'!$E$10+1,1))-AVERAGE(OFFSET($H$3,0,0,'Données projet'!$E$10+1,1))</f>
        <v>253.48761861464732</v>
      </c>
      <c r="AO10" s="62">
        <f t="shared" si="36"/>
        <v>219.50855998133855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3</v>
      </c>
      <c r="BD10" s="13">
        <f>IF('Données projet'!$A$88&gt;35,BD9+BC10-BL9,IF(A10&lt;'Données projet'!$A$88,$BA$205^A10,IF(A10='Données projet'!$A$88,'Données projet'!$B$88,BD9+BC10-BL9)))</f>
        <v>8.0880369275836674</v>
      </c>
      <c r="BE10" s="14">
        <f>BD10*VLOOKUP('Données projet'!$B$11,Paramètres!$A$1:$I$89,3,0)*VLOOKUP('Données projet'!$B$11,Paramètres!$A$1:$I$89,5,0)</f>
        <v>9.3174185405763854</v>
      </c>
      <c r="BF10" s="14">
        <f t="shared" si="37"/>
        <v>3.3114763751601264</v>
      </c>
      <c r="BG10" s="22">
        <f t="shared" si="7"/>
        <v>21.995325311574422</v>
      </c>
      <c r="BH10" s="62">
        <f t="shared" si="8"/>
        <v>206.11950624731065</v>
      </c>
      <c r="BI10" s="62">
        <f ca="1">AVERAGE(OFFSET($BH$3,0,0,'Données projet'!$E$11+1,1))-AVERAGE(OFFSET($H$3,0,0,'Données projet'!$E$11+1,1))</f>
        <v>482.85256243111911</v>
      </c>
      <c r="BJ10" s="62">
        <f t="shared" si="38"/>
        <v>517.78430032567064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3</v>
      </c>
      <c r="BY10" s="13">
        <f>IF('Données projet'!$A$114&gt;35,BY9+BX10-CG9,IF(A10&lt;'Données projet'!$A$114,$BV$205^A10,IF(A10='Données projet'!$A$114,'Données projet'!$B$114,BY9+BX10-CG9)))</f>
        <v>8.0880369275836674</v>
      </c>
      <c r="BZ10" s="14">
        <f>BY10*VLOOKUP('Données projet'!$B$12,Paramètres!$A$1:$I$89,3,0)*VLOOKUP('Données projet'!$B$12,Paramètres!$A$1:$I$89,5,0)</f>
        <v>4.836646082695033</v>
      </c>
      <c r="CA10" s="14">
        <f t="shared" si="39"/>
        <v>1.8553054344470195</v>
      </c>
      <c r="CB10" s="22">
        <f t="shared" si="10"/>
        <v>11.65514889235574</v>
      </c>
      <c r="CC10" s="62">
        <f t="shared" si="11"/>
        <v>195.77932982809199</v>
      </c>
      <c r="CD10" s="62">
        <f ca="1">AVERAGE(OFFSET($CC$3,0,0,'Données projet'!$E$12+1,1))-AVERAGE(OFFSET($H$3,0,0,'Données projet'!$E$12+1,1))</f>
        <v>275.76900776033335</v>
      </c>
      <c r="CE10" s="62">
        <f t="shared" si="40"/>
        <v>299.36898480605191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3.6111111111111112</v>
      </c>
      <c r="CT10" s="13">
        <f>IF('Données projet'!$A$140&gt;35,CT9+CS10-DB9,IF(A10&lt;'Données projet'!$A$140,$CQ$205^A10,IF(A10='Données projet'!$A$140,'Données projet'!$B$140,CT9+CS10-DB9)))</f>
        <v>25.277777777777779</v>
      </c>
      <c r="CU10" s="18">
        <f>CT10*VLOOKUP('Données projet'!$B$13,Paramètres!$A$1:$I$89,3,0)*VLOOKUP('Données projet'!$B$13,Paramètres!$A$1:$I$89,5,0)</f>
        <v>27.603333333333332</v>
      </c>
      <c r="CV10" s="14">
        <f t="shared" si="41"/>
        <v>8.6454115651802201</v>
      </c>
      <c r="CW10" s="22">
        <f t="shared" si="13"/>
        <v>63.133230698244425</v>
      </c>
      <c r="CX10" s="62">
        <f t="shared" si="14"/>
        <v>247.25741163398067</v>
      </c>
      <c r="CY10" s="62">
        <f ca="1">AVERAGE(OFFSET($CX$3,0,0,'Données projet'!$E$13+1,1))-AVERAGE(OFFSET($H$3,0,0,'Données projet'!$E$13+1,1))</f>
        <v>482.24068797679558</v>
      </c>
      <c r="CZ10" s="62">
        <f t="shared" si="42"/>
        <v>316.28941055521693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5.8666666666666663</v>
      </c>
      <c r="DO10" s="13">
        <f>IF('Données projet'!$A$166&gt;35,DO9+DN10-DW9,IF(A10&lt;'Données projet'!$A$166,$DL$205^A10,IF(A10='Données projet'!$A$166,'Données projet'!$B$166,DO9+DN10-DW9)))</f>
        <v>8.0802583558561594</v>
      </c>
      <c r="DP10" s="18">
        <f>DO10*VLOOKUP('Données projet'!$B$14,Paramètres!$A$1:$I$89,3,0)*VLOOKUP('Données projet'!$B$14,Paramètres!$A$1:$I$89,5,0)</f>
        <v>6.554705578270517</v>
      </c>
      <c r="DQ10" s="14">
        <f t="shared" si="43"/>
        <v>2.4269367758126297</v>
      </c>
      <c r="DR10" s="22">
        <f t="shared" si="16"/>
        <v>15.643027100028144</v>
      </c>
      <c r="DS10" s="62">
        <f t="shared" si="17"/>
        <v>199.76720803576438</v>
      </c>
      <c r="DT10" s="62">
        <f ca="1">AVERAGE(OFFSET($DS$3,0,0,'Données projet'!$E$14+1,1))-AVERAGE(OFFSET($H$3,0,0,'Données projet'!$E$14+1,1))</f>
        <v>325.58538970226539</v>
      </c>
      <c r="DU10" s="62">
        <f t="shared" si="44"/>
        <v>361.81085660423457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2.8888888888888888</v>
      </c>
      <c r="EJ10" s="13">
        <f>IF('Données projet'!$A$192&gt;35,EJ9+EI10-ER9,IF(A10&lt;'Données projet'!$A$192,$EG$205^A10,IF(A10='Données projet'!$A$192,'Données projet'!$B$192,EJ9+EI10-ER9)))</f>
        <v>20.222222222222221</v>
      </c>
      <c r="EK10" s="18">
        <f>EJ10*VLOOKUP('Données projet'!$B$15,Paramètres!$A$1:$I$89,3,0)*VLOOKUP('Données projet'!$B$15,Paramètres!$A$1:$I$89,5,0)</f>
        <v>19.558933333333332</v>
      </c>
      <c r="EL10" s="14">
        <f t="shared" si="45"/>
        <v>6.3765336210478454</v>
      </c>
      <c r="EM10" s="22">
        <f t="shared" si="19"/>
        <v>45.170938278880548</v>
      </c>
      <c r="EN10" s="62">
        <f t="shared" si="20"/>
        <v>229.29511921461679</v>
      </c>
      <c r="EO10" s="62">
        <f ca="1">AVERAGE(OFFSET($EN$3,0,0,'Données projet'!$E$15+1,1))-AVERAGE(OFFSET($H$3,0,0,'Données projet'!$E$15+1,1))</f>
        <v>364.22267539944085</v>
      </c>
      <c r="EP10" s="62">
        <f t="shared" si="46"/>
        <v>241.947139538615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4.333333333333333</v>
      </c>
      <c r="FE10" s="13">
        <f>IF('Données projet'!$A$218&gt;35,FE9+FD10-FM9,IF(A10&lt;'Données projet'!$A$218,$FB$205^A10,IF(A10='Données projet'!$A$218,'Données projet'!$B$218,FE9+FD10-FM9)))</f>
        <v>7.0149767036694106</v>
      </c>
      <c r="FF10" s="18">
        <f>FE10*VLOOKUP('Données projet'!$B$16,Paramètres!$A$1:$I$89,3,0)*VLOOKUP('Données projet'!$B$16,Paramètres!$A$1:$I$89,5,0)</f>
        <v>6.1282836483255982</v>
      </c>
      <c r="FG10" s="14">
        <f t="shared" si="47"/>
        <v>2.2868868656807066</v>
      </c>
      <c r="FH10" s="22">
        <f t="shared" si="22"/>
        <v>14.656421978560983</v>
      </c>
      <c r="FI10" s="62">
        <f t="shared" si="23"/>
        <v>198.78060291429722</v>
      </c>
      <c r="FJ10" s="62">
        <f ca="1">AVERAGE(OFFSET($FI$3,0,0,'Données projet'!$E$16+1,1))-AVERAGE(OFFSET($H$3,0,0,'Données projet'!$E$16+1,1))</f>
        <v>286.59837239471312</v>
      </c>
      <c r="FK10" s="62">
        <f t="shared" si="48"/>
        <v>319.26091328564689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5.8666666666666663</v>
      </c>
      <c r="FZ10" s="13">
        <f>IF('Données projet'!$A$244&gt;35,FZ9+FY10-GH9,IF(A10&lt;'Données projet'!$A$244,$FW$205^A10,IF(A10='Données projet'!$A$244,'Données projet'!$B$244,FZ9+FY10-GH9)))</f>
        <v>8.0802583558561594</v>
      </c>
      <c r="GA10" s="18">
        <f>FZ10*VLOOKUP('Données projet'!$B$17,Paramètres!$A$1:$I$89,3,0)*VLOOKUP('Données projet'!$B$17,Paramètres!$A$1:$I$89,5,0)</f>
        <v>5.4202373051083121</v>
      </c>
      <c r="GB10" s="14">
        <f t="shared" si="49"/>
        <v>2.0517792602579106</v>
      </c>
      <c r="GC10" s="22">
        <f t="shared" si="25"/>
        <v>13.013762184679505</v>
      </c>
      <c r="GD10" s="62">
        <f t="shared" si="26"/>
        <v>197.13794312041574</v>
      </c>
      <c r="GE10" s="62">
        <f ca="1">AVERAGE(OFFSET($GD$3,0,0,'Données projet'!$E$17+1,1))-AVERAGE(OFFSET($H$3,0,0,'Données projet'!$E$17+1,1))</f>
        <v>277.37570531842186</v>
      </c>
      <c r="GF10" s="62">
        <f t="shared" si="50"/>
        <v>310.00874200911312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projet'!$B$17,Paramètres!$A$1:$I$89,3,0)*0.475*44/12</f>
        <v>0</v>
      </c>
      <c r="GM10" s="23">
        <f>EXP(-LN(2)/25)*GM9+(1-EXP(-LN(2)/25))/(LN(2)/25)*Calculateur!GH10*Calculateur!GJ10*VLOOKUP('Données projet'!$B$17,Paramètres!$A$1:$I$89,3,0)*0.475*44/12</f>
        <v>0</v>
      </c>
      <c r="GN10" s="23">
        <f>EXP(-LN(2)/2)*GN9+(1-EXP(-LN(2)/2))/(LN(2)/2)*GH10*GK10*VLOOKUP('Données projet'!$B$17,Paramètres!$A$1:$I$89,3,0)*0.475*44/12</f>
        <v>0</v>
      </c>
      <c r="GO10" s="23">
        <f t="shared" si="27"/>
        <v>0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3.6111111111111112</v>
      </c>
      <c r="N11" s="14">
        <f>IF('Données projet'!$A$36&gt;35,N10+M11-V10,IF(A11&lt;'Données projet'!$A$36,$K$205^A11,IF(A11='Données projet'!$A$36,'Données projet'!$B$36,N10+M11-V10)))</f>
        <v>28.888888888888889</v>
      </c>
      <c r="O11" s="14">
        <f>N11*VLOOKUP('Données projet'!$B$9,Paramètres!$A$1:$I$89,3,0)*VLOOKUP('Données projet'!$B$9,Paramètres!$A$1:$I$89,5,0)</f>
        <v>25.237333333333339</v>
      </c>
      <c r="P11" s="14">
        <f t="shared" si="33"/>
        <v>7.9872572011709195</v>
      </c>
      <c r="Q11" s="22">
        <f t="shared" si="2"/>
        <v>57.866161847594917</v>
      </c>
      <c r="R11" s="62">
        <f t="shared" si="0"/>
        <v>244.61943471381548</v>
      </c>
      <c r="S11" s="62">
        <f ca="1">AVERAGE(OFFSET($R$3,0,0,'Données projet'!$E$9+1,1))-AVERAGE(OFFSET($H$3,0,0,'Données projet'!$E$9+1,1))</f>
        <v>401.34220206028908</v>
      </c>
      <c r="T11" s="62">
        <f t="shared" si="34"/>
        <v>265.33314259106987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5.75</v>
      </c>
      <c r="AI11" s="14">
        <f>IF('Données projet'!$A$62&gt;35,AI10+AH11-AQ10,IF(A11&lt;'Données projet'!$A$62,$AF$205^A11,IF(A11='Données projet'!$A$62,'Données projet'!$B$62,AI10+AH11-AQ10)))</f>
        <v>6.6723548683562202</v>
      </c>
      <c r="AJ11" s="14">
        <f>AI11*VLOOKUP('Données projet'!$B$10,Paramètres!$A$1:$I$89,3,0)*VLOOKUP('Données projet'!$B$10,Paramètres!$A$1:$I$89,5,0)</f>
        <v>3.1226620783907113</v>
      </c>
      <c r="AK11" s="14">
        <f t="shared" si="35"/>
        <v>1.2604172705122936</v>
      </c>
      <c r="AL11" s="22">
        <f t="shared" si="4"/>
        <v>7.6338631993393991</v>
      </c>
      <c r="AM11" s="62">
        <f t="shared" si="5"/>
        <v>194.38713606555996</v>
      </c>
      <c r="AN11" s="62">
        <f ca="1">AVERAGE(OFFSET($AM$3,0,0,'Données projet'!$E$10+1,1))-AVERAGE(OFFSET($H$3,0,0,'Données projet'!$E$10+1,1))</f>
        <v>253.48761861464732</v>
      </c>
      <c r="AO11" s="62">
        <f t="shared" si="36"/>
        <v>219.50855998133855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3</v>
      </c>
      <c r="BD11" s="13">
        <f>IF('Données projet'!$A$88&gt;35,BD10+BC11-BL10,IF(A11&lt;'Données projet'!$A$88,$BA$205^A11,IF(A11='Données projet'!$A$88,'Données projet'!$B$88,BD10+BC11-BL10)))</f>
        <v>10.902723556992838</v>
      </c>
      <c r="BE11" s="14">
        <f>BD11*VLOOKUP('Données projet'!$B$11,Paramètres!$A$1:$I$89,3,0)*VLOOKUP('Données projet'!$B$11,Paramètres!$A$1:$I$89,5,0)</f>
        <v>12.559937537655747</v>
      </c>
      <c r="BF11" s="14">
        <f t="shared" si="37"/>
        <v>4.3113909110655699</v>
      </c>
      <c r="BG11" s="22">
        <f t="shared" si="7"/>
        <v>29.384230381522965</v>
      </c>
      <c r="BH11" s="62">
        <f t="shared" si="8"/>
        <v>216.13750324774352</v>
      </c>
      <c r="BI11" s="62">
        <f ca="1">AVERAGE(OFFSET($BH$3,0,0,'Données projet'!$E$11+1,1))-AVERAGE(OFFSET($H$3,0,0,'Données projet'!$E$11+1,1))</f>
        <v>482.85256243111911</v>
      </c>
      <c r="BJ11" s="62">
        <f t="shared" si="38"/>
        <v>517.78430032567064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3</v>
      </c>
      <c r="BY11" s="13">
        <f>IF('Données projet'!$A$114&gt;35,BY10+BX11-CG10,IF(A11&lt;'Données projet'!$A$114,$BV$205^A11,IF(A11='Données projet'!$A$114,'Données projet'!$B$114,BY10+BX11-CG10)))</f>
        <v>10.902723556992838</v>
      </c>
      <c r="BZ11" s="14">
        <f>BY11*VLOOKUP('Données projet'!$B$12,Paramètres!$A$1:$I$89,3,0)*VLOOKUP('Données projet'!$B$12,Paramètres!$A$1:$I$89,5,0)</f>
        <v>6.5198286870817181</v>
      </c>
      <c r="CA11" s="14">
        <f t="shared" si="39"/>
        <v>2.4155228910363733</v>
      </c>
      <c r="CB11" s="22">
        <f t="shared" si="10"/>
        <v>15.562403998555673</v>
      </c>
      <c r="CC11" s="62">
        <f t="shared" si="11"/>
        <v>202.31567686477624</v>
      </c>
      <c r="CD11" s="62">
        <f ca="1">AVERAGE(OFFSET($CC$3,0,0,'Données projet'!$E$12+1,1))-AVERAGE(OFFSET($H$3,0,0,'Données projet'!$E$12+1,1))</f>
        <v>275.76900776033335</v>
      </c>
      <c r="CE11" s="62">
        <f t="shared" si="40"/>
        <v>299.36898480605191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3.6111111111111112</v>
      </c>
      <c r="CT11" s="13">
        <f>IF('Données projet'!$A$140&gt;35,CT10+CS11-DB10,IF(A11&lt;'Données projet'!$A$140,$CQ$205^A11,IF(A11='Données projet'!$A$140,'Données projet'!$B$140,CT10+CS11-DB10)))</f>
        <v>28.888888888888889</v>
      </c>
      <c r="CU11" s="18">
        <f>CT11*VLOOKUP('Données projet'!$B$13,Paramètres!$A$1:$I$89,3,0)*VLOOKUP('Données projet'!$B$13,Paramètres!$A$1:$I$89,5,0)</f>
        <v>31.546666666666667</v>
      </c>
      <c r="CV11" s="14">
        <f t="shared" si="41"/>
        <v>9.7280850095653815</v>
      </c>
      <c r="CW11" s="22">
        <f t="shared" si="13"/>
        <v>71.886859169437486</v>
      </c>
      <c r="CX11" s="62">
        <f t="shared" si="14"/>
        <v>258.64013203565804</v>
      </c>
      <c r="CY11" s="62">
        <f ca="1">AVERAGE(OFFSET($CX$3,0,0,'Données projet'!$E$13+1,1))-AVERAGE(OFFSET($H$3,0,0,'Données projet'!$E$13+1,1))</f>
        <v>482.24068797679558</v>
      </c>
      <c r="CZ11" s="62">
        <f t="shared" si="42"/>
        <v>316.28941055521693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5.8666666666666663</v>
      </c>
      <c r="DO11" s="13">
        <f>IF('Données projet'!$A$166&gt;35,DO10+DN11-DW10,IF(A11&lt;'Données projet'!$A$166,$DL$205^A11,IF(A11='Données projet'!$A$166,'Données projet'!$B$166,DO10+DN11-DW10)))</f>
        <v>10.890740880360845</v>
      </c>
      <c r="DP11" s="18">
        <f>DO11*VLOOKUP('Données projet'!$B$14,Paramètres!$A$1:$I$89,3,0)*VLOOKUP('Données projet'!$B$14,Paramètres!$A$1:$I$89,5,0)</f>
        <v>8.8345690021487187</v>
      </c>
      <c r="DQ11" s="14">
        <f t="shared" si="43"/>
        <v>3.1593770223743673</v>
      </c>
      <c r="DR11" s="22">
        <f t="shared" si="16"/>
        <v>20.889455992711046</v>
      </c>
      <c r="DS11" s="62">
        <f t="shared" si="17"/>
        <v>207.6427288589316</v>
      </c>
      <c r="DT11" s="62">
        <f ca="1">AVERAGE(OFFSET($DS$3,0,0,'Données projet'!$E$14+1,1))-AVERAGE(OFFSET($H$3,0,0,'Données projet'!$E$14+1,1))</f>
        <v>325.58538970226539</v>
      </c>
      <c r="DU11" s="62">
        <f t="shared" si="44"/>
        <v>361.81085660423457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2.8888888888888888</v>
      </c>
      <c r="EJ11" s="13">
        <f>IF('Données projet'!$A$192&gt;35,EJ10+EI11-ER10,IF(A11&lt;'Données projet'!$A$192,$EG$205^A11,IF(A11='Données projet'!$A$192,'Données projet'!$B$192,EJ10+EI11-ER10)))</f>
        <v>23.111111111111111</v>
      </c>
      <c r="EK11" s="18">
        <f>EJ11*VLOOKUP('Données projet'!$B$15,Paramètres!$A$1:$I$89,3,0)*VLOOKUP('Données projet'!$B$15,Paramètres!$A$1:$I$89,5,0)</f>
        <v>22.353066666666667</v>
      </c>
      <c r="EL11" s="14">
        <f t="shared" si="45"/>
        <v>7.1750732355807862</v>
      </c>
      <c r="EM11" s="22">
        <f t="shared" si="19"/>
        <v>51.428176996414315</v>
      </c>
      <c r="EN11" s="62">
        <f t="shared" si="20"/>
        <v>238.18144986263488</v>
      </c>
      <c r="EO11" s="62">
        <f ca="1">AVERAGE(OFFSET($EN$3,0,0,'Données projet'!$E$15+1,1))-AVERAGE(OFFSET($H$3,0,0,'Données projet'!$E$15+1,1))</f>
        <v>364.22267539944085</v>
      </c>
      <c r="EP11" s="62">
        <f t="shared" si="46"/>
        <v>241.947139538615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4.333333333333333</v>
      </c>
      <c r="FE11" s="13">
        <f>IF('Données projet'!$A$218&gt;35,FE10+FD11-FM10,IF(A11&lt;'Données projet'!$A$218,$FB$205^A11,IF(A11='Données projet'!$A$218,'Données projet'!$B$218,FE10+FD11-FM10)))</f>
        <v>9.2658896452214261</v>
      </c>
      <c r="FF11" s="18">
        <f>FE11*VLOOKUP('Données projet'!$B$16,Paramètres!$A$1:$I$89,3,0)*VLOOKUP('Données projet'!$B$16,Paramètres!$A$1:$I$89,5,0)</f>
        <v>8.0946811940654388</v>
      </c>
      <c r="FG11" s="14">
        <f t="shared" si="47"/>
        <v>2.924403957846573</v>
      </c>
      <c r="FH11" s="22">
        <f t="shared" si="22"/>
        <v>19.191573306246756</v>
      </c>
      <c r="FI11" s="62">
        <f t="shared" si="23"/>
        <v>205.94484617246732</v>
      </c>
      <c r="FJ11" s="62">
        <f ca="1">AVERAGE(OFFSET($FI$3,0,0,'Données projet'!$E$16+1,1))-AVERAGE(OFFSET($H$3,0,0,'Données projet'!$E$16+1,1))</f>
        <v>286.59837239471312</v>
      </c>
      <c r="FK11" s="62">
        <f t="shared" si="48"/>
        <v>319.26091328564689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5.8666666666666663</v>
      </c>
      <c r="FZ11" s="13">
        <f>IF('Données projet'!$A$244&gt;35,FZ10+FY11-GH10,IF(A11&lt;'Données projet'!$A$244,$FW$205^A11,IF(A11='Données projet'!$A$244,'Données projet'!$B$244,FZ10+FY11-GH10)))</f>
        <v>10.890740880360845</v>
      </c>
      <c r="GA11" s="18">
        <f>FZ11*VLOOKUP('Données projet'!$B$17,Paramètres!$A$1:$I$89,3,0)*VLOOKUP('Données projet'!$B$17,Paramètres!$A$1:$I$89,5,0)</f>
        <v>7.3055089825460549</v>
      </c>
      <c r="GB11" s="14">
        <f t="shared" si="49"/>
        <v>2.6709984019557265</v>
      </c>
      <c r="GC11" s="22">
        <f t="shared" si="25"/>
        <v>17.375750361340604</v>
      </c>
      <c r="GD11" s="62">
        <f t="shared" si="26"/>
        <v>204.12902322756116</v>
      </c>
      <c r="GE11" s="62">
        <f ca="1">AVERAGE(OFFSET($GD$3,0,0,'Données projet'!$E$17+1,1))-AVERAGE(OFFSET($H$3,0,0,'Données projet'!$E$17+1,1))</f>
        <v>277.37570531842186</v>
      </c>
      <c r="GF11" s="62">
        <f t="shared" si="50"/>
        <v>310.00874200911312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projet'!$B$17,Paramètres!$A$1:$I$89,3,0)*0.475*44/12</f>
        <v>0</v>
      </c>
      <c r="GM11" s="23">
        <f>EXP(-LN(2)/25)*GM10+(1-EXP(-LN(2)/25))/(LN(2)/25)*Calculateur!GH11*Calculateur!GJ11*VLOOKUP('Données projet'!$B$17,Paramètres!$A$1:$I$89,3,0)*0.475*44/12</f>
        <v>0</v>
      </c>
      <c r="GN11" s="23">
        <f>EXP(-LN(2)/2)*GN10+(1-EXP(-LN(2)/2))/(LN(2)/2)*GH11*GK11*VLOOKUP('Données projet'!$B$17,Paramètres!$A$1:$I$89,3,0)*0.475*44/12</f>
        <v>0</v>
      </c>
      <c r="GO11" s="23">
        <f t="shared" si="27"/>
        <v>0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3.6111111111111112</v>
      </c>
      <c r="N12" s="14">
        <f>IF('Données projet'!$A$36&gt;35,N11+M12-V11,IF(A12&lt;'Données projet'!$A$36,$K$205^A12,IF(A12='Données projet'!$A$36,'Données projet'!$B$36,N11+M12-V11)))</f>
        <v>32.5</v>
      </c>
      <c r="O12" s="14">
        <f>N12*VLOOKUP('Données projet'!$B$9,Paramètres!$A$1:$I$89,3,0)*VLOOKUP('Données projet'!$B$9,Paramètres!$A$1:$I$89,5,0)</f>
        <v>28.392000000000007</v>
      </c>
      <c r="P12" s="14">
        <f t="shared" si="33"/>
        <v>8.8633120224605495</v>
      </c>
      <c r="Q12" s="22">
        <f t="shared" si="2"/>
        <v>64.886335105785463</v>
      </c>
      <c r="R12" s="62">
        <f t="shared" si="0"/>
        <v>254.24429385834154</v>
      </c>
      <c r="S12" s="62">
        <f ca="1">AVERAGE(OFFSET($R$3,0,0,'Données projet'!$E$9+1,1))-AVERAGE(OFFSET($H$3,0,0,'Données projet'!$E$9+1,1))</f>
        <v>401.34220206028908</v>
      </c>
      <c r="T12" s="62">
        <f t="shared" si="34"/>
        <v>265.33314259106987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5.75</v>
      </c>
      <c r="AI12" s="14">
        <f>IF('Données projet'!$A$62&gt;35,AI11+AH12-AQ11,IF(A12&lt;'Données projet'!$A$62,$AF$205^A12,IF(A12='Données projet'!$A$62,'Données projet'!$B$62,AI11+AH12-AQ11)))</f>
        <v>8.4589026750412604</v>
      </c>
      <c r="AJ12" s="14">
        <f>AI12*VLOOKUP('Données projet'!$B$10,Paramètres!$A$1:$I$89,3,0)*VLOOKUP('Données projet'!$B$10,Paramètres!$A$1:$I$89,5,0)</f>
        <v>3.9587664519193098</v>
      </c>
      <c r="AK12" s="14">
        <f t="shared" si="35"/>
        <v>1.5543756203021926</v>
      </c>
      <c r="AL12" s="22">
        <f t="shared" si="4"/>
        <v>9.6020557757857823</v>
      </c>
      <c r="AM12" s="62">
        <f t="shared" si="5"/>
        <v>198.96001452834184</v>
      </c>
      <c r="AN12" s="62">
        <f ca="1">AVERAGE(OFFSET($AM$3,0,0,'Données projet'!$E$10+1,1))-AVERAGE(OFFSET($H$3,0,0,'Données projet'!$E$10+1,1))</f>
        <v>253.48761861464732</v>
      </c>
      <c r="AO12" s="62">
        <f t="shared" si="36"/>
        <v>219.50855998133855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3</v>
      </c>
      <c r="BD12" s="13">
        <f>IF('Données projet'!$A$88&gt;35,BD11+BC12-BL11,IF(A12&lt;'Données projet'!$A$88,$BA$205^A12,IF(A12='Données projet'!$A$88,'Données projet'!$B$88,BD11+BC12-BL11)))</f>
        <v>14.696938456699069</v>
      </c>
      <c r="BE12" s="14">
        <f>BD12*VLOOKUP('Données projet'!$B$11,Paramètres!$A$1:$I$89,3,0)*VLOOKUP('Données projet'!$B$11,Paramètres!$A$1:$I$89,5,0)</f>
        <v>16.930873102117328</v>
      </c>
      <c r="BF12" s="14">
        <f t="shared" si="37"/>
        <v>5.6132339422533208</v>
      </c>
      <c r="BG12" s="22">
        <f t="shared" si="7"/>
        <v>39.264319768945548</v>
      </c>
      <c r="BH12" s="62">
        <f t="shared" si="8"/>
        <v>228.62227852150161</v>
      </c>
      <c r="BI12" s="62">
        <f ca="1">AVERAGE(OFFSET($BH$3,0,0,'Données projet'!$E$11+1,1))-AVERAGE(OFFSET($H$3,0,0,'Données projet'!$E$11+1,1))</f>
        <v>482.85256243111911</v>
      </c>
      <c r="BJ12" s="62">
        <f t="shared" si="38"/>
        <v>517.78430032567064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3</v>
      </c>
      <c r="BY12" s="13">
        <f>IF('Données projet'!$A$114&gt;35,BY11+BX12-CG11,IF(A12&lt;'Données projet'!$A$114,$BV$205^A12,IF(A12='Données projet'!$A$114,'Données projet'!$B$114,BY11+BX12-CG11)))</f>
        <v>14.696938456699069</v>
      </c>
      <c r="BZ12" s="14">
        <f>BY12*VLOOKUP('Données projet'!$B$12,Paramètres!$A$1:$I$89,3,0)*VLOOKUP('Données projet'!$B$12,Paramètres!$A$1:$I$89,5,0)</f>
        <v>8.7887691971060438</v>
      </c>
      <c r="CA12" s="14">
        <f t="shared" si="39"/>
        <v>3.1449004184369191</v>
      </c>
      <c r="CB12" s="22">
        <f t="shared" si="10"/>
        <v>20.784474580403991</v>
      </c>
      <c r="CC12" s="62">
        <f t="shared" si="11"/>
        <v>210.14243333296005</v>
      </c>
      <c r="CD12" s="62">
        <f ca="1">AVERAGE(OFFSET($CC$3,0,0,'Données projet'!$E$12+1,1))-AVERAGE(OFFSET($H$3,0,0,'Données projet'!$E$12+1,1))</f>
        <v>275.76900776033335</v>
      </c>
      <c r="CE12" s="62">
        <f t="shared" si="40"/>
        <v>299.36898480605191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3.6111111111111112</v>
      </c>
      <c r="CT12" s="13">
        <f>IF('Données projet'!$A$140&gt;35,CT11+CS12-DB11,IF(A12&lt;'Données projet'!$A$140,$CQ$205^A12,IF(A12='Données projet'!$A$140,'Données projet'!$B$140,CT11+CS12-DB11)))</f>
        <v>32.5</v>
      </c>
      <c r="CU12" s="18">
        <f>CT12*VLOOKUP('Données projet'!$B$13,Paramètres!$A$1:$I$89,3,0)*VLOOKUP('Données projet'!$B$13,Paramètres!$A$1:$I$89,5,0)</f>
        <v>35.49</v>
      </c>
      <c r="CV12" s="14">
        <f t="shared" si="41"/>
        <v>10.79507653868451</v>
      </c>
      <c r="CW12" s="22">
        <f t="shared" si="13"/>
        <v>80.613174971542193</v>
      </c>
      <c r="CX12" s="62">
        <f t="shared" si="14"/>
        <v>269.97113372409825</v>
      </c>
      <c r="CY12" s="62">
        <f ca="1">AVERAGE(OFFSET($CX$3,0,0,'Données projet'!$E$13+1,1))-AVERAGE(OFFSET($H$3,0,0,'Données projet'!$E$13+1,1))</f>
        <v>482.24068797679558</v>
      </c>
      <c r="CZ12" s="62">
        <f t="shared" si="42"/>
        <v>316.28941055521693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5.8666666666666663</v>
      </c>
      <c r="DO12" s="13">
        <f>IF('Données projet'!$A$166&gt;35,DO11+DN12-DW11,IF(A12&lt;'Données projet'!$A$166,$DL$205^A12,IF(A12='Données projet'!$A$166,'Données projet'!$B$166,DO11+DN12-DW11)))</f>
        <v>14.678767893256991</v>
      </c>
      <c r="DP12" s="18">
        <f>DO12*VLOOKUP('Données projet'!$B$14,Paramètres!$A$1:$I$89,3,0)*VLOOKUP('Données projet'!$B$14,Paramètres!$A$1:$I$89,5,0)</f>
        <v>11.907416515010071</v>
      </c>
      <c r="DQ12" s="14">
        <f t="shared" si="43"/>
        <v>4.112864936980027</v>
      </c>
      <c r="DR12" s="22">
        <f t="shared" si="16"/>
        <v>27.90199019554942</v>
      </c>
      <c r="DS12" s="62">
        <f t="shared" si="17"/>
        <v>217.25994894810549</v>
      </c>
      <c r="DT12" s="62">
        <f ca="1">AVERAGE(OFFSET($DS$3,0,0,'Données projet'!$E$14+1,1))-AVERAGE(OFFSET($H$3,0,0,'Données projet'!$E$14+1,1))</f>
        <v>325.58538970226539</v>
      </c>
      <c r="DU12" s="62">
        <f t="shared" si="44"/>
        <v>361.81085660423457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2.8888888888888888</v>
      </c>
      <c r="EJ12" s="13">
        <f>IF('Données projet'!$A$192&gt;35,EJ11+EI12-ER11,IF(A12&lt;'Données projet'!$A$192,$EG$205^A12,IF(A12='Données projet'!$A$192,'Données projet'!$B$192,EJ11+EI12-ER11)))</f>
        <v>26</v>
      </c>
      <c r="EK12" s="18">
        <f>EJ12*VLOOKUP('Données projet'!$B$15,Paramètres!$A$1:$I$89,3,0)*VLOOKUP('Données projet'!$B$15,Paramètres!$A$1:$I$89,5,0)</f>
        <v>25.147200000000002</v>
      </c>
      <c r="EL12" s="14">
        <f t="shared" si="45"/>
        <v>7.9620464533976936</v>
      </c>
      <c r="EM12" s="22">
        <f t="shared" si="19"/>
        <v>57.665270906334314</v>
      </c>
      <c r="EN12" s="62">
        <f t="shared" si="20"/>
        <v>247.02322965889039</v>
      </c>
      <c r="EO12" s="62">
        <f ca="1">AVERAGE(OFFSET($EN$3,0,0,'Données projet'!$E$15+1,1))-AVERAGE(OFFSET($H$3,0,0,'Données projet'!$E$15+1,1))</f>
        <v>364.22267539944085</v>
      </c>
      <c r="EP12" s="62">
        <f t="shared" si="46"/>
        <v>241.947139538615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4.333333333333333</v>
      </c>
      <c r="FE12" s="13">
        <f>IF('Données projet'!$A$218&gt;35,FE11+FD12-FM11,IF(A12&lt;'Données projet'!$A$218,$FB$205^A12,IF(A12='Données projet'!$A$218,'Données projet'!$B$218,FE11+FD12-FM11)))</f>
        <v>12.23905859480781</v>
      </c>
      <c r="FF12" s="18">
        <f>FE12*VLOOKUP('Données projet'!$B$16,Paramètres!$A$1:$I$89,3,0)*VLOOKUP('Données projet'!$B$16,Paramètres!$A$1:$I$89,5,0)</f>
        <v>10.692041588424106</v>
      </c>
      <c r="FG12" s="14">
        <f t="shared" si="47"/>
        <v>3.739642147152348</v>
      </c>
      <c r="FH12" s="22">
        <f t="shared" si="22"/>
        <v>25.135182506128984</v>
      </c>
      <c r="FI12" s="62">
        <f t="shared" si="23"/>
        <v>214.49314125868506</v>
      </c>
      <c r="FJ12" s="62">
        <f ca="1">AVERAGE(OFFSET($FI$3,0,0,'Données projet'!$E$16+1,1))-AVERAGE(OFFSET($H$3,0,0,'Données projet'!$E$16+1,1))</f>
        <v>286.59837239471312</v>
      </c>
      <c r="FK12" s="62">
        <f t="shared" si="48"/>
        <v>319.26091328564689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5.8666666666666663</v>
      </c>
      <c r="FZ12" s="13">
        <f>IF('Données projet'!$A$244&gt;35,FZ11+FY12-GH11,IF(A12&lt;'Données projet'!$A$244,$FW$205^A12,IF(A12='Données projet'!$A$244,'Données projet'!$B$244,FZ11+FY12-GH11)))</f>
        <v>14.678767893256991</v>
      </c>
      <c r="GA12" s="18">
        <f>FZ12*VLOOKUP('Données projet'!$B$17,Paramètres!$A$1:$I$89,3,0)*VLOOKUP('Données projet'!$B$17,Paramètres!$A$1:$I$89,5,0)</f>
        <v>9.8465175027967895</v>
      </c>
      <c r="GB12" s="14">
        <f t="shared" si="49"/>
        <v>3.4770955148232021</v>
      </c>
      <c r="GC12" s="22">
        <f t="shared" si="25"/>
        <v>23.205292672354815</v>
      </c>
      <c r="GD12" s="62">
        <f t="shared" si="26"/>
        <v>212.5632514249109</v>
      </c>
      <c r="GE12" s="62">
        <f ca="1">AVERAGE(OFFSET($GD$3,0,0,'Données projet'!$E$17+1,1))-AVERAGE(OFFSET($H$3,0,0,'Données projet'!$E$17+1,1))</f>
        <v>277.37570531842186</v>
      </c>
      <c r="GF12" s="62">
        <f t="shared" si="50"/>
        <v>310.00874200911312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projet'!$B$17,Paramètres!$A$1:$I$89,3,0)*0.475*44/12</f>
        <v>0</v>
      </c>
      <c r="GM12" s="23">
        <f>EXP(-LN(2)/25)*GM11+(1-EXP(-LN(2)/25))/(LN(2)/25)*Calculateur!GH12*Calculateur!GJ12*VLOOKUP('Données projet'!$B$17,Paramètres!$A$1:$I$89,3,0)*0.475*44/12</f>
        <v>0</v>
      </c>
      <c r="GN12" s="23">
        <f>EXP(-LN(2)/2)*GN11+(1-EXP(-LN(2)/2))/(LN(2)/2)*GH12*GK12*VLOOKUP('Données projet'!$B$17,Paramètres!$A$1:$I$89,3,0)*0.475*44/12</f>
        <v>0</v>
      </c>
      <c r="GO12" s="23">
        <f t="shared" si="27"/>
        <v>0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3.6111111111111112</v>
      </c>
      <c r="N13" s="14">
        <f>IF('Données projet'!$A$36&gt;35,N12+M13-V12,IF(A13&lt;'Données projet'!$A$36,$K$205^A13,IF(A13='Données projet'!$A$36,'Données projet'!$B$36,N12+M13-V12)))</f>
        <v>36.111111111111114</v>
      </c>
      <c r="O13" s="14">
        <f>N13*VLOOKUP('Données projet'!$B$9,Paramètres!$A$1:$I$89,3,0)*VLOOKUP('Données projet'!$B$9,Paramètres!$A$1:$I$89,5,0)</f>
        <v>31.54666666666667</v>
      </c>
      <c r="P13" s="14">
        <f t="shared" si="33"/>
        <v>9.7280850095653815</v>
      </c>
      <c r="Q13" s="22">
        <f t="shared" si="2"/>
        <v>71.886859169437486</v>
      </c>
      <c r="R13" s="62">
        <f t="shared" si="0"/>
        <v>263.82552115448237</v>
      </c>
      <c r="S13" s="62">
        <f ca="1">AVERAGE(OFFSET($R$3,0,0,'Données projet'!$E$9+1,1))-AVERAGE(OFFSET($H$3,0,0,'Données projet'!$E$9+1,1))</f>
        <v>401.34220206028908</v>
      </c>
      <c r="T13" s="62">
        <f t="shared" si="34"/>
        <v>265.33314259106987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5.75</v>
      </c>
      <c r="AI13" s="14">
        <f>IF('Données projet'!$A$62&gt;35,AI12+AH13-AQ12,IF(A13&lt;'Données projet'!$A$62,$AF$205^A13,IF(A13='Données projet'!$A$62,'Données projet'!$B$62,AI12+AH13-AQ12)))</f>
        <v>10.723805294763611</v>
      </c>
      <c r="AJ13" s="14">
        <f>AI13*VLOOKUP('Données projet'!$B$10,Paramètres!$A$1:$I$89,3,0)*VLOOKUP('Données projet'!$B$10,Paramètres!$A$1:$I$89,5,0)</f>
        <v>5.0187408779493703</v>
      </c>
      <c r="AK13" s="14">
        <f t="shared" si="35"/>
        <v>1.9168918305981435</v>
      </c>
      <c r="AL13" s="22">
        <f t="shared" si="4"/>
        <v>12.079560300720253</v>
      </c>
      <c r="AM13" s="62">
        <f t="shared" si="5"/>
        <v>204.01822228576515</v>
      </c>
      <c r="AN13" s="62">
        <f ca="1">AVERAGE(OFFSET($AM$3,0,0,'Données projet'!$E$10+1,1))-AVERAGE(OFFSET($H$3,0,0,'Données projet'!$E$10+1,1))</f>
        <v>253.48761861464732</v>
      </c>
      <c r="AO13" s="62">
        <f t="shared" si="36"/>
        <v>219.50855998133855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3</v>
      </c>
      <c r="BD13" s="13">
        <f>IF('Données projet'!$A$88&gt;35,BD12+BC13-BL12,IF(A13&lt;'Données projet'!$A$88,$BA$205^A13,IF(A13='Données projet'!$A$88,'Données projet'!$B$88,BD12+BC13-BL12)))</f>
        <v>19.81156349336776</v>
      </c>
      <c r="BE13" s="14">
        <f>BD13*VLOOKUP('Données projet'!$B$11,Paramètres!$A$1:$I$89,3,0)*VLOOKUP('Données projet'!$B$11,Paramètres!$A$1:$I$89,5,0)</f>
        <v>22.822921144359658</v>
      </c>
      <c r="BF13" s="14">
        <f t="shared" si="37"/>
        <v>7.3081740766293413</v>
      </c>
      <c r="BG13" s="22">
        <f t="shared" si="7"/>
        <v>52.478324176555844</v>
      </c>
      <c r="BH13" s="62">
        <f t="shared" si="8"/>
        <v>244.41698616160073</v>
      </c>
      <c r="BI13" s="62">
        <f ca="1">AVERAGE(OFFSET($BH$3,0,0,'Données projet'!$E$11+1,1))-AVERAGE(OFFSET($H$3,0,0,'Données projet'!$E$11+1,1))</f>
        <v>482.85256243111911</v>
      </c>
      <c r="BJ13" s="62">
        <f t="shared" si="38"/>
        <v>517.78430032567064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3</v>
      </c>
      <c r="BY13" s="13">
        <f>IF('Données projet'!$A$114&gt;35,BY12+BX13-CG12,IF(A13&lt;'Données projet'!$A$114,$BV$205^A13,IF(A13='Données projet'!$A$114,'Données projet'!$B$114,BY12+BX13-CG12)))</f>
        <v>19.81156349336776</v>
      </c>
      <c r="BZ13" s="14">
        <f>BY13*VLOOKUP('Données projet'!$B$12,Paramètres!$A$1:$I$89,3,0)*VLOOKUP('Données projet'!$B$12,Paramètres!$A$1:$I$89,5,0)</f>
        <v>11.847314969033921</v>
      </c>
      <c r="CA13" s="14">
        <f t="shared" si="39"/>
        <v>4.094516627677768</v>
      </c>
      <c r="CB13" s="22">
        <f t="shared" si="10"/>
        <v>27.76535669760619</v>
      </c>
      <c r="CC13" s="62">
        <f t="shared" si="11"/>
        <v>219.70401868265108</v>
      </c>
      <c r="CD13" s="62">
        <f ca="1">AVERAGE(OFFSET($CC$3,0,0,'Données projet'!$E$12+1,1))-AVERAGE(OFFSET($H$3,0,0,'Données projet'!$E$12+1,1))</f>
        <v>275.76900776033335</v>
      </c>
      <c r="CE13" s="62">
        <f t="shared" si="40"/>
        <v>299.36898480605191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3.6111111111111112</v>
      </c>
      <c r="CT13" s="13">
        <f>IF('Données projet'!$A$140&gt;35,CT12+CS13-DB12,IF(A13&lt;'Données projet'!$A$140,$CQ$205^A13,IF(A13='Données projet'!$A$140,'Données projet'!$B$140,CT12+CS13-DB12)))</f>
        <v>36.111111111111114</v>
      </c>
      <c r="CU13" s="18">
        <f>CT13*VLOOKUP('Données projet'!$B$13,Paramètres!$A$1:$I$89,3,0)*VLOOKUP('Données projet'!$B$13,Paramètres!$A$1:$I$89,5,0)</f>
        <v>39.433333333333337</v>
      </c>
      <c r="CV13" s="14">
        <f t="shared" si="41"/>
        <v>11.848327350652639</v>
      </c>
      <c r="CW13" s="22">
        <f t="shared" si="13"/>
        <v>89.315559024608902</v>
      </c>
      <c r="CX13" s="62">
        <f t="shared" si="14"/>
        <v>281.2542210096538</v>
      </c>
      <c r="CY13" s="62">
        <f ca="1">AVERAGE(OFFSET($CX$3,0,0,'Données projet'!$E$13+1,1))-AVERAGE(OFFSET($H$3,0,0,'Données projet'!$E$13+1,1))</f>
        <v>482.24068797679558</v>
      </c>
      <c r="CZ13" s="62">
        <f t="shared" si="42"/>
        <v>316.28941055521693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5.8666666666666663</v>
      </c>
      <c r="DO13" s="13">
        <f>IF('Données projet'!$A$166&gt;35,DO12+DN13-DW12,IF(A13&lt;'Données projet'!$A$166,$DL$205^A13,IF(A13='Données projet'!$A$166,'Données projet'!$B$166,DO12+DN13-DW12)))</f>
        <v>19.784349772994801</v>
      </c>
      <c r="DP13" s="18">
        <f>DO13*VLOOKUP('Données projet'!$B$14,Paramètres!$A$1:$I$89,3,0)*VLOOKUP('Données projet'!$B$14,Paramètres!$A$1:$I$89,5,0)</f>
        <v>16.049064535853386</v>
      </c>
      <c r="DQ13" s="14">
        <f t="shared" si="43"/>
        <v>5.3541118613083727</v>
      </c>
      <c r="DR13" s="22">
        <f t="shared" si="16"/>
        <v>37.277198891723394</v>
      </c>
      <c r="DS13" s="62">
        <f t="shared" si="17"/>
        <v>229.21586087676829</v>
      </c>
      <c r="DT13" s="62">
        <f ca="1">AVERAGE(OFFSET($DS$3,0,0,'Données projet'!$E$14+1,1))-AVERAGE(OFFSET($H$3,0,0,'Données projet'!$E$14+1,1))</f>
        <v>325.58538970226539</v>
      </c>
      <c r="DU13" s="62">
        <f t="shared" si="44"/>
        <v>361.81085660423457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2.8888888888888888</v>
      </c>
      <c r="EJ13" s="13">
        <f>IF('Données projet'!$A$192&gt;35,EJ12+EI13-ER12,IF(A13&lt;'Données projet'!$A$192,$EG$205^A13,IF(A13='Données projet'!$A$192,'Données projet'!$B$192,EJ12+EI13-ER12)))</f>
        <v>28.888888888888889</v>
      </c>
      <c r="EK13" s="18">
        <f>EJ13*VLOOKUP('Données projet'!$B$15,Paramètres!$A$1:$I$89,3,0)*VLOOKUP('Données projet'!$B$15,Paramètres!$A$1:$I$89,5,0)</f>
        <v>27.941333333333336</v>
      </c>
      <c r="EL13" s="14">
        <f t="shared" si="45"/>
        <v>8.738885029939274</v>
      </c>
      <c r="EM13" s="22">
        <f t="shared" si="19"/>
        <v>63.884713649366454</v>
      </c>
      <c r="EN13" s="62">
        <f t="shared" si="20"/>
        <v>255.82337563441135</v>
      </c>
      <c r="EO13" s="62">
        <f ca="1">AVERAGE(OFFSET($EN$3,0,0,'Données projet'!$E$15+1,1))-AVERAGE(OFFSET($H$3,0,0,'Données projet'!$E$15+1,1))</f>
        <v>364.22267539944085</v>
      </c>
      <c r="EP13" s="62">
        <f t="shared" si="46"/>
        <v>241.947139538615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4.333333333333333</v>
      </c>
      <c r="FE13" s="13">
        <f>IF('Données projet'!$A$218&gt;35,FE12+FD13-FM12,IF(A13&lt;'Données projet'!$A$218,$FB$205^A13,IF(A13='Données projet'!$A$218,'Données projet'!$B$218,FE12+FD13-FM12)))</f>
        <v>16.166235625781542</v>
      </c>
      <c r="FF13" s="18">
        <f>FE13*VLOOKUP('Données projet'!$B$16,Paramètres!$A$1:$I$89,3,0)*VLOOKUP('Données projet'!$B$16,Paramètres!$A$1:$I$89,5,0)</f>
        <v>14.122823442682758</v>
      </c>
      <c r="FG13" s="14">
        <f t="shared" si="47"/>
        <v>4.7821448713454142</v>
      </c>
      <c r="FH13" s="22">
        <f t="shared" si="22"/>
        <v>32.9261531469324</v>
      </c>
      <c r="FI13" s="62">
        <f t="shared" si="23"/>
        <v>224.86481513197728</v>
      </c>
      <c r="FJ13" s="62">
        <f ca="1">AVERAGE(OFFSET($FI$3,0,0,'Données projet'!$E$16+1,1))-AVERAGE(OFFSET($H$3,0,0,'Données projet'!$E$16+1,1))</f>
        <v>286.59837239471312</v>
      </c>
      <c r="FK13" s="62">
        <f t="shared" si="48"/>
        <v>319.26091328564689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5.8666666666666663</v>
      </c>
      <c r="FZ13" s="13">
        <f>IF('Données projet'!$A$244&gt;35,FZ12+FY13-GH12,IF(A13&lt;'Données projet'!$A$244,$FW$205^A13,IF(A13='Données projet'!$A$244,'Données projet'!$B$244,FZ12+FY13-GH12)))</f>
        <v>19.784349772994801</v>
      </c>
      <c r="GA13" s="18">
        <f>FZ13*VLOOKUP('Données projet'!$B$17,Paramètres!$A$1:$I$89,3,0)*VLOOKUP('Données projet'!$B$17,Paramètres!$A$1:$I$89,5,0)</f>
        <v>13.271341827724912</v>
      </c>
      <c r="GB13" s="14">
        <f t="shared" si="49"/>
        <v>4.526469656571523</v>
      </c>
      <c r="GC13" s="22">
        <f t="shared" si="25"/>
        <v>30.997855001816294</v>
      </c>
      <c r="GD13" s="62">
        <f t="shared" si="26"/>
        <v>222.93651698686119</v>
      </c>
      <c r="GE13" s="62">
        <f ca="1">AVERAGE(OFFSET($GD$3,0,0,'Données projet'!$E$17+1,1))-AVERAGE(OFFSET($H$3,0,0,'Données projet'!$E$17+1,1))</f>
        <v>277.37570531842186</v>
      </c>
      <c r="GF13" s="62">
        <f t="shared" si="50"/>
        <v>310.00874200911312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projet'!$B$17,Paramètres!$A$1:$I$89,3,0)*0.475*44/12</f>
        <v>0</v>
      </c>
      <c r="GM13" s="23">
        <f>EXP(-LN(2)/25)*GM12+(1-EXP(-LN(2)/25))/(LN(2)/25)*Calculateur!GH13*Calculateur!GJ13*VLOOKUP('Données projet'!$B$17,Paramètres!$A$1:$I$89,3,0)*0.475*44/12</f>
        <v>0</v>
      </c>
      <c r="GN13" s="23">
        <f>EXP(-LN(2)/2)*GN12+(1-EXP(-LN(2)/2))/(LN(2)/2)*GH13*GK13*VLOOKUP('Données projet'!$B$17,Paramètres!$A$1:$I$89,3,0)*0.475*44/12</f>
        <v>0</v>
      </c>
      <c r="GO13" s="23">
        <f t="shared" si="27"/>
        <v>0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3.6111111111111112</v>
      </c>
      <c r="N14" s="14">
        <f>IF('Données projet'!$A$36&gt;35,N13+M14-V13,IF(A14&lt;'Données projet'!$A$36,$K$205^A14,IF(A14='Données projet'!$A$36,'Données projet'!$B$36,N13+M14-V13)))</f>
        <v>39.722222222222229</v>
      </c>
      <c r="O14" s="14">
        <f>N14*VLOOKUP('Données projet'!$B$9,Paramètres!$A$1:$I$89,3,0)*VLOOKUP('Données projet'!$B$9,Paramètres!$A$1:$I$89,5,0)</f>
        <v>34.701333333333345</v>
      </c>
      <c r="P14" s="14">
        <f t="shared" si="33"/>
        <v>10.5828327750722</v>
      </c>
      <c r="Q14" s="22">
        <f t="shared" si="2"/>
        <v>78.869922638806329</v>
      </c>
      <c r="R14" s="62">
        <f t="shared" si="0"/>
        <v>273.36572124792048</v>
      </c>
      <c r="S14" s="62">
        <f ca="1">AVERAGE(OFFSET($R$3,0,0,'Données projet'!$E$9+1,1))-AVERAGE(OFFSET($H$3,0,0,'Données projet'!$E$9+1,1))</f>
        <v>401.34220206028908</v>
      </c>
      <c r="T14" s="62">
        <f t="shared" si="34"/>
        <v>265.33314259106987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5.75</v>
      </c>
      <c r="AI14" s="14">
        <f>IF('Données projet'!$A$62&gt;35,AI13+AH14-AQ13,IF(A14&lt;'Données projet'!$A$62,$AF$205^A14,IF(A14='Données projet'!$A$62,'Données projet'!$B$62,AI13+AH14-AQ13)))</f>
        <v>13.595144006008928</v>
      </c>
      <c r="AJ14" s="14">
        <f>AI14*VLOOKUP('Données projet'!$B$10,Paramètres!$A$1:$I$89,3,0)*VLOOKUP('Données projet'!$B$10,Paramètres!$A$1:$I$89,5,0)</f>
        <v>6.3625273948121777</v>
      </c>
      <c r="AK14" s="14">
        <f t="shared" si="35"/>
        <v>2.3639551741679612</v>
      </c>
      <c r="AL14" s="22">
        <f t="shared" si="4"/>
        <v>15.198623807640407</v>
      </c>
      <c r="AM14" s="62">
        <f t="shared" si="5"/>
        <v>209.69442241675455</v>
      </c>
      <c r="AN14" s="62">
        <f ca="1">AVERAGE(OFFSET($AM$3,0,0,'Données projet'!$E$10+1,1))-AVERAGE(OFFSET($H$3,0,0,'Données projet'!$E$10+1,1))</f>
        <v>253.48761861464732</v>
      </c>
      <c r="AO14" s="62">
        <f t="shared" si="36"/>
        <v>219.50855998133855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3</v>
      </c>
      <c r="BD14" s="13">
        <f>IF('Données projet'!$A$88&gt;35,BD13+BC14-BL13,IF(A14&lt;'Données projet'!$A$88,$BA$205^A14,IF(A14='Données projet'!$A$88,'Données projet'!$B$88,BD13+BC14-BL13)))</f>
        <v>26.706109521254486</v>
      </c>
      <c r="BE14" s="14">
        <f>BD14*VLOOKUP('Données projet'!$B$11,Paramètres!$A$1:$I$89,3,0)*VLOOKUP('Données projet'!$B$11,Paramètres!$A$1:$I$89,5,0)</f>
        <v>30.765438168485165</v>
      </c>
      <c r="BF14" s="14">
        <f t="shared" si="37"/>
        <v>9.5149086754215997</v>
      </c>
      <c r="BG14" s="22">
        <f t="shared" si="7"/>
        <v>70.154937419804284</v>
      </c>
      <c r="BH14" s="62">
        <f t="shared" si="8"/>
        <v>264.6507360289184</v>
      </c>
      <c r="BI14" s="62">
        <f ca="1">AVERAGE(OFFSET($BH$3,0,0,'Données projet'!$E$11+1,1))-AVERAGE(OFFSET($H$3,0,0,'Données projet'!$E$11+1,1))</f>
        <v>482.85256243111911</v>
      </c>
      <c r="BJ14" s="62">
        <f t="shared" si="38"/>
        <v>517.78430032567064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3</v>
      </c>
      <c r="BY14" s="13">
        <f>IF('Données projet'!$A$114&gt;35,BY13+BX14-CG13,IF(A14&lt;'Données projet'!$A$114,$BV$205^A14,IF(A14='Données projet'!$A$114,'Données projet'!$B$114,BY13+BX14-CG13)))</f>
        <v>26.706109521254486</v>
      </c>
      <c r="BZ14" s="14">
        <f>BY14*VLOOKUP('Données projet'!$B$12,Paramètres!$A$1:$I$89,3,0)*VLOOKUP('Données projet'!$B$12,Paramètres!$A$1:$I$89,5,0)</f>
        <v>15.970253493710185</v>
      </c>
      <c r="CA14" s="14">
        <f t="shared" si="39"/>
        <v>5.3308735361046251</v>
      </c>
      <c r="CB14" s="22">
        <f t="shared" si="10"/>
        <v>37.09946291026079</v>
      </c>
      <c r="CC14" s="62">
        <f t="shared" si="11"/>
        <v>231.59526151937493</v>
      </c>
      <c r="CD14" s="62">
        <f ca="1">AVERAGE(OFFSET($CC$3,0,0,'Données projet'!$E$12+1,1))-AVERAGE(OFFSET($H$3,0,0,'Données projet'!$E$12+1,1))</f>
        <v>275.76900776033335</v>
      </c>
      <c r="CE14" s="62">
        <f t="shared" si="40"/>
        <v>299.36898480605191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3.6111111111111112</v>
      </c>
      <c r="CT14" s="13">
        <f>IF('Données projet'!$A$140&gt;35,CT13+CS14-DB13,IF(A14&lt;'Données projet'!$A$140,$CQ$205^A14,IF(A14='Données projet'!$A$140,'Données projet'!$B$140,CT13+CS14-DB13)))</f>
        <v>39.722222222222229</v>
      </c>
      <c r="CU14" s="18">
        <f>CT14*VLOOKUP('Données projet'!$B$13,Paramètres!$A$1:$I$89,3,0)*VLOOKUP('Données projet'!$B$13,Paramètres!$A$1:$I$89,5,0)</f>
        <v>43.376666666666672</v>
      </c>
      <c r="CV14" s="14">
        <f t="shared" si="41"/>
        <v>12.889367937572436</v>
      </c>
      <c r="CW14" s="22">
        <f t="shared" si="13"/>
        <v>97.996676935716437</v>
      </c>
      <c r="CX14" s="62">
        <f t="shared" si="14"/>
        <v>292.49247554483054</v>
      </c>
      <c r="CY14" s="62">
        <f ca="1">AVERAGE(OFFSET($CX$3,0,0,'Données projet'!$E$13+1,1))-AVERAGE(OFFSET($H$3,0,0,'Données projet'!$E$13+1,1))</f>
        <v>482.24068797679558</v>
      </c>
      <c r="CZ14" s="62">
        <f t="shared" si="42"/>
        <v>316.28941055521693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5.8666666666666663</v>
      </c>
      <c r="DO14" s="13">
        <f>IF('Données projet'!$A$166&gt;35,DO13+DN14-DW13,IF(A14&lt;'Données projet'!$A$166,$DL$205^A14,IF(A14='Données projet'!$A$166,'Données projet'!$B$166,DO13+DN14-DW13)))</f>
        <v>26.66575960506923</v>
      </c>
      <c r="DP14" s="18">
        <f>DO14*VLOOKUP('Données projet'!$B$14,Paramètres!$A$1:$I$89,3,0)*VLOOKUP('Données projet'!$B$14,Paramètres!$A$1:$I$89,5,0)</f>
        <v>21.631264191632162</v>
      </c>
      <c r="DQ14" s="14">
        <f t="shared" si="43"/>
        <v>6.9699623650788034</v>
      </c>
      <c r="DR14" s="22">
        <f t="shared" si="16"/>
        <v>49.813802919604932</v>
      </c>
      <c r="DS14" s="62">
        <f t="shared" si="17"/>
        <v>244.30960152871907</v>
      </c>
      <c r="DT14" s="62">
        <f ca="1">AVERAGE(OFFSET($DS$3,0,0,'Données projet'!$E$14+1,1))-AVERAGE(OFFSET($H$3,0,0,'Données projet'!$E$14+1,1))</f>
        <v>325.58538970226539</v>
      </c>
      <c r="DU14" s="62">
        <f t="shared" si="44"/>
        <v>361.81085660423457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2.8888888888888888</v>
      </c>
      <c r="EJ14" s="13">
        <f>IF('Données projet'!$A$192&gt;35,EJ13+EI14-ER13,IF(A14&lt;'Données projet'!$A$192,$EG$205^A14,IF(A14='Données projet'!$A$192,'Données projet'!$B$192,EJ13+EI14-ER13)))</f>
        <v>31.777777777777779</v>
      </c>
      <c r="EK14" s="18">
        <f>EJ14*VLOOKUP('Données projet'!$B$15,Paramètres!$A$1:$I$89,3,0)*VLOOKUP('Données projet'!$B$15,Paramètres!$A$1:$I$89,5,0)</f>
        <v>30.735466666666667</v>
      </c>
      <c r="EL14" s="14">
        <f t="shared" si="45"/>
        <v>9.5067177991859371</v>
      </c>
      <c r="EM14" s="22">
        <f t="shared" si="19"/>
        <v>70.088471278026603</v>
      </c>
      <c r="EN14" s="62">
        <f t="shared" si="20"/>
        <v>264.58426988714075</v>
      </c>
      <c r="EO14" s="62">
        <f ca="1">AVERAGE(OFFSET($EN$3,0,0,'Données projet'!$E$15+1,1))-AVERAGE(OFFSET($H$3,0,0,'Données projet'!$E$15+1,1))</f>
        <v>364.22267539944085</v>
      </c>
      <c r="EP14" s="62">
        <f t="shared" si="46"/>
        <v>241.947139538615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4.333333333333333</v>
      </c>
      <c r="FE14" s="13">
        <f>IF('Données projet'!$A$218&gt;35,FE13+FD14-FM13,IF(A14&lt;'Données projet'!$A$218,$FB$205^A14,IF(A14='Données projet'!$A$218,'Données projet'!$B$218,FE13+FD14-FM13)))</f>
        <v>21.353535673010011</v>
      </c>
      <c r="FF14" s="18">
        <f>FE14*VLOOKUP('Données projet'!$B$16,Paramètres!$A$1:$I$89,3,0)*VLOOKUP('Données projet'!$B$16,Paramètres!$A$1:$I$89,5,0)</f>
        <v>18.654448763941549</v>
      </c>
      <c r="FG14" s="14">
        <f t="shared" si="47"/>
        <v>6.1152668278566198</v>
      </c>
      <c r="FH14" s="22">
        <f t="shared" si="22"/>
        <v>43.140587989048477</v>
      </c>
      <c r="FI14" s="62">
        <f t="shared" si="23"/>
        <v>237.6363865981626</v>
      </c>
      <c r="FJ14" s="62">
        <f ca="1">AVERAGE(OFFSET($FI$3,0,0,'Données projet'!$E$16+1,1))-AVERAGE(OFFSET($H$3,0,0,'Données projet'!$E$16+1,1))</f>
        <v>286.59837239471312</v>
      </c>
      <c r="FK14" s="62">
        <f t="shared" si="48"/>
        <v>319.26091328564689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5.8666666666666663</v>
      </c>
      <c r="FZ14" s="13">
        <f>IF('Données projet'!$A$244&gt;35,FZ13+FY14-GH13,IF(A14&lt;'Données projet'!$A$244,$FW$205^A14,IF(A14='Données projet'!$A$244,'Données projet'!$B$244,FZ13+FY14-GH13)))</f>
        <v>26.66575960506923</v>
      </c>
      <c r="GA14" s="18">
        <f>FZ14*VLOOKUP('Données projet'!$B$17,Paramètres!$A$1:$I$89,3,0)*VLOOKUP('Données projet'!$B$17,Paramètres!$A$1:$I$89,5,0)</f>
        <v>17.88739154308044</v>
      </c>
      <c r="GB14" s="14">
        <f t="shared" si="49"/>
        <v>5.892540905050323</v>
      </c>
      <c r="GC14" s="22">
        <f t="shared" si="25"/>
        <v>41.416715680494413</v>
      </c>
      <c r="GD14" s="62">
        <f t="shared" si="26"/>
        <v>235.91251428960854</v>
      </c>
      <c r="GE14" s="62">
        <f ca="1">AVERAGE(OFFSET($GD$3,0,0,'Données projet'!$E$17+1,1))-AVERAGE(OFFSET($H$3,0,0,'Données projet'!$E$17+1,1))</f>
        <v>277.37570531842186</v>
      </c>
      <c r="GF14" s="62">
        <f t="shared" si="50"/>
        <v>310.00874200911312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projet'!$B$17,Paramètres!$A$1:$I$89,3,0)*0.475*44/12</f>
        <v>0</v>
      </c>
      <c r="GM14" s="23">
        <f>EXP(-LN(2)/25)*GM13+(1-EXP(-LN(2)/25))/(LN(2)/25)*Calculateur!GH14*Calculateur!GJ14*VLOOKUP('Données projet'!$B$17,Paramètres!$A$1:$I$89,3,0)*0.475*44/12</f>
        <v>0</v>
      </c>
      <c r="GN14" s="23">
        <f>EXP(-LN(2)/2)*GN13+(1-EXP(-LN(2)/2))/(LN(2)/2)*GH14*GK14*VLOOKUP('Données projet'!$B$17,Paramètres!$A$1:$I$89,3,0)*0.475*44/12</f>
        <v>0</v>
      </c>
      <c r="GO14" s="23">
        <f t="shared" si="27"/>
        <v>0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3.6111111111111112</v>
      </c>
      <c r="N15" s="14">
        <f>IF('Données projet'!$A$36&gt;35,N14+M15-V14,IF(A15&lt;'Données projet'!$A$36,$K$205^A15,IF(A15='Données projet'!$A$36,'Données projet'!$B$36,N14+M15-V14)))</f>
        <v>43.333333333333343</v>
      </c>
      <c r="O15" s="14">
        <f>N15*VLOOKUP('Données projet'!$B$9,Paramètres!$A$1:$I$89,3,0)*VLOOKUP('Données projet'!$B$9,Paramètres!$A$1:$I$89,5,0)</f>
        <v>37.856000000000009</v>
      </c>
      <c r="P15" s="14">
        <f t="shared" si="33"/>
        <v>11.428570351976701</v>
      </c>
      <c r="Q15" s="22">
        <f t="shared" si="2"/>
        <v>85.837293363026106</v>
      </c>
      <c r="R15" s="62">
        <f t="shared" si="0"/>
        <v>282.86707081575901</v>
      </c>
      <c r="S15" s="62">
        <f ca="1">AVERAGE(OFFSET($R$3,0,0,'Données projet'!$E$9+1,1))-AVERAGE(OFFSET($H$3,0,0,'Données projet'!$E$9+1,1))</f>
        <v>401.34220206028908</v>
      </c>
      <c r="T15" s="62">
        <f t="shared" si="34"/>
        <v>265.33314259106987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5.75</v>
      </c>
      <c r="AI15" s="14">
        <f>IF('Données projet'!$A$62&gt;35,AI14+AH15-AQ14,IF(A15&lt;'Données projet'!$A$62,$AF$205^A15,IF(A15='Données projet'!$A$62,'Données projet'!$B$62,AI14+AH15-AQ14)))</f>
        <v>17.23529432545471</v>
      </c>
      <c r="AJ15" s="14">
        <f>AI15*VLOOKUP('Données projet'!$B$10,Paramètres!$A$1:$I$89,3,0)*VLOOKUP('Données projet'!$B$10,Paramètres!$A$1:$I$89,5,0)</f>
        <v>8.0661177443128054</v>
      </c>
      <c r="AK15" s="14">
        <f t="shared" si="35"/>
        <v>2.915283990610841</v>
      </c>
      <c r="AL15" s="22">
        <f t="shared" si="4"/>
        <v>19.125941354992019</v>
      </c>
      <c r="AM15" s="62">
        <f t="shared" si="5"/>
        <v>216.1557188077249</v>
      </c>
      <c r="AN15" s="62">
        <f ca="1">AVERAGE(OFFSET($AM$3,0,0,'Données projet'!$E$10+1,1))-AVERAGE(OFFSET($H$3,0,0,'Données projet'!$E$10+1,1))</f>
        <v>253.48761861464732</v>
      </c>
      <c r="AO15" s="62">
        <f t="shared" si="36"/>
        <v>219.50855998133855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>
        <f>VLOOKUP(A15,'Données projet'!$A$87:$I$107,2,0)</f>
        <v>36</v>
      </c>
      <c r="BB15" s="13">
        <f>VLOOKUP(A15,'Données projet'!$A$87:$I$107,9,0)</f>
        <v>3</v>
      </c>
      <c r="BC15" s="13">
        <f t="array" ref="BC15">INDEX(BB:BB,MIN(IF(ISNUMBER(BB15:BB211),ROW(BB15:BB211),"")))</f>
        <v>3</v>
      </c>
      <c r="BD15" s="13">
        <f>IF('Données projet'!$A$88&gt;35,BD14+BC15-BL14,IF(A15&lt;'Données projet'!$A$88,$BA$205^A15,IF(A15='Données projet'!$A$88,'Données projet'!$B$88,BD14+BC15-BL14)))</f>
        <v>36</v>
      </c>
      <c r="BE15" s="14">
        <f>BD15*VLOOKUP('Données projet'!$B$11,Paramètres!$A$1:$I$89,3,0)*VLOOKUP('Données projet'!$B$11,Paramètres!$A$1:$I$89,5,0)</f>
        <v>41.472000000000001</v>
      </c>
      <c r="BF15" s="14">
        <f t="shared" si="37"/>
        <v>12.387976278661506</v>
      </c>
      <c r="BG15" s="22">
        <f t="shared" si="7"/>
        <v>93.806125352002127</v>
      </c>
      <c r="BH15" s="62">
        <f t="shared" si="8"/>
        <v>290.83590280473499</v>
      </c>
      <c r="BI15" s="62">
        <f ca="1">AVERAGE(OFFSET($BH$3,0,0,'Données projet'!$E$11+1,1))-AVERAGE(OFFSET($H$3,0,0,'Données projet'!$E$11+1,1))</f>
        <v>482.85256243111911</v>
      </c>
      <c r="BJ15" s="62">
        <f t="shared" si="38"/>
        <v>517.78430032567064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0.25200000000000006</v>
      </c>
      <c r="BO15" s="17">
        <f>IF(ISNA(VLOOKUP(A15,'Données projet'!$A$87:$I$107,7,0)),0%,VLOOKUP(A15,'Données projet'!$A$87:$I$107,7,0))</f>
        <v>0.44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>
        <f>VLOOKUP(A15,'Données projet'!$A$113:$I$133,2,0)</f>
        <v>36</v>
      </c>
      <c r="BW15" s="13">
        <f>VLOOKUP(A15,'Données projet'!$A$113:$I$133,9,0)</f>
        <v>3</v>
      </c>
      <c r="BX15" s="13">
        <f t="array" ref="BX15">INDEX(BW:BW,MIN(IF(ISNUMBER(BW15:BW211),ROW(BW15:BW211),"")))</f>
        <v>3</v>
      </c>
      <c r="BY15" s="13">
        <f>IF('Données projet'!$A$114&gt;35,BY14+BX15-CG14,IF(A15&lt;'Données projet'!$A$114,$BV$205^A15,IF(A15='Données projet'!$A$114,'Données projet'!$B$114,BY14+BX15-CG14)))</f>
        <v>36</v>
      </c>
      <c r="BZ15" s="14">
        <f>BY15*VLOOKUP('Données projet'!$B$12,Paramètres!$A$1:$I$89,3,0)*VLOOKUP('Données projet'!$B$12,Paramètres!$A$1:$I$89,5,0)</f>
        <v>21.528000000000002</v>
      </c>
      <c r="CA15" s="14">
        <f t="shared" si="39"/>
        <v>6.9405537312613621</v>
      </c>
      <c r="CB15" s="22">
        <f t="shared" si="10"/>
        <v>49.582731081946882</v>
      </c>
      <c r="CC15" s="62">
        <f t="shared" si="11"/>
        <v>246.61250853467976</v>
      </c>
      <c r="CD15" s="62">
        <f ca="1">AVERAGE(OFFSET($CC$3,0,0,'Données projet'!$E$12+1,1))-AVERAGE(OFFSET($H$3,0,0,'Données projet'!$E$12+1,1))</f>
        <v>275.76900776033335</v>
      </c>
      <c r="CE15" s="62">
        <f t="shared" si="40"/>
        <v>299.36898480605191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0.25200000000000006</v>
      </c>
      <c r="CJ15" s="17">
        <f>IF(ISNA(VLOOKUP(A15,'Données projet'!$A$113:$I$133,7,0)),0%,VLOOKUP(A15,'Données projet'!$A$113:$I$133,7,0))</f>
        <v>0.44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3.6111111111111112</v>
      </c>
      <c r="CT15" s="13">
        <f>IF('Données projet'!$A$140&gt;35,CT14+CS15-DB14,IF(A15&lt;'Données projet'!$A$140,$CQ$205^A15,IF(A15='Données projet'!$A$140,'Données projet'!$B$140,CT14+CS15-DB14)))</f>
        <v>43.333333333333343</v>
      </c>
      <c r="CU15" s="18">
        <f>CT15*VLOOKUP('Données projet'!$B$13,Paramètres!$A$1:$I$89,3,0)*VLOOKUP('Données projet'!$B$13,Paramètres!$A$1:$I$89,5,0)</f>
        <v>47.320000000000007</v>
      </c>
      <c r="CV15" s="14">
        <f t="shared" si="41"/>
        <v>13.919434559529311</v>
      </c>
      <c r="CW15" s="22">
        <f t="shared" si="13"/>
        <v>106.65868185784689</v>
      </c>
      <c r="CX15" s="62">
        <f t="shared" si="14"/>
        <v>303.68845931057979</v>
      </c>
      <c r="CY15" s="62">
        <f ca="1">AVERAGE(OFFSET($CX$3,0,0,'Données projet'!$E$13+1,1))-AVERAGE(OFFSET($H$3,0,0,'Données projet'!$E$13+1,1))</f>
        <v>482.24068797679558</v>
      </c>
      <c r="CZ15" s="62">
        <f t="shared" si="42"/>
        <v>316.28941055521693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5.8666666666666663</v>
      </c>
      <c r="DO15" s="13">
        <f>IF('Données projet'!$A$166&gt;35,DO14+DN15-DW14,IF(A15&lt;'Données projet'!$A$166,$DL$205^A15,IF(A15='Données projet'!$A$166,'Données projet'!$B$166,DO14+DN15-DW14)))</f>
        <v>35.940667420160899</v>
      </c>
      <c r="DP15" s="18">
        <f>DO15*VLOOKUP('Données projet'!$B$14,Paramètres!$A$1:$I$89,3,0)*VLOOKUP('Données projet'!$B$14,Paramètres!$A$1:$I$89,5,0)</f>
        <v>29.155069411234525</v>
      </c>
      <c r="DQ15" s="14">
        <f t="shared" si="43"/>
        <v>9.0734703773528214</v>
      </c>
      <c r="DR15" s="22">
        <f t="shared" si="16"/>
        <v>66.581373465122965</v>
      </c>
      <c r="DS15" s="62">
        <f t="shared" si="17"/>
        <v>263.61115091785587</v>
      </c>
      <c r="DT15" s="62">
        <f ca="1">AVERAGE(OFFSET($DS$3,0,0,'Données projet'!$E$14+1,1))-AVERAGE(OFFSET($H$3,0,0,'Données projet'!$E$14+1,1))</f>
        <v>325.58538970226539</v>
      </c>
      <c r="DU15" s="62">
        <f t="shared" si="44"/>
        <v>361.81085660423457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2.8888888888888888</v>
      </c>
      <c r="EJ15" s="13">
        <f>IF('Données projet'!$A$192&gt;35,EJ14+EI15-ER14,IF(A15&lt;'Données projet'!$A$192,$EG$205^A15,IF(A15='Données projet'!$A$192,'Données projet'!$B$192,EJ14+EI15-ER14)))</f>
        <v>34.666666666666664</v>
      </c>
      <c r="EK15" s="18">
        <f>EJ15*VLOOKUP('Données projet'!$B$15,Paramètres!$A$1:$I$89,3,0)*VLOOKUP('Données projet'!$B$15,Paramètres!$A$1:$I$89,5,0)</f>
        <v>33.529600000000002</v>
      </c>
      <c r="EL15" s="14">
        <f t="shared" si="45"/>
        <v>10.266456580539169</v>
      </c>
      <c r="EM15" s="22">
        <f t="shared" si="19"/>
        <v>76.278131877772395</v>
      </c>
      <c r="EN15" s="62">
        <f t="shared" si="20"/>
        <v>273.30790933050525</v>
      </c>
      <c r="EO15" s="62">
        <f ca="1">AVERAGE(OFFSET($EN$3,0,0,'Données projet'!$E$15+1,1))-AVERAGE(OFFSET($H$3,0,0,'Données projet'!$E$15+1,1))</f>
        <v>364.22267539944085</v>
      </c>
      <c r="EP15" s="62">
        <f t="shared" si="46"/>
        <v>241.947139538615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4.333333333333333</v>
      </c>
      <c r="FE15" s="13">
        <f>IF('Données projet'!$A$218&gt;35,FE14+FD15-FM14,IF(A15&lt;'Données projet'!$A$218,$FB$205^A15,IF(A15='Données projet'!$A$218,'Données projet'!$B$218,FE14+FD15-FM14)))</f>
        <v>28.205297528345746</v>
      </c>
      <c r="FF15" s="18">
        <f>FE15*VLOOKUP('Données projet'!$B$16,Paramètres!$A$1:$I$89,3,0)*VLOOKUP('Données projet'!$B$16,Paramètres!$A$1:$I$89,5,0)</f>
        <v>24.640147920762846</v>
      </c>
      <c r="FG15" s="14">
        <f t="shared" si="47"/>
        <v>7.8200241485704662</v>
      </c>
      <c r="FH15" s="22">
        <f t="shared" si="22"/>
        <v>56.534799687422179</v>
      </c>
      <c r="FI15" s="62">
        <f t="shared" si="23"/>
        <v>253.56457714015505</v>
      </c>
      <c r="FJ15" s="62">
        <f ca="1">AVERAGE(OFFSET($FI$3,0,0,'Données projet'!$E$16+1,1))-AVERAGE(OFFSET($H$3,0,0,'Données projet'!$E$16+1,1))</f>
        <v>286.59837239471312</v>
      </c>
      <c r="FK15" s="62">
        <f t="shared" si="48"/>
        <v>319.26091328564689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5.8666666666666663</v>
      </c>
      <c r="FZ15" s="13">
        <f>IF('Données projet'!$A$244&gt;35,FZ14+FY15-GH14,IF(A15&lt;'Données projet'!$A$244,$FW$205^A15,IF(A15='Données projet'!$A$244,'Données projet'!$B$244,FZ14+FY15-GH14)))</f>
        <v>35.940667420160899</v>
      </c>
      <c r="GA15" s="18">
        <f>FZ15*VLOOKUP('Données projet'!$B$17,Paramètres!$A$1:$I$89,3,0)*VLOOKUP('Données projet'!$B$17,Paramètres!$A$1:$I$89,5,0)</f>
        <v>24.108999705443932</v>
      </c>
      <c r="GB15" s="14">
        <f t="shared" si="49"/>
        <v>7.6708872370947701</v>
      </c>
      <c r="GC15" s="22">
        <f t="shared" si="25"/>
        <v>55.349969758254908</v>
      </c>
      <c r="GD15" s="62">
        <f t="shared" si="26"/>
        <v>252.37974721098777</v>
      </c>
      <c r="GE15" s="62">
        <f ca="1">AVERAGE(OFFSET($GD$3,0,0,'Données projet'!$E$17+1,1))-AVERAGE(OFFSET($H$3,0,0,'Données projet'!$E$17+1,1))</f>
        <v>277.37570531842186</v>
      </c>
      <c r="GF15" s="62">
        <f t="shared" si="50"/>
        <v>310.00874200911312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projet'!$B$17,Paramètres!$A$1:$I$89,3,0)*0.475*44/12</f>
        <v>0</v>
      </c>
      <c r="GM15" s="23">
        <f>EXP(-LN(2)/25)*GM14+(1-EXP(-LN(2)/25))/(LN(2)/25)*Calculateur!GH15*Calculateur!GJ15*VLOOKUP('Données projet'!$B$17,Paramètres!$A$1:$I$89,3,0)*0.475*44/12</f>
        <v>0</v>
      </c>
      <c r="GN15" s="23">
        <f>EXP(-LN(2)/2)*GN14+(1-EXP(-LN(2)/2))/(LN(2)/2)*GH15*GK15*VLOOKUP('Données projet'!$B$17,Paramètres!$A$1:$I$89,3,0)*0.475*44/12</f>
        <v>0</v>
      </c>
      <c r="GO15" s="23">
        <f t="shared" si="27"/>
        <v>0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3.6111111111111112</v>
      </c>
      <c r="N16" s="14">
        <f>IF('Données projet'!$A$36&gt;35,N15+M16-V15,IF(A16&lt;'Données projet'!$A$36,$K$205^A16,IF(A16='Données projet'!$A$36,'Données projet'!$B$36,N15+M16-V15)))</f>
        <v>46.944444444444457</v>
      </c>
      <c r="O16" s="14">
        <f>N16*VLOOKUP('Données projet'!$B$9,Paramètres!$A$1:$I$89,3,0)*VLOOKUP('Données projet'!$B$9,Paramètres!$A$1:$I$89,5,0)</f>
        <v>41.01066666666668</v>
      </c>
      <c r="P16" s="14">
        <f t="shared" si="33"/>
        <v>12.266133954197951</v>
      </c>
      <c r="Q16" s="22">
        <f t="shared" si="2"/>
        <v>92.790427748005911</v>
      </c>
      <c r="R16" s="62">
        <f t="shared" si="0"/>
        <v>292.33142799962474</v>
      </c>
      <c r="S16" s="62">
        <f ca="1">AVERAGE(OFFSET($R$3,0,0,'Données projet'!$E$9+1,1))-AVERAGE(OFFSET($H$3,0,0,'Données projet'!$E$9+1,1))</f>
        <v>401.34220206028908</v>
      </c>
      <c r="T16" s="62">
        <f t="shared" si="34"/>
        <v>265.33314259106987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5.75</v>
      </c>
      <c r="AI16" s="14">
        <f>IF('Données projet'!$A$62&gt;35,AI15+AH16-AQ15,IF(A16&lt;'Données projet'!$A$62,$AF$205^A16,IF(A16='Données projet'!$A$62,'Données projet'!$B$62,AI15+AH16-AQ15)))</f>
        <v>21.850108417664106</v>
      </c>
      <c r="AJ16" s="14">
        <f>AI16*VLOOKUP('Données projet'!$B$10,Paramètres!$A$1:$I$89,3,0)*VLOOKUP('Données projet'!$B$10,Paramètres!$A$1:$I$89,5,0)</f>
        <v>10.225850739466802</v>
      </c>
      <c r="AK16" s="14">
        <f t="shared" si="35"/>
        <v>3.5951953906669201</v>
      </c>
      <c r="AL16" s="22">
        <f t="shared" si="4"/>
        <v>24.071655343316234</v>
      </c>
      <c r="AM16" s="62">
        <f t="shared" si="5"/>
        <v>223.61265559493503</v>
      </c>
      <c r="AN16" s="62">
        <f ca="1">AVERAGE(OFFSET($AM$3,0,0,'Données projet'!$E$10+1,1))-AVERAGE(OFFSET($H$3,0,0,'Données projet'!$E$10+1,1))</f>
        <v>253.48761861464732</v>
      </c>
      <c r="AO16" s="62">
        <f t="shared" si="36"/>
        <v>219.50855998133855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11.25</v>
      </c>
      <c r="BD16" s="13">
        <f>IF('Données projet'!$A$88&gt;35,BD15+BC16-BL15,IF(A16&lt;'Données projet'!$A$88,$BA$205^A16,IF(A16='Données projet'!$A$88,'Données projet'!$B$88,BD15+BC16-BL15)))</f>
        <v>47.25</v>
      </c>
      <c r="BE16" s="14">
        <f>BD16*VLOOKUP('Données projet'!$B$11,Paramètres!$A$1:$I$89,3,0)*VLOOKUP('Données projet'!$B$11,Paramètres!$A$1:$I$89,5,0)</f>
        <v>54.431999999999995</v>
      </c>
      <c r="BF16" s="14">
        <f t="shared" si="37"/>
        <v>15.752624372970596</v>
      </c>
      <c r="BG16" s="22">
        <f t="shared" si="7"/>
        <v>122.23822078292376</v>
      </c>
      <c r="BH16" s="62">
        <f t="shared" si="8"/>
        <v>321.77922103454256</v>
      </c>
      <c r="BI16" s="62">
        <f ca="1">AVERAGE(OFFSET($BH$3,0,0,'Données projet'!$E$11+1,1))-AVERAGE(OFFSET($H$3,0,0,'Données projet'!$E$11+1,1))</f>
        <v>482.85256243111911</v>
      </c>
      <c r="BJ16" s="62">
        <f t="shared" si="38"/>
        <v>517.78430032567064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11.25</v>
      </c>
      <c r="BY16" s="13">
        <f>IF('Données projet'!$A$114&gt;35,BY15+BX16-CG15,IF(A16&lt;'Données projet'!$A$114,$BV$205^A16,IF(A16='Données projet'!$A$114,'Données projet'!$B$114,BY15+BX16-CG15)))</f>
        <v>47.25</v>
      </c>
      <c r="BZ16" s="14">
        <f>BY16*VLOOKUP('Données projet'!$B$12,Paramètres!$A$1:$I$89,3,0)*VLOOKUP('Données projet'!$B$12,Paramètres!$A$1:$I$89,5,0)</f>
        <v>28.255500000000001</v>
      </c>
      <c r="CA16" s="14">
        <f t="shared" si="39"/>
        <v>8.8256494369710552</v>
      </c>
      <c r="CB16" s="22">
        <f t="shared" si="10"/>
        <v>64.583001936057926</v>
      </c>
      <c r="CC16" s="62">
        <f t="shared" si="11"/>
        <v>264.12400218767675</v>
      </c>
      <c r="CD16" s="62">
        <f ca="1">AVERAGE(OFFSET($CC$3,0,0,'Données projet'!$E$12+1,1))-AVERAGE(OFFSET($H$3,0,0,'Données projet'!$E$12+1,1))</f>
        <v>275.76900776033335</v>
      </c>
      <c r="CE16" s="62">
        <f t="shared" si="40"/>
        <v>299.36898480605191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3.6111111111111112</v>
      </c>
      <c r="CT16" s="13">
        <f>IF('Données projet'!$A$140&gt;35,CT15+CS16-DB15,IF(A16&lt;'Données projet'!$A$140,$CQ$205^A16,IF(A16='Données projet'!$A$140,'Données projet'!$B$140,CT15+CS16-DB15)))</f>
        <v>46.944444444444457</v>
      </c>
      <c r="CU16" s="18">
        <f>CT16*VLOOKUP('Données projet'!$B$13,Paramètres!$A$1:$I$89,3,0)*VLOOKUP('Données projet'!$B$13,Paramètres!$A$1:$I$89,5,0)</f>
        <v>51.26333333333335</v>
      </c>
      <c r="CV16" s="14">
        <f t="shared" si="41"/>
        <v>14.939545683800068</v>
      </c>
      <c r="CW16" s="22">
        <f t="shared" si="13"/>
        <v>115.30334762150734</v>
      </c>
      <c r="CX16" s="62">
        <f t="shared" si="14"/>
        <v>314.84434787312614</v>
      </c>
      <c r="CY16" s="62">
        <f ca="1">AVERAGE(OFFSET($CX$3,0,0,'Données projet'!$E$13+1,1))-AVERAGE(OFFSET($H$3,0,0,'Données projet'!$E$13+1,1))</f>
        <v>482.24068797679558</v>
      </c>
      <c r="CZ16" s="62">
        <f t="shared" si="42"/>
        <v>316.28941055521693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5.8666666666666663</v>
      </c>
      <c r="DO16" s="13">
        <f>IF('Données projet'!$A$166&gt;35,DO15+DN16-DW15,IF(A16&lt;'Données projet'!$A$166,$DL$205^A16,IF(A16='Données projet'!$A$166,'Données projet'!$B$166,DO15+DN16-DW15)))</f>
        <v>48.441581778943714</v>
      </c>
      <c r="DP16" s="18">
        <f>DO16*VLOOKUP('Données projet'!$B$14,Paramètres!$A$1:$I$89,3,0)*VLOOKUP('Données projet'!$B$14,Paramètres!$A$1:$I$89,5,0)</f>
        <v>39.295811139079149</v>
      </c>
      <c r="DQ16" s="14">
        <f t="shared" si="43"/>
        <v>11.811809071047747</v>
      </c>
      <c r="DR16" s="22">
        <f t="shared" si="16"/>
        <v>89.012438532637688</v>
      </c>
      <c r="DS16" s="62">
        <f t="shared" si="17"/>
        <v>288.55343878425651</v>
      </c>
      <c r="DT16" s="62">
        <f ca="1">AVERAGE(OFFSET($DS$3,0,0,'Données projet'!$E$14+1,1))-AVERAGE(OFFSET($H$3,0,0,'Données projet'!$E$14+1,1))</f>
        <v>325.58538970226539</v>
      </c>
      <c r="DU16" s="62">
        <f t="shared" si="44"/>
        <v>361.81085660423457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2.8888888888888888</v>
      </c>
      <c r="EJ16" s="13">
        <f>IF('Données projet'!$A$192&gt;35,EJ15+EI16-ER15,IF(A16&lt;'Données projet'!$A$192,$EG$205^A16,IF(A16='Données projet'!$A$192,'Données projet'!$B$192,EJ15+EI16-ER15)))</f>
        <v>37.55555555555555</v>
      </c>
      <c r="EK16" s="18">
        <f>EJ16*VLOOKUP('Données projet'!$B$15,Paramètres!$A$1:$I$89,3,0)*VLOOKUP('Données projet'!$B$15,Paramètres!$A$1:$I$89,5,0)</f>
        <v>36.32373333333333</v>
      </c>
      <c r="EL16" s="14">
        <f t="shared" si="45"/>
        <v>11.018852557535297</v>
      </c>
      <c r="EM16" s="22">
        <f t="shared" si="19"/>
        <v>82.455003759929525</v>
      </c>
      <c r="EN16" s="62">
        <f t="shared" si="20"/>
        <v>281.99600401154834</v>
      </c>
      <c r="EO16" s="62">
        <f ca="1">AVERAGE(OFFSET($EN$3,0,0,'Données projet'!$E$15+1,1))-AVERAGE(OFFSET($H$3,0,0,'Données projet'!$E$15+1,1))</f>
        <v>364.22267539944085</v>
      </c>
      <c r="EP16" s="62">
        <f t="shared" si="46"/>
        <v>241.947139538615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4.333333333333333</v>
      </c>
      <c r="FE16" s="13">
        <f>IF('Données projet'!$A$218&gt;35,FE15+FD16-FM15,IF(A16&lt;'Données projet'!$A$218,$FB$205^A16,IF(A16='Données projet'!$A$218,'Données projet'!$B$218,FE15+FD16-FM15)))</f>
        <v>37.255601172785397</v>
      </c>
      <c r="FF16" s="18">
        <f>FE16*VLOOKUP('Données projet'!$B$16,Paramètres!$A$1:$I$89,3,0)*VLOOKUP('Données projet'!$B$16,Paramètres!$A$1:$I$89,5,0)</f>
        <v>32.546493184545326</v>
      </c>
      <c r="FG16" s="14">
        <f t="shared" si="47"/>
        <v>10.000017890578144</v>
      </c>
      <c r="FH16" s="22">
        <f t="shared" si="22"/>
        <v>74.101840122506715</v>
      </c>
      <c r="FI16" s="62">
        <f t="shared" si="23"/>
        <v>273.64284037412551</v>
      </c>
      <c r="FJ16" s="62">
        <f ca="1">AVERAGE(OFFSET($FI$3,0,0,'Données projet'!$E$16+1,1))-AVERAGE(OFFSET($H$3,0,0,'Données projet'!$E$16+1,1))</f>
        <v>286.59837239471312</v>
      </c>
      <c r="FK16" s="62">
        <f t="shared" si="48"/>
        <v>319.26091328564689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5.8666666666666663</v>
      </c>
      <c r="FZ16" s="13">
        <f>IF('Données projet'!$A$244&gt;35,FZ15+FY16-GH15,IF(A16&lt;'Données projet'!$A$244,$FW$205^A16,IF(A16='Données projet'!$A$244,'Données projet'!$B$244,FZ15+FY16-GH15)))</f>
        <v>48.441581778943714</v>
      </c>
      <c r="GA16" s="18">
        <f>FZ16*VLOOKUP('Données projet'!$B$17,Paramètres!$A$1:$I$89,3,0)*VLOOKUP('Données projet'!$B$17,Paramètres!$A$1:$I$89,5,0)</f>
        <v>32.494613057315448</v>
      </c>
      <c r="GB16" s="14">
        <f t="shared" si="49"/>
        <v>9.9859316977827532</v>
      </c>
      <c r="GC16" s="22">
        <f t="shared" si="25"/>
        <v>73.986948781796045</v>
      </c>
      <c r="GD16" s="62">
        <f t="shared" si="26"/>
        <v>273.52794903341487</v>
      </c>
      <c r="GE16" s="62">
        <f ca="1">AVERAGE(OFFSET($GD$3,0,0,'Données projet'!$E$17+1,1))-AVERAGE(OFFSET($H$3,0,0,'Données projet'!$E$17+1,1))</f>
        <v>277.37570531842186</v>
      </c>
      <c r="GF16" s="62">
        <f t="shared" si="50"/>
        <v>310.00874200911312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projet'!$B$17,Paramètres!$A$1:$I$89,3,0)*0.475*44/12</f>
        <v>0</v>
      </c>
      <c r="GM16" s="23">
        <f>EXP(-LN(2)/25)*GM15+(1-EXP(-LN(2)/25))/(LN(2)/25)*Calculateur!GH16*Calculateur!GJ16*VLOOKUP('Données projet'!$B$17,Paramètres!$A$1:$I$89,3,0)*0.475*44/12</f>
        <v>0</v>
      </c>
      <c r="GN16" s="23">
        <f>EXP(-LN(2)/2)*GN15+(1-EXP(-LN(2)/2))/(LN(2)/2)*GH16*GK16*VLOOKUP('Données projet'!$B$17,Paramètres!$A$1:$I$89,3,0)*0.475*44/12</f>
        <v>0</v>
      </c>
      <c r="GO16" s="23">
        <f t="shared" si="27"/>
        <v>0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3.6111111111111112</v>
      </c>
      <c r="N17" s="14">
        <f>IF('Données projet'!$A$36&gt;35,N16+M17-V16,IF(A17&lt;'Données projet'!$A$36,$K$205^A17,IF(A17='Données projet'!$A$36,'Données projet'!$B$36,N16+M17-V16)))</f>
        <v>50.555555555555571</v>
      </c>
      <c r="O17" s="14">
        <f>N17*VLOOKUP('Données projet'!$B$9,Paramètres!$A$1:$I$89,3,0)*VLOOKUP('Données projet'!$B$9,Paramètres!$A$1:$I$89,5,0)</f>
        <v>44.165333333333358</v>
      </c>
      <c r="P17" s="14">
        <f t="shared" si="33"/>
        <v>13.096223839308804</v>
      </c>
      <c r="Q17" s="22">
        <f t="shared" si="2"/>
        <v>99.730545409018433</v>
      </c>
      <c r="R17" s="62">
        <f t="shared" si="0"/>
        <v>301.76040718129161</v>
      </c>
      <c r="S17" s="62">
        <f ca="1">AVERAGE(OFFSET($R$3,0,0,'Données projet'!$E$9+1,1))-AVERAGE(OFFSET($H$3,0,0,'Données projet'!$E$9+1,1))</f>
        <v>401.34220206028908</v>
      </c>
      <c r="T17" s="62">
        <f t="shared" si="34"/>
        <v>265.33314259106987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5.75</v>
      </c>
      <c r="AI17" s="14">
        <f>IF('Données projet'!$A$62&gt;35,AI16+AH17-AQ16,IF(A17&lt;'Données projet'!$A$62,$AF$205^A17,IF(A17='Données projet'!$A$62,'Données projet'!$B$62,AI16+AH17-AQ16)))</f>
        <v>27.700556129091808</v>
      </c>
      <c r="AJ17" s="14">
        <f>AI17*VLOOKUP('Données projet'!$B$10,Paramètres!$A$1:$I$89,3,0)*VLOOKUP('Données projet'!$B$10,Paramètres!$A$1:$I$89,5,0)</f>
        <v>12.963860268414967</v>
      </c>
      <c r="AK17" s="14">
        <f t="shared" si="35"/>
        <v>4.4336777956113931</v>
      </c>
      <c r="AL17" s="22">
        <f t="shared" si="4"/>
        <v>30.300712128179242</v>
      </c>
      <c r="AM17" s="62">
        <f t="shared" si="5"/>
        <v>232.33057390045244</v>
      </c>
      <c r="AN17" s="62">
        <f ca="1">AVERAGE(OFFSET($AM$3,0,0,'Données projet'!$E$10+1,1))-AVERAGE(OFFSET($H$3,0,0,'Données projet'!$E$10+1,1))</f>
        <v>253.48761861464732</v>
      </c>
      <c r="AO17" s="62">
        <f t="shared" si="36"/>
        <v>219.50855998133855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11.25</v>
      </c>
      <c r="BD17" s="13">
        <f>IF('Données projet'!$A$88&gt;35,BD16+BC17-BL16,IF(A17&lt;'Données projet'!$A$88,$BA$205^A17,IF(A17='Données projet'!$A$88,'Données projet'!$B$88,BD16+BC17-BL16)))</f>
        <v>58.5</v>
      </c>
      <c r="BE17" s="14">
        <f>BD17*VLOOKUP('Données projet'!$B$11,Paramètres!$A$1:$I$89,3,0)*VLOOKUP('Données projet'!$B$11,Paramètres!$A$1:$I$89,5,0)</f>
        <v>67.391999999999996</v>
      </c>
      <c r="BF17" s="14">
        <f t="shared" si="37"/>
        <v>19.02437502991798</v>
      </c>
      <c r="BG17" s="22">
        <f t="shared" si="7"/>
        <v>150.5085198437738</v>
      </c>
      <c r="BH17" s="62">
        <f t="shared" si="8"/>
        <v>352.53838161604699</v>
      </c>
      <c r="BI17" s="62">
        <f ca="1">AVERAGE(OFFSET($BH$3,0,0,'Données projet'!$E$11+1,1))-AVERAGE(OFFSET($H$3,0,0,'Données projet'!$E$11+1,1))</f>
        <v>482.85256243111911</v>
      </c>
      <c r="BJ17" s="62">
        <f t="shared" si="38"/>
        <v>517.78430032567064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11.25</v>
      </c>
      <c r="BY17" s="13">
        <f>IF('Données projet'!$A$114&gt;35,BY16+BX17-CG16,IF(A17&lt;'Données projet'!$A$114,$BV$205^A17,IF(A17='Données projet'!$A$114,'Données projet'!$B$114,BY16+BX17-CG16)))</f>
        <v>58.5</v>
      </c>
      <c r="BZ17" s="14">
        <f>BY17*VLOOKUP('Données projet'!$B$12,Paramètres!$A$1:$I$89,3,0)*VLOOKUP('Données projet'!$B$12,Paramètres!$A$1:$I$89,5,0)</f>
        <v>34.983000000000004</v>
      </c>
      <c r="CA17" s="14">
        <f t="shared" si="39"/>
        <v>10.658697928430266</v>
      </c>
      <c r="CB17" s="22">
        <f t="shared" si="10"/>
        <v>79.492623892016056</v>
      </c>
      <c r="CC17" s="62">
        <f t="shared" si="11"/>
        <v>281.52248566428926</v>
      </c>
      <c r="CD17" s="62">
        <f ca="1">AVERAGE(OFFSET($CC$3,0,0,'Données projet'!$E$12+1,1))-AVERAGE(OFFSET($H$3,0,0,'Données projet'!$E$12+1,1))</f>
        <v>275.76900776033335</v>
      </c>
      <c r="CE17" s="62">
        <f t="shared" si="40"/>
        <v>299.36898480605191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3.6111111111111112</v>
      </c>
      <c r="CT17" s="13">
        <f>IF('Données projet'!$A$140&gt;35,CT16+CS17-DB16,IF(A17&lt;'Données projet'!$A$140,$CQ$205^A17,IF(A17='Données projet'!$A$140,'Données projet'!$B$140,CT16+CS17-DB16)))</f>
        <v>50.555555555555571</v>
      </c>
      <c r="CU17" s="18">
        <f>CT17*VLOOKUP('Données projet'!$B$13,Paramètres!$A$1:$I$89,3,0)*VLOOKUP('Données projet'!$B$13,Paramètres!$A$1:$I$89,5,0)</f>
        <v>55.206666666666685</v>
      </c>
      <c r="CV17" s="14">
        <f t="shared" si="41"/>
        <v>15.9505541895428</v>
      </c>
      <c r="CW17" s="22">
        <f t="shared" si="13"/>
        <v>123.93215965789818</v>
      </c>
      <c r="CX17" s="62">
        <f t="shared" si="14"/>
        <v>325.96202143017138</v>
      </c>
      <c r="CY17" s="62">
        <f ca="1">AVERAGE(OFFSET($CX$3,0,0,'Données projet'!$E$13+1,1))-AVERAGE(OFFSET($H$3,0,0,'Données projet'!$E$13+1,1))</f>
        <v>482.24068797679558</v>
      </c>
      <c r="CZ17" s="62">
        <f t="shared" si="42"/>
        <v>316.28941055521693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5.8666666666666663</v>
      </c>
      <c r="DO17" s="13">
        <f>IF('Données projet'!$A$166&gt;35,DO16+DN17-DW16,IF(A17&lt;'Données projet'!$A$166,$DL$205^A17,IF(A17='Données projet'!$A$166,'Données projet'!$B$166,DO16+DN17-DW16)))</f>
        <v>65.290575097383282</v>
      </c>
      <c r="DP17" s="18">
        <f>DO17*VLOOKUP('Données projet'!$B$14,Paramètres!$A$1:$I$89,3,0)*VLOOKUP('Données projet'!$B$14,Paramètres!$A$1:$I$89,5,0)</f>
        <v>52.963714518997321</v>
      </c>
      <c r="DQ17" s="14">
        <f t="shared" si="43"/>
        <v>15.376567920376042</v>
      </c>
      <c r="DR17" s="22">
        <f t="shared" si="16"/>
        <v>119.02599191524193</v>
      </c>
      <c r="DS17" s="62">
        <f t="shared" si="17"/>
        <v>321.05585368751514</v>
      </c>
      <c r="DT17" s="62">
        <f ca="1">AVERAGE(OFFSET($DS$3,0,0,'Données projet'!$E$14+1,1))-AVERAGE(OFFSET($H$3,0,0,'Données projet'!$E$14+1,1))</f>
        <v>325.58538970226539</v>
      </c>
      <c r="DU17" s="62">
        <f t="shared" si="44"/>
        <v>361.81085660423457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2.8888888888888888</v>
      </c>
      <c r="EJ17" s="13">
        <f>IF('Données projet'!$A$192&gt;35,EJ16+EI17-ER16,IF(A17&lt;'Données projet'!$A$192,$EG$205^A17,IF(A17='Données projet'!$A$192,'Données projet'!$B$192,EJ16+EI17-ER16)))</f>
        <v>40.444444444444436</v>
      </c>
      <c r="EK17" s="18">
        <f>EJ17*VLOOKUP('Données projet'!$B$15,Paramètres!$A$1:$I$89,3,0)*VLOOKUP('Données projet'!$B$15,Paramètres!$A$1:$I$89,5,0)</f>
        <v>39.117866666666657</v>
      </c>
      <c r="EL17" s="14">
        <f t="shared" si="45"/>
        <v>11.76453478208067</v>
      </c>
      <c r="EM17" s="22">
        <f t="shared" si="19"/>
        <v>88.620182523234931</v>
      </c>
      <c r="EN17" s="62">
        <f t="shared" si="20"/>
        <v>290.65004429550811</v>
      </c>
      <c r="EO17" s="62">
        <f ca="1">AVERAGE(OFFSET($EN$3,0,0,'Données projet'!$E$15+1,1))-AVERAGE(OFFSET($H$3,0,0,'Données projet'!$E$15+1,1))</f>
        <v>364.22267539944085</v>
      </c>
      <c r="EP17" s="62">
        <f t="shared" si="46"/>
        <v>241.947139538615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4.333333333333333</v>
      </c>
      <c r="FE17" s="13">
        <f>IF('Données projet'!$A$218&gt;35,FE16+FD17-FM16,IF(A17&lt;'Données projet'!$A$218,$FB$205^A17,IF(A17='Données projet'!$A$218,'Données projet'!$B$218,FE16+FD17-FM16)))</f>
        <v>49.209898153024547</v>
      </c>
      <c r="FF17" s="18">
        <f>FE17*VLOOKUP('Données projet'!$B$16,Paramètres!$A$1:$I$89,3,0)*VLOOKUP('Données projet'!$B$16,Paramètres!$A$1:$I$89,5,0)</f>
        <v>42.989767026482248</v>
      </c>
      <c r="FG17" s="14">
        <f t="shared" si="47"/>
        <v>12.78773005197989</v>
      </c>
      <c r="FH17" s="22">
        <f t="shared" si="22"/>
        <v>97.145807411654872</v>
      </c>
      <c r="FI17" s="62">
        <f t="shared" si="23"/>
        <v>299.17566918392805</v>
      </c>
      <c r="FJ17" s="62">
        <f ca="1">AVERAGE(OFFSET($FI$3,0,0,'Données projet'!$E$16+1,1))-AVERAGE(OFFSET($H$3,0,0,'Données projet'!$E$16+1,1))</f>
        <v>286.59837239471312</v>
      </c>
      <c r="FK17" s="62">
        <f t="shared" si="48"/>
        <v>319.26091328564689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5.8666666666666663</v>
      </c>
      <c r="FZ17" s="13">
        <f>IF('Données projet'!$A$244&gt;35,FZ16+FY17-GH16,IF(A17&lt;'Données projet'!$A$244,$FW$205^A17,IF(A17='Données projet'!$A$244,'Données projet'!$B$244,FZ16+FY17-GH16)))</f>
        <v>65.290575097383282</v>
      </c>
      <c r="GA17" s="18">
        <f>FZ17*VLOOKUP('Données projet'!$B$17,Paramètres!$A$1:$I$89,3,0)*VLOOKUP('Données projet'!$B$17,Paramètres!$A$1:$I$89,5,0)</f>
        <v>43.796917775324708</v>
      </c>
      <c r="GB17" s="14">
        <f t="shared" si="49"/>
        <v>12.999647731824737</v>
      </c>
      <c r="GC17" s="22">
        <f t="shared" si="25"/>
        <v>98.920684924951942</v>
      </c>
      <c r="GD17" s="62">
        <f t="shared" si="26"/>
        <v>300.95054669722515</v>
      </c>
      <c r="GE17" s="62">
        <f ca="1">AVERAGE(OFFSET($GD$3,0,0,'Données projet'!$E$17+1,1))-AVERAGE(OFFSET($H$3,0,0,'Données projet'!$E$17+1,1))</f>
        <v>277.37570531842186</v>
      </c>
      <c r="GF17" s="62">
        <f t="shared" si="50"/>
        <v>310.00874200911312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projet'!$B$17,Paramètres!$A$1:$I$89,3,0)*0.475*44/12</f>
        <v>0</v>
      </c>
      <c r="GM17" s="23">
        <f>EXP(-LN(2)/25)*GM16+(1-EXP(-LN(2)/25))/(LN(2)/25)*Calculateur!GH17*Calculateur!GJ17*VLOOKUP('Données projet'!$B$17,Paramètres!$A$1:$I$89,3,0)*0.475*44/12</f>
        <v>0</v>
      </c>
      <c r="GN17" s="23">
        <f>EXP(-LN(2)/2)*GN16+(1-EXP(-LN(2)/2))/(LN(2)/2)*GH17*GK17*VLOOKUP('Données projet'!$B$17,Paramètres!$A$1:$I$89,3,0)*0.475*44/12</f>
        <v>0</v>
      </c>
      <c r="GO17" s="23">
        <f t="shared" si="27"/>
        <v>0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3.6111111111111112</v>
      </c>
      <c r="N18" s="14">
        <f>IF('Données projet'!$A$36&gt;35,N17+M18-V17,IF(A18&lt;'Données projet'!$A$36,$K$205^A18,IF(A18='Données projet'!$A$36,'Données projet'!$B$36,N17+M18-V17)))</f>
        <v>54.166666666666686</v>
      </c>
      <c r="O18" s="14">
        <f>N18*VLOOKUP('Données projet'!$B$9,Paramètres!$A$1:$I$89,3,0)*VLOOKUP('Données projet'!$B$9,Paramètres!$A$1:$I$89,5,0)</f>
        <v>47.320000000000022</v>
      </c>
      <c r="P18" s="14">
        <f t="shared" si="33"/>
        <v>13.919434559529311</v>
      </c>
      <c r="Q18" s="22">
        <f t="shared" si="2"/>
        <v>106.6586818578469</v>
      </c>
      <c r="R18" s="62">
        <f t="shared" si="0"/>
        <v>311.15543179072796</v>
      </c>
      <c r="S18" s="62">
        <f ca="1">AVERAGE(OFFSET($R$3,0,0,'Données projet'!$E$9+1,1))-AVERAGE(OFFSET($H$3,0,0,'Données projet'!$E$9+1,1))</f>
        <v>401.34220206028908</v>
      </c>
      <c r="T18" s="62">
        <f t="shared" si="34"/>
        <v>265.33314259106987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5.75</v>
      </c>
      <c r="AI18" s="14">
        <f>IF('Données projet'!$A$62&gt;35,AI17+AH18-AQ17,IF(A18&lt;'Données projet'!$A$62,$AF$205^A18,IF(A18='Données projet'!$A$62,'Données projet'!$B$62,AI17+AH18-AQ17)))</f>
        <v>35.117482952196561</v>
      </c>
      <c r="AJ18" s="14">
        <f>AI18*VLOOKUP('Données projet'!$B$10,Paramètres!$A$1:$I$89,3,0)*VLOOKUP('Données projet'!$B$10,Paramètres!$A$1:$I$89,5,0)</f>
        <v>16.434982021627992</v>
      </c>
      <c r="AK18" s="14">
        <f t="shared" si="35"/>
        <v>5.4677136175486121</v>
      </c>
      <c r="AL18" s="22">
        <f t="shared" si="4"/>
        <v>38.147194904899251</v>
      </c>
      <c r="AM18" s="62">
        <f t="shared" si="5"/>
        <v>242.64394483778028</v>
      </c>
      <c r="AN18" s="62">
        <f ca="1">AVERAGE(OFFSET($AM$3,0,0,'Données projet'!$E$10+1,1))-AVERAGE(OFFSET($H$3,0,0,'Données projet'!$E$10+1,1))</f>
        <v>253.48761861464732</v>
      </c>
      <c r="AO18" s="62">
        <f t="shared" si="36"/>
        <v>219.50855998133855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11.25</v>
      </c>
      <c r="BD18" s="13">
        <f>IF('Données projet'!$A$88&gt;35,BD17+BC18-BL17,IF(A18&lt;'Données projet'!$A$88,$BA$205^A18,IF(A18='Données projet'!$A$88,'Données projet'!$B$88,BD17+BC18-BL17)))</f>
        <v>69.75</v>
      </c>
      <c r="BE18" s="14">
        <f>BD18*VLOOKUP('Données projet'!$B$11,Paramètres!$A$1:$I$89,3,0)*VLOOKUP('Données projet'!$B$11,Paramètres!$A$1:$I$89,5,0)</f>
        <v>80.35199999999999</v>
      </c>
      <c r="BF18" s="14">
        <f t="shared" si="37"/>
        <v>22.223227954870175</v>
      </c>
      <c r="BG18" s="22">
        <f t="shared" si="7"/>
        <v>178.65185535473219</v>
      </c>
      <c r="BH18" s="62">
        <f t="shared" si="8"/>
        <v>383.14860528761324</v>
      </c>
      <c r="BI18" s="62">
        <f ca="1">AVERAGE(OFFSET($BH$3,0,0,'Données projet'!$E$11+1,1))-AVERAGE(OFFSET($H$3,0,0,'Données projet'!$E$11+1,1))</f>
        <v>482.85256243111911</v>
      </c>
      <c r="BJ18" s="62">
        <f t="shared" si="38"/>
        <v>517.78430032567064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11.25</v>
      </c>
      <c r="BY18" s="13">
        <f>IF('Données projet'!$A$114&gt;35,BY17+BX18-CG17,IF(A18&lt;'Données projet'!$A$114,$BV$205^A18,IF(A18='Données projet'!$A$114,'Données projet'!$B$114,BY17+BX18-CG17)))</f>
        <v>69.75</v>
      </c>
      <c r="BZ18" s="14">
        <f>BY18*VLOOKUP('Données projet'!$B$12,Paramètres!$A$1:$I$89,3,0)*VLOOKUP('Données projet'!$B$12,Paramètres!$A$1:$I$89,5,0)</f>
        <v>41.710500000000003</v>
      </c>
      <c r="CA18" s="14">
        <f t="shared" si="39"/>
        <v>12.450904347349248</v>
      </c>
      <c r="CB18" s="22">
        <f t="shared" si="10"/>
        <v>94.331112571633255</v>
      </c>
      <c r="CC18" s="62">
        <f t="shared" si="11"/>
        <v>298.82786250451431</v>
      </c>
      <c r="CD18" s="62">
        <f ca="1">AVERAGE(OFFSET($CC$3,0,0,'Données projet'!$E$12+1,1))-AVERAGE(OFFSET($H$3,0,0,'Données projet'!$E$12+1,1))</f>
        <v>275.76900776033335</v>
      </c>
      <c r="CE18" s="62">
        <f t="shared" si="40"/>
        <v>299.36898480605191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3.6111111111111112</v>
      </c>
      <c r="CT18" s="13">
        <f>IF('Données projet'!$A$140&gt;35,CT17+CS18-DB17,IF(A18&lt;'Données projet'!$A$140,$CQ$205^A18,IF(A18='Données projet'!$A$140,'Données projet'!$B$140,CT17+CS18-DB17)))</f>
        <v>54.166666666666686</v>
      </c>
      <c r="CU18" s="18">
        <f>CT18*VLOOKUP('Données projet'!$B$13,Paramètres!$A$1:$I$89,3,0)*VLOOKUP('Données projet'!$B$13,Paramètres!$A$1:$I$89,5,0)</f>
        <v>59.15000000000002</v>
      </c>
      <c r="CV18" s="14">
        <f t="shared" si="41"/>
        <v>16.953184212013685</v>
      </c>
      <c r="CW18" s="22">
        <f t="shared" si="13"/>
        <v>132.54637916925719</v>
      </c>
      <c r="CX18" s="62">
        <f t="shared" si="14"/>
        <v>337.04312910213821</v>
      </c>
      <c r="CY18" s="62">
        <f ca="1">AVERAGE(OFFSET($CX$3,0,0,'Données projet'!$E$13+1,1))-AVERAGE(OFFSET($H$3,0,0,'Données projet'!$E$13+1,1))</f>
        <v>482.24068797679558</v>
      </c>
      <c r="CZ18" s="62">
        <f t="shared" si="42"/>
        <v>316.28941055521693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>
        <f>VLOOKUP(A18,'Données projet'!$A$165:$I$185,2,0)</f>
        <v>88</v>
      </c>
      <c r="DM18" s="13">
        <f>VLOOKUP(A18,'Données projet'!$A$165:$I$185,9,0)</f>
        <v>5.8666666666666663</v>
      </c>
      <c r="DN18" s="13">
        <f t="array" ref="DN18">INDEX(DM:DM,MIN(IF(ISNUMBER(DM18:DM214),ROW(DM18:DM214),"")))</f>
        <v>5.8666666666666663</v>
      </c>
      <c r="DO18" s="13">
        <f>IF('Données projet'!$A$166&gt;35,DO17+DN18-DW17,IF(A18&lt;'Données projet'!$A$166,$DL$205^A18,IF(A18='Données projet'!$A$166,'Données projet'!$B$166,DO17+DN18-DW17)))</f>
        <v>88</v>
      </c>
      <c r="DP18" s="18">
        <f>DO18*VLOOKUP('Données projet'!$B$14,Paramètres!$A$1:$I$89,3,0)*VLOOKUP('Données projet'!$B$14,Paramètres!$A$1:$I$89,5,0)</f>
        <v>71.385600000000011</v>
      </c>
      <c r="DQ18" s="14">
        <f t="shared" si="43"/>
        <v>20.017157370878923</v>
      </c>
      <c r="DR18" s="22">
        <f t="shared" si="16"/>
        <v>159.1931357542808</v>
      </c>
      <c r="DS18" s="62">
        <f t="shared" si="17"/>
        <v>363.68988568716185</v>
      </c>
      <c r="DT18" s="62">
        <f ca="1">AVERAGE(OFFSET($DS$3,0,0,'Données projet'!$E$14+1,1))-AVERAGE(OFFSET($H$3,0,0,'Données projet'!$E$14+1,1))</f>
        <v>325.58538970226539</v>
      </c>
      <c r="DU18" s="62">
        <f t="shared" si="44"/>
        <v>361.81085660423457</v>
      </c>
      <c r="DV18" s="16">
        <f>IF(ISNA(VLOOKUP(A18,'Données projet'!$A$165:$I$185,3,0)),0,VLOOKUP(A18,'Données projet'!$A$165:$I$185,3,0))</f>
        <v>1</v>
      </c>
      <c r="DW18" s="16">
        <f>IF(ISNA(VLOOKUP(A18,'Données projet'!$A$165:$I$185,4,0)),0,VLOOKUP(A18,'Données projet'!$A$165:$I$185,4,0))</f>
        <v>20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2.8888888888888888</v>
      </c>
      <c r="EJ18" s="13">
        <f>IF('Données projet'!$A$192&gt;35,EJ17+EI18-ER17,IF(A18&lt;'Données projet'!$A$192,$EG$205^A18,IF(A18='Données projet'!$A$192,'Données projet'!$B$192,EJ17+EI18-ER17)))</f>
        <v>43.333333333333321</v>
      </c>
      <c r="EK18" s="18">
        <f>EJ18*VLOOKUP('Données projet'!$B$15,Paramètres!$A$1:$I$89,3,0)*VLOOKUP('Données projet'!$B$15,Paramètres!$A$1:$I$89,5,0)</f>
        <v>41.911999999999992</v>
      </c>
      <c r="EL18" s="14">
        <f t="shared" si="45"/>
        <v>12.504037349373911</v>
      </c>
      <c r="EM18" s="22">
        <f t="shared" si="19"/>
        <v>94.774598383492886</v>
      </c>
      <c r="EN18" s="62">
        <f t="shared" si="20"/>
        <v>299.27134831637392</v>
      </c>
      <c r="EO18" s="62">
        <f ca="1">AVERAGE(OFFSET($EN$3,0,0,'Données projet'!$E$15+1,1))-AVERAGE(OFFSET($H$3,0,0,'Données projet'!$E$15+1,1))</f>
        <v>364.22267539944085</v>
      </c>
      <c r="EP18" s="62">
        <f t="shared" si="46"/>
        <v>241.947139538615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>
        <f>VLOOKUP(A18,'Données projet'!$A$217:$I$237,2,0)</f>
        <v>65</v>
      </c>
      <c r="FC18" s="13">
        <f>VLOOKUP(A18,'Données projet'!$A$217:$I$237,9,0)</f>
        <v>4.333333333333333</v>
      </c>
      <c r="FD18" s="13">
        <f t="array" ref="FD18">INDEX(FC:FC,MIN(IF(ISNUMBER(FC18:FC214),ROW(FC18:FC214),"")))</f>
        <v>4.333333333333333</v>
      </c>
      <c r="FE18" s="13">
        <f>IF('Données projet'!$A$218&gt;35,FE17+FD18-FM17,IF(A18&lt;'Données projet'!$A$218,$FB$205^A18,IF(A18='Données projet'!$A$218,'Données projet'!$B$218,FE17+FD18-FM17)))</f>
        <v>65</v>
      </c>
      <c r="FF18" s="18">
        <f>FE18*VLOOKUP('Données projet'!$B$16,Paramètres!$A$1:$I$89,3,0)*VLOOKUP('Données projet'!$B$16,Paramètres!$A$1:$I$89,5,0)</f>
        <v>56.784000000000013</v>
      </c>
      <c r="FG18" s="14">
        <f t="shared" si="47"/>
        <v>16.352574732529362</v>
      </c>
      <c r="FH18" s="22">
        <f t="shared" si="22"/>
        <v>127.37953432582198</v>
      </c>
      <c r="FI18" s="62">
        <f t="shared" si="23"/>
        <v>331.87628425870304</v>
      </c>
      <c r="FJ18" s="62">
        <f ca="1">AVERAGE(OFFSET($FI$3,0,0,'Données projet'!$E$16+1,1))-AVERAGE(OFFSET($H$3,0,0,'Données projet'!$E$16+1,1))</f>
        <v>286.59837239471312</v>
      </c>
      <c r="FK18" s="62">
        <f t="shared" si="48"/>
        <v>319.26091328564689</v>
      </c>
      <c r="FL18" s="16">
        <f>IF(ISNA(VLOOKUP(A18,'Données projet'!$A$217:$I$237,3,0)),0,VLOOKUP(A18,'Données projet'!$A$217:$I$237,3,0))</f>
        <v>1</v>
      </c>
      <c r="FM18" s="16">
        <f>IF(ISNA(VLOOKUP(A18,'Données projet'!$A$217:$I$237,4,0)),0,VLOOKUP(A18,'Données projet'!$A$217:$I$237,4,0))</f>
        <v>11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>
        <f>VLOOKUP(A18,'Données projet'!$A$243:$I$263,2,0)</f>
        <v>88</v>
      </c>
      <c r="FX18" s="13">
        <f>VLOOKUP(A18,'Données projet'!$A$243:$I$263,9,0)</f>
        <v>5.8666666666666663</v>
      </c>
      <c r="FY18" s="13">
        <f t="array" ref="FY18">INDEX(FX:FX,MIN(IF(ISNUMBER(FX18:FX214),ROW(FX18:FX214),"")))</f>
        <v>5.8666666666666663</v>
      </c>
      <c r="FZ18" s="13">
        <f>IF('Données projet'!$A$244&gt;35,FZ17+FY18-GH17,IF(A18&lt;'Données projet'!$A$244,$FW$205^A18,IF(A18='Données projet'!$A$244,'Données projet'!$B$244,FZ17+FY18-GH17)))</f>
        <v>88</v>
      </c>
      <c r="GA18" s="18">
        <f>FZ18*VLOOKUP('Données projet'!$B$17,Paramètres!$A$1:$I$89,3,0)*VLOOKUP('Données projet'!$B$17,Paramètres!$A$1:$I$89,5,0)</f>
        <v>59.030399999999993</v>
      </c>
      <c r="GB18" s="14">
        <f t="shared" si="49"/>
        <v>16.922891750707464</v>
      </c>
      <c r="GC18" s="22">
        <f t="shared" si="25"/>
        <v>132.28531646581547</v>
      </c>
      <c r="GD18" s="62">
        <f t="shared" si="26"/>
        <v>336.78206639869654</v>
      </c>
      <c r="GE18" s="62">
        <f ca="1">AVERAGE(OFFSET($GD$3,0,0,'Données projet'!$E$17+1,1))-AVERAGE(OFFSET($H$3,0,0,'Données projet'!$E$17+1,1))</f>
        <v>277.37570531842186</v>
      </c>
      <c r="GF18" s="62">
        <f t="shared" si="50"/>
        <v>310.00874200911312</v>
      </c>
      <c r="GG18" s="16">
        <f>IF(ISNA(VLOOKUP(A18,'Données projet'!$A$243:$I$263,3,0)),0,VLOOKUP(A18,'Données projet'!$A$243:$I$263,3,0))</f>
        <v>1</v>
      </c>
      <c r="GH18" s="16">
        <f>IF(ISNA(VLOOKUP(A18,'Données projet'!$A$243:$I$263,4,0)),0,VLOOKUP(A18,'Données projet'!$A$243:$I$263,4,0))</f>
        <v>20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projet'!$B$17,Paramètres!$A$1:$I$89,3,0)*0.475*44/12</f>
        <v>0</v>
      </c>
      <c r="GM18" s="23">
        <f>EXP(-LN(2)/25)*GM17+(1-EXP(-LN(2)/25))/(LN(2)/25)*Calculateur!GH18*Calculateur!GJ18*VLOOKUP('Données projet'!$B$17,Paramètres!$A$1:$I$89,3,0)*0.475*44/12</f>
        <v>0</v>
      </c>
      <c r="GN18" s="23">
        <f>EXP(-LN(2)/2)*GN17+(1-EXP(-LN(2)/2))/(LN(2)/2)*GH18*GK18*VLOOKUP('Données projet'!$B$17,Paramètres!$A$1:$I$89,3,0)*0.475*44/12</f>
        <v>0</v>
      </c>
      <c r="GO18" s="23">
        <f t="shared" si="27"/>
        <v>0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3.6111111111111112</v>
      </c>
      <c r="N19" s="14">
        <f>IF('Données projet'!$A$36&gt;35,N18+M19-V18,IF(A19&lt;'Données projet'!$A$36,$K$205^A19,IF(A19='Données projet'!$A$36,'Données projet'!$B$36,N18+M19-V18)))</f>
        <v>57.7777777777778</v>
      </c>
      <c r="O19" s="14">
        <f>N19*VLOOKUP('Données projet'!$B$9,Paramètres!$A$1:$I$89,3,0)*VLOOKUP('Données projet'!$B$9,Paramètres!$A$1:$I$89,5,0)</f>
        <v>50.474666666666685</v>
      </c>
      <c r="P19" s="14">
        <f t="shared" si="33"/>
        <v>14.736276908575016</v>
      </c>
      <c r="Q19" s="22">
        <f t="shared" si="2"/>
        <v>113.57572672687928</v>
      </c>
      <c r="R19" s="62">
        <f t="shared" si="0"/>
        <v>320.51777264899334</v>
      </c>
      <c r="S19" s="62">
        <f ca="1">AVERAGE(OFFSET($R$3,0,0,'Données projet'!$E$9+1,1))-AVERAGE(OFFSET($H$3,0,0,'Données projet'!$E$9+1,1))</f>
        <v>401.34220206028908</v>
      </c>
      <c r="T19" s="62">
        <f t="shared" si="34"/>
        <v>265.33314259106987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5.75</v>
      </c>
      <c r="AI19" s="14">
        <f>IF('Données projet'!$A$62&gt;35,AI18+AH19-AQ18,IF(A19&lt;'Données projet'!$A$62,$AF$205^A19,IF(A19='Données projet'!$A$62,'Données projet'!$B$62,AI18+AH19-AQ18)))</f>
        <v>44.52031948927695</v>
      </c>
      <c r="AJ19" s="14">
        <f>AI19*VLOOKUP('Données projet'!$B$10,Paramètres!$A$1:$I$89,3,0)*VLOOKUP('Données projet'!$B$10,Paramètres!$A$1:$I$89,5,0)</f>
        <v>20.835509520981613</v>
      </c>
      <c r="AK19" s="14">
        <f t="shared" si="35"/>
        <v>6.7429104192276883</v>
      </c>
      <c r="AL19" s="22">
        <f t="shared" si="4"/>
        <v>48.03241472919786</v>
      </c>
      <c r="AM19" s="62">
        <f t="shared" si="5"/>
        <v>254.97446065131192</v>
      </c>
      <c r="AN19" s="62">
        <f ca="1">AVERAGE(OFFSET($AM$3,0,0,'Données projet'!$E$10+1,1))-AVERAGE(OFFSET($H$3,0,0,'Données projet'!$E$10+1,1))</f>
        <v>253.48761861464732</v>
      </c>
      <c r="AO19" s="62">
        <f t="shared" si="36"/>
        <v>219.50855998133855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>
        <f>VLOOKUP(A19,'Données projet'!$A$87:$I$107,2,0)</f>
        <v>81</v>
      </c>
      <c r="BB19" s="13">
        <f>VLOOKUP(A19,'Données projet'!$A$87:$I$107,9,0)</f>
        <v>11.25</v>
      </c>
      <c r="BC19" s="13">
        <f t="array" ref="BC19">INDEX(BB:BB,MIN(IF(ISNUMBER(BB19:BB215),ROW(BB19:BB215),"")))</f>
        <v>11.25</v>
      </c>
      <c r="BD19" s="13">
        <f>IF('Données projet'!$A$88&gt;35,BD18+BC19-BL18,IF(A19&lt;'Données projet'!$A$88,$BA$205^A19,IF(A19='Données projet'!$A$88,'Données projet'!$B$88,BD18+BC19-BL18)))</f>
        <v>81</v>
      </c>
      <c r="BE19" s="14">
        <f>BD19*VLOOKUP('Données projet'!$B$11,Paramètres!$A$1:$I$89,3,0)*VLOOKUP('Données projet'!$B$11,Paramètres!$A$1:$I$89,5,0)</f>
        <v>93.311999999999983</v>
      </c>
      <c r="BF19" s="14">
        <f t="shared" si="37"/>
        <v>25.362311839903686</v>
      </c>
      <c r="BG19" s="22">
        <f t="shared" si="7"/>
        <v>206.69109312116552</v>
      </c>
      <c r="BH19" s="62">
        <f t="shared" si="8"/>
        <v>413.63313904327958</v>
      </c>
      <c r="BI19" s="62">
        <f ca="1">AVERAGE(OFFSET($BH$3,0,0,'Données projet'!$E$11+1,1))-AVERAGE(OFFSET($H$3,0,0,'Données projet'!$E$11+1,1))</f>
        <v>482.85256243111911</v>
      </c>
      <c r="BJ19" s="62">
        <f t="shared" si="38"/>
        <v>517.78430032567064</v>
      </c>
      <c r="BK19" s="16">
        <f>IF(ISNA(VLOOKUP(A19,'Données projet'!$A$87:$I$107,3,0)),0,VLOOKUP(A19,'Données projet'!$A$87:$I$107,3,0))</f>
        <v>1</v>
      </c>
      <c r="BL19" s="16">
        <f>IF(ISNA(VLOOKUP(A19,'Données projet'!$A$87:$I$107,4,0)),0,VLOOKUP(A19,'Données projet'!$A$87:$I$107,4,0))</f>
        <v>15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0.25200000000000006</v>
      </c>
      <c r="BO19" s="17">
        <f>IF(ISNA(VLOOKUP(A19,'Données projet'!$A$87:$I$107,7,0)),0%,VLOOKUP(A19,'Données projet'!$A$87:$I$107,7,0))</f>
        <v>0.44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3.1166740702738651</v>
      </c>
      <c r="BR19" s="23">
        <f>EXP(-LN(2)/2)*BR18+(1-EXP(-LN(2)/2))/(LN(2)/2)*BL19*BO19*VLOOKUP('Données projet'!$B$11,Paramètres!$A$1:$I$89,3,0)*0.475*44/12</f>
        <v>4.6629854941329967</v>
      </c>
      <c r="BS19" s="24">
        <f t="shared" si="9"/>
        <v>7.7796595644068613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>
        <f>VLOOKUP(A19,'Données projet'!$A$113:$I$133,2,0)</f>
        <v>81</v>
      </c>
      <c r="BW19" s="13">
        <f>VLOOKUP(A19,'Données projet'!$A$113:$I$133,9,0)</f>
        <v>11.25</v>
      </c>
      <c r="BX19" s="13">
        <f t="array" ref="BX19">INDEX(BW:BW,MIN(IF(ISNUMBER(BW19:BW215),ROW(BW19:BW215),"")))</f>
        <v>11.25</v>
      </c>
      <c r="BY19" s="13">
        <f>IF('Données projet'!$A$114&gt;35,BY18+BX19-CG18,IF(A19&lt;'Données projet'!$A$114,$BV$205^A19,IF(A19='Données projet'!$A$114,'Données projet'!$B$114,BY18+BX19-CG18)))</f>
        <v>81</v>
      </c>
      <c r="BZ19" s="14">
        <f>BY19*VLOOKUP('Données projet'!$B$12,Paramètres!$A$1:$I$89,3,0)*VLOOKUP('Données projet'!$B$12,Paramètres!$A$1:$I$89,5,0)</f>
        <v>48.438000000000009</v>
      </c>
      <c r="CA19" s="14">
        <f t="shared" si="39"/>
        <v>14.209624244846971</v>
      </c>
      <c r="CB19" s="22">
        <f t="shared" si="10"/>
        <v>109.11127889310849</v>
      </c>
      <c r="CC19" s="62">
        <f t="shared" si="11"/>
        <v>316.05332481522254</v>
      </c>
      <c r="CD19" s="62">
        <f ca="1">AVERAGE(OFFSET($CC$3,0,0,'Données projet'!$E$12+1,1))-AVERAGE(OFFSET($H$3,0,0,'Données projet'!$E$12+1,1))</f>
        <v>275.76900776033335</v>
      </c>
      <c r="CE19" s="62">
        <f t="shared" si="40"/>
        <v>299.36898480605191</v>
      </c>
      <c r="CF19" s="16">
        <f>IF(ISNA(VLOOKUP(A19,'Données projet'!$A$113:$I$133,3,0)),0,VLOOKUP(A19,'Données projet'!$A$113:$I$133,3,0))</f>
        <v>1</v>
      </c>
      <c r="CG19" s="16">
        <f>IF(ISNA(VLOOKUP(A19,'Données projet'!$A$113:$I$133,4,0)),0,VLOOKUP(A19,'Données projet'!$A$113:$I$133,4,0))</f>
        <v>15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0.25200000000000006</v>
      </c>
      <c r="CJ19" s="17">
        <f>IF(ISNA(VLOOKUP(A19,'Données projet'!$A$113:$I$133,7,0)),0%,VLOOKUP(A19,'Données projet'!$A$113:$I$133,7,0))</f>
        <v>0.44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2.9868126506791217</v>
      </c>
      <c r="CM19" s="23">
        <f>EXP(-LN(2)/2)*CM18+(1-EXP(-LN(2)/2))/(LN(2)/2)*CG19*CJ19*VLOOKUP('Données projet'!$B$12,Paramètres!$A$1:$I$89,3,0)*0.475*44/12</f>
        <v>4.4686944318774549</v>
      </c>
      <c r="CN19" s="24">
        <f t="shared" si="12"/>
        <v>7.4555070825565766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3.6111111111111112</v>
      </c>
      <c r="CT19" s="13">
        <f>IF('Données projet'!$A$140&gt;35,CT18+CS19-DB18,IF(A19&lt;'Données projet'!$A$140,$CQ$205^A19,IF(A19='Données projet'!$A$140,'Données projet'!$B$140,CT18+CS19-DB18)))</f>
        <v>57.7777777777778</v>
      </c>
      <c r="CU19" s="18">
        <f>CT19*VLOOKUP('Données projet'!$B$13,Paramètres!$A$1:$I$89,3,0)*VLOOKUP('Données projet'!$B$13,Paramètres!$A$1:$I$89,5,0)</f>
        <v>63.093333333333355</v>
      </c>
      <c r="CV19" s="14">
        <f t="shared" si="41"/>
        <v>17.94805787274478</v>
      </c>
      <c r="CW19" s="22">
        <f t="shared" si="13"/>
        <v>141.1470896839194</v>
      </c>
      <c r="CX19" s="62">
        <f t="shared" si="14"/>
        <v>348.08913560603344</v>
      </c>
      <c r="CY19" s="62">
        <f ca="1">AVERAGE(OFFSET($CX$3,0,0,'Données projet'!$E$13+1,1))-AVERAGE(OFFSET($H$3,0,0,'Données projet'!$E$13+1,1))</f>
        <v>482.24068797679558</v>
      </c>
      <c r="CZ19" s="62">
        <f t="shared" si="42"/>
        <v>316.28941055521693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7.9</v>
      </c>
      <c r="DO19" s="13">
        <f>IF('Données projet'!$A$166&gt;35,DO18+DN19-DW18,IF(A19&lt;'Données projet'!$A$166,$DL$205^A19,IF(A19='Données projet'!$A$166,'Données projet'!$B$166,DO18+DN19-DW18)))</f>
        <v>75.900000000000006</v>
      </c>
      <c r="DP19" s="18">
        <f>DO19*VLOOKUP('Données projet'!$B$14,Paramètres!$A$1:$I$89,3,0)*VLOOKUP('Données projet'!$B$14,Paramètres!$A$1:$I$89,5,0)</f>
        <v>61.570080000000004</v>
      </c>
      <c r="DQ19" s="14">
        <f t="shared" si="43"/>
        <v>17.564635735283549</v>
      </c>
      <c r="DR19" s="22">
        <f t="shared" si="16"/>
        <v>137.82629657228549</v>
      </c>
      <c r="DS19" s="62">
        <f t="shared" si="17"/>
        <v>344.76834249439958</v>
      </c>
      <c r="DT19" s="62">
        <f ca="1">AVERAGE(OFFSET($DS$3,0,0,'Données projet'!$E$14+1,1))-AVERAGE(OFFSET($H$3,0,0,'Données projet'!$E$14+1,1))</f>
        <v>325.58538970226539</v>
      </c>
      <c r="DU19" s="62">
        <f t="shared" si="44"/>
        <v>361.81085660423457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2.8888888888888888</v>
      </c>
      <c r="EJ19" s="13">
        <f>IF('Données projet'!$A$192&gt;35,EJ18+EI19-ER18,IF(A19&lt;'Données projet'!$A$192,$EG$205^A19,IF(A19='Données projet'!$A$192,'Données projet'!$B$192,EJ18+EI19-ER18)))</f>
        <v>46.222222222222207</v>
      </c>
      <c r="EK19" s="18">
        <f>EJ19*VLOOKUP('Données projet'!$B$15,Paramètres!$A$1:$I$89,3,0)*VLOOKUP('Données projet'!$B$15,Paramètres!$A$1:$I$89,5,0)</f>
        <v>44.70613333333332</v>
      </c>
      <c r="EL19" s="14">
        <f t="shared" si="45"/>
        <v>13.237819113089694</v>
      </c>
      <c r="EM19" s="22">
        <f t="shared" si="19"/>
        <v>100.91905051085341</v>
      </c>
      <c r="EN19" s="62">
        <f t="shared" si="20"/>
        <v>307.86109643296749</v>
      </c>
      <c r="EO19" s="62">
        <f ca="1">AVERAGE(OFFSET($EN$3,0,0,'Données projet'!$E$15+1,1))-AVERAGE(OFFSET($H$3,0,0,'Données projet'!$E$15+1,1))</f>
        <v>364.22267539944085</v>
      </c>
      <c r="EP19" s="62">
        <f t="shared" si="46"/>
        <v>241.947139538615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6.3</v>
      </c>
      <c r="FE19" s="13">
        <f>IF('Données projet'!$A$218&gt;35,FE18+FD19-FM18,IF(A19&lt;'Données projet'!$A$218,$FB$205^A19,IF(A19='Données projet'!$A$218,'Données projet'!$B$218,FE18+FD19-FM18)))</f>
        <v>60.3</v>
      </c>
      <c r="FF19" s="18">
        <f>FE19*VLOOKUP('Données projet'!$B$16,Paramètres!$A$1:$I$89,3,0)*VLOOKUP('Données projet'!$B$16,Paramètres!$A$1:$I$89,5,0)</f>
        <v>52.678080000000001</v>
      </c>
      <c r="FG19" s="14">
        <f t="shared" si="47"/>
        <v>15.303271301805914</v>
      </c>
      <c r="FH19" s="22">
        <f t="shared" si="22"/>
        <v>118.40085351731194</v>
      </c>
      <c r="FI19" s="62">
        <f t="shared" si="23"/>
        <v>325.34289943942599</v>
      </c>
      <c r="FJ19" s="62">
        <f ca="1">AVERAGE(OFFSET($FI$3,0,0,'Données projet'!$E$16+1,1))-AVERAGE(OFFSET($H$3,0,0,'Données projet'!$E$16+1,1))</f>
        <v>286.59837239471312</v>
      </c>
      <c r="FK19" s="62">
        <f t="shared" si="48"/>
        <v>319.26091328564689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7.9</v>
      </c>
      <c r="FZ19" s="13">
        <f>IF('Données projet'!$A$244&gt;35,FZ18+FY19-GH18,IF(A19&lt;'Données projet'!$A$244,$FW$205^A19,IF(A19='Données projet'!$A$244,'Données projet'!$B$244,FZ18+FY19-GH18)))</f>
        <v>75.900000000000006</v>
      </c>
      <c r="GA19" s="18">
        <f>FZ19*VLOOKUP('Données projet'!$B$17,Paramètres!$A$1:$I$89,3,0)*VLOOKUP('Données projet'!$B$17,Paramètres!$A$1:$I$89,5,0)</f>
        <v>50.913720000000005</v>
      </c>
      <c r="GB19" s="14">
        <f t="shared" si="49"/>
        <v>14.849482555462377</v>
      </c>
      <c r="GC19" s="22">
        <f t="shared" si="25"/>
        <v>114.53757778409698</v>
      </c>
      <c r="GD19" s="62">
        <f t="shared" si="26"/>
        <v>321.47962370621104</v>
      </c>
      <c r="GE19" s="62">
        <f ca="1">AVERAGE(OFFSET($GD$3,0,0,'Données projet'!$E$17+1,1))-AVERAGE(OFFSET($H$3,0,0,'Données projet'!$E$17+1,1))</f>
        <v>277.37570531842186</v>
      </c>
      <c r="GF19" s="62">
        <f t="shared" si="50"/>
        <v>310.00874200911312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projet'!$B$17,Paramètres!$A$1:$I$89,3,0)*0.475*44/12</f>
        <v>0</v>
      </c>
      <c r="GM19" s="23">
        <f>EXP(-LN(2)/25)*GM18+(1-EXP(-LN(2)/25))/(LN(2)/25)*Calculateur!GH19*Calculateur!GJ19*VLOOKUP('Données projet'!$B$17,Paramètres!$A$1:$I$89,3,0)*0.475*44/12</f>
        <v>0</v>
      </c>
      <c r="GN19" s="23">
        <f>EXP(-LN(2)/2)*GN18+(1-EXP(-LN(2)/2))/(LN(2)/2)*GH19*GK19*VLOOKUP('Données projet'!$B$17,Paramètres!$A$1:$I$89,3,0)*0.475*44/12</f>
        <v>0</v>
      </c>
      <c r="GO19" s="23">
        <f t="shared" si="27"/>
        <v>0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3.6111111111111112</v>
      </c>
      <c r="N20" s="14">
        <f>IF('Données projet'!$A$36&gt;35,N19+M20-V19,IF(A20&lt;'Données projet'!$A$36,$K$205^A20,IF(A20='Données projet'!$A$36,'Données projet'!$B$36,N19+M20-V19)))</f>
        <v>61.388888888888914</v>
      </c>
      <c r="O20" s="14">
        <f>N20*VLOOKUP('Données projet'!$B$9,Paramètres!$A$1:$I$89,3,0)*VLOOKUP('Données projet'!$B$9,Paramètres!$A$1:$I$89,5,0)</f>
        <v>53.629333333333363</v>
      </c>
      <c r="P20" s="14">
        <f t="shared" si="33"/>
        <v>15.547194222177771</v>
      </c>
      <c r="Q20" s="22">
        <f t="shared" si="2"/>
        <v>120.48245215918188</v>
      </c>
      <c r="R20" s="62">
        <f t="shared" si="0"/>
        <v>329.84857647505459</v>
      </c>
      <c r="S20" s="62">
        <f ca="1">AVERAGE(OFFSET($R$3,0,0,'Données projet'!$E$9+1,1))-AVERAGE(OFFSET($H$3,0,0,'Données projet'!$E$9+1,1))</f>
        <v>401.34220206028908</v>
      </c>
      <c r="T20" s="62">
        <f t="shared" si="34"/>
        <v>265.33314259106987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5.75</v>
      </c>
      <c r="AI20" s="14">
        <f>IF('Données projet'!$A$62&gt;35,AI19+AH20-AQ19,IF(A20&lt;'Données projet'!$A$62,$AF$205^A20,IF(A20='Données projet'!$A$62,'Données projet'!$B$62,AI19+AH20-AQ19)))</f>
        <v>56.440800444763006</v>
      </c>
      <c r="AJ20" s="14">
        <f>AI20*VLOOKUP('Données projet'!$B$10,Paramètres!$A$1:$I$89,3,0)*VLOOKUP('Données projet'!$B$10,Paramètres!$A$1:$I$89,5,0)</f>
        <v>26.414294608149088</v>
      </c>
      <c r="AK20" s="14">
        <f t="shared" si="35"/>
        <v>8.3155124979120405</v>
      </c>
      <c r="AL20" s="22">
        <f t="shared" si="4"/>
        <v>60.487747376389791</v>
      </c>
      <c r="AM20" s="62">
        <f t="shared" si="5"/>
        <v>269.85387169226249</v>
      </c>
      <c r="AN20" s="62">
        <f ca="1">AVERAGE(OFFSET($AM$3,0,0,'Données projet'!$E$10+1,1))-AVERAGE(OFFSET($H$3,0,0,'Données projet'!$E$10+1,1))</f>
        <v>253.48761861464732</v>
      </c>
      <c r="AO20" s="62">
        <f t="shared" si="36"/>
        <v>219.50855998133855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13.25</v>
      </c>
      <c r="BD20" s="13">
        <f>IF('Données projet'!$A$88&gt;35,BD19+BC20-BL19,IF(A20&lt;'Données projet'!$A$88,$BA$205^A20,IF(A20='Données projet'!$A$88,'Données projet'!$B$88,BD19+BC20-BL19)))</f>
        <v>79.25</v>
      </c>
      <c r="BE20" s="14">
        <f>BD20*VLOOKUP('Données projet'!$B$11,Paramètres!$A$1:$I$89,3,0)*VLOOKUP('Données projet'!$B$11,Paramètres!$A$1:$I$89,5,0)</f>
        <v>91.295999999999992</v>
      </c>
      <c r="BF20" s="14">
        <f t="shared" si="37"/>
        <v>24.877528425801295</v>
      </c>
      <c r="BG20" s="22">
        <f t="shared" si="7"/>
        <v>202.33556200827059</v>
      </c>
      <c r="BH20" s="62">
        <f t="shared" si="8"/>
        <v>411.70168632414334</v>
      </c>
      <c r="BI20" s="62">
        <f ca="1">AVERAGE(OFFSET($BH$3,0,0,'Données projet'!$E$11+1,1))-AVERAGE(OFFSET($H$3,0,0,'Données projet'!$E$11+1,1))</f>
        <v>482.85256243111911</v>
      </c>
      <c r="BJ20" s="62">
        <f t="shared" si="38"/>
        <v>517.78430032567064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3.0314484539234603</v>
      </c>
      <c r="BR20" s="23">
        <f>EXP(-LN(2)/2)*BR19+(1-EXP(-LN(2)/2))/(LN(2)/2)*BL20*BO20*VLOOKUP('Données projet'!$B$11,Paramètres!$A$1:$I$89,3,0)*0.475*44/12</f>
        <v>3.2972286634759462</v>
      </c>
      <c r="BS20" s="24">
        <f t="shared" si="9"/>
        <v>6.3286771173994065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13.25</v>
      </c>
      <c r="BY20" s="13">
        <f>IF('Données projet'!$A$114&gt;35,BY19+BX20-CG19,IF(A20&lt;'Données projet'!$A$114,$BV$205^A20,IF(A20='Données projet'!$A$114,'Données projet'!$B$114,BY19+BX20-CG19)))</f>
        <v>79.25</v>
      </c>
      <c r="BZ20" s="14">
        <f>BY20*VLOOKUP('Données projet'!$B$12,Paramètres!$A$1:$I$89,3,0)*VLOOKUP('Données projet'!$B$12,Paramètres!$A$1:$I$89,5,0)</f>
        <v>47.391500000000001</v>
      </c>
      <c r="CA20" s="14">
        <f t="shared" si="39"/>
        <v>13.938016900926096</v>
      </c>
      <c r="CB20" s="22">
        <f t="shared" si="10"/>
        <v>106.81557526911295</v>
      </c>
      <c r="CC20" s="62">
        <f t="shared" si="11"/>
        <v>316.18169958498567</v>
      </c>
      <c r="CD20" s="62">
        <f ca="1">AVERAGE(OFFSET($CC$3,0,0,'Données projet'!$E$12+1,1))-AVERAGE(OFFSET($H$3,0,0,'Données projet'!$E$12+1,1))</f>
        <v>275.76900776033335</v>
      </c>
      <c r="CE20" s="62">
        <f t="shared" si="40"/>
        <v>299.36898480605191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2.9051381016766502</v>
      </c>
      <c r="CM20" s="23">
        <f>EXP(-LN(2)/2)*CM19+(1-EXP(-LN(2)/2))/(LN(2)/2)*CG20*CJ20*VLOOKUP('Données projet'!$B$12,Paramètres!$A$1:$I$89,3,0)*0.475*44/12</f>
        <v>3.1598441358311149</v>
      </c>
      <c r="CN20" s="24">
        <f t="shared" si="12"/>
        <v>6.0649822375077651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3.6111111111111112</v>
      </c>
      <c r="CT20" s="13">
        <f>IF('Données projet'!$A$140&gt;35,CT19+CS20-DB19,IF(A20&lt;'Données projet'!$A$140,$CQ$205^A20,IF(A20='Données projet'!$A$140,'Données projet'!$B$140,CT19+CS20-DB19)))</f>
        <v>61.388888888888914</v>
      </c>
      <c r="CU20" s="18">
        <f>CT20*VLOOKUP('Données projet'!$B$13,Paramètres!$A$1:$I$89,3,0)*VLOOKUP('Données projet'!$B$13,Paramètres!$A$1:$I$89,5,0)</f>
        <v>67.03666666666669</v>
      </c>
      <c r="CV20" s="14">
        <f t="shared" si="41"/>
        <v>18.935715132773851</v>
      </c>
      <c r="CW20" s="22">
        <f t="shared" si="13"/>
        <v>149.73523163402561</v>
      </c>
      <c r="CX20" s="62">
        <f t="shared" si="14"/>
        <v>359.10135594989833</v>
      </c>
      <c r="CY20" s="62">
        <f ca="1">AVERAGE(OFFSET($CX$3,0,0,'Données projet'!$E$13+1,1))-AVERAGE(OFFSET($H$3,0,0,'Données projet'!$E$13+1,1))</f>
        <v>482.24068797679558</v>
      </c>
      <c r="CZ20" s="62">
        <f t="shared" si="42"/>
        <v>316.28941055521693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7.9</v>
      </c>
      <c r="DO20" s="13">
        <f>IF('Données projet'!$A$166&gt;35,DO19+DN20-DW19,IF(A20&lt;'Données projet'!$A$166,$DL$205^A20,IF(A20='Données projet'!$A$166,'Données projet'!$B$166,DO19+DN20-DW19)))</f>
        <v>83.800000000000011</v>
      </c>
      <c r="DP20" s="18">
        <f>DO20*VLOOKUP('Données projet'!$B$14,Paramètres!$A$1:$I$89,3,0)*VLOOKUP('Données projet'!$B$14,Paramètres!$A$1:$I$89,5,0)</f>
        <v>67.978560000000016</v>
      </c>
      <c r="DQ20" s="14">
        <f t="shared" si="43"/>
        <v>19.170609873057547</v>
      </c>
      <c r="DR20" s="22">
        <f t="shared" si="16"/>
        <v>151.78480419557522</v>
      </c>
      <c r="DS20" s="62">
        <f t="shared" si="17"/>
        <v>361.15092851144794</v>
      </c>
      <c r="DT20" s="62">
        <f ca="1">AVERAGE(OFFSET($DS$3,0,0,'Données projet'!$E$14+1,1))-AVERAGE(OFFSET($H$3,0,0,'Données projet'!$E$14+1,1))</f>
        <v>325.58538970226539</v>
      </c>
      <c r="DU20" s="62">
        <f t="shared" si="44"/>
        <v>361.81085660423457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2.8888888888888888</v>
      </c>
      <c r="EJ20" s="13">
        <f>IF('Données projet'!$A$192&gt;35,EJ19+EI20-ER19,IF(A20&lt;'Données projet'!$A$192,$EG$205^A20,IF(A20='Données projet'!$A$192,'Données projet'!$B$192,EJ19+EI20-ER19)))</f>
        <v>49.111111111111093</v>
      </c>
      <c r="EK20" s="18">
        <f>EJ20*VLOOKUP('Données projet'!$B$15,Paramètres!$A$1:$I$89,3,0)*VLOOKUP('Données projet'!$B$15,Paramètres!$A$1:$I$89,5,0)</f>
        <v>47.500266666666647</v>
      </c>
      <c r="EL20" s="14">
        <f t="shared" si="45"/>
        <v>13.966278328381675</v>
      </c>
      <c r="EM20" s="22">
        <f t="shared" si="19"/>
        <v>107.05423253304251</v>
      </c>
      <c r="EN20" s="62">
        <f t="shared" si="20"/>
        <v>316.42035684891522</v>
      </c>
      <c r="EO20" s="62">
        <f ca="1">AVERAGE(OFFSET($EN$3,0,0,'Données projet'!$E$15+1,1))-AVERAGE(OFFSET($H$3,0,0,'Données projet'!$E$15+1,1))</f>
        <v>364.22267539944085</v>
      </c>
      <c r="EP20" s="62">
        <f t="shared" si="46"/>
        <v>241.947139538615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6.3</v>
      </c>
      <c r="FE20" s="13">
        <f>IF('Données projet'!$A$218&gt;35,FE19+FD20-FM19,IF(A20&lt;'Données projet'!$A$218,$FB$205^A20,IF(A20='Données projet'!$A$218,'Données projet'!$B$218,FE19+FD20-FM19)))</f>
        <v>66.599999999999994</v>
      </c>
      <c r="FF20" s="18">
        <f>FE20*VLOOKUP('Données projet'!$B$16,Paramètres!$A$1:$I$89,3,0)*VLOOKUP('Données projet'!$B$16,Paramètres!$A$1:$I$89,5,0)</f>
        <v>58.181760000000004</v>
      </c>
      <c r="FG20" s="14">
        <f t="shared" si="47"/>
        <v>16.707740816589531</v>
      </c>
      <c r="FH20" s="22">
        <f t="shared" si="22"/>
        <v>130.43254725556008</v>
      </c>
      <c r="FI20" s="62">
        <f t="shared" si="23"/>
        <v>339.79867157143281</v>
      </c>
      <c r="FJ20" s="62">
        <f ca="1">AVERAGE(OFFSET($FI$3,0,0,'Données projet'!$E$16+1,1))-AVERAGE(OFFSET($H$3,0,0,'Données projet'!$E$16+1,1))</f>
        <v>286.59837239471312</v>
      </c>
      <c r="FK20" s="62">
        <f t="shared" si="48"/>
        <v>319.26091328564689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7.9</v>
      </c>
      <c r="FZ20" s="13">
        <f>IF('Données projet'!$A$244&gt;35,FZ19+FY20-GH19,IF(A20&lt;'Données projet'!$A$244,$FW$205^A20,IF(A20='Données projet'!$A$244,'Données projet'!$B$244,FZ19+FY20-GH19)))</f>
        <v>83.800000000000011</v>
      </c>
      <c r="GA20" s="18">
        <f>FZ20*VLOOKUP('Données projet'!$B$17,Paramètres!$A$1:$I$89,3,0)*VLOOKUP('Données projet'!$B$17,Paramètres!$A$1:$I$89,5,0)</f>
        <v>56.213040000000014</v>
      </c>
      <c r="GB20" s="14">
        <f t="shared" si="49"/>
        <v>16.207204133228622</v>
      </c>
      <c r="GC20" s="22">
        <f t="shared" si="25"/>
        <v>126.13192519870654</v>
      </c>
      <c r="GD20" s="62">
        <f t="shared" si="26"/>
        <v>335.49804951457929</v>
      </c>
      <c r="GE20" s="62">
        <f ca="1">AVERAGE(OFFSET($GD$3,0,0,'Données projet'!$E$17+1,1))-AVERAGE(OFFSET($H$3,0,0,'Données projet'!$E$17+1,1))</f>
        <v>277.37570531842186</v>
      </c>
      <c r="GF20" s="62">
        <f t="shared" si="50"/>
        <v>310.00874200911312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projet'!$B$17,Paramètres!$A$1:$I$89,3,0)*0.475*44/12</f>
        <v>0</v>
      </c>
      <c r="GM20" s="23">
        <f>EXP(-LN(2)/25)*GM19+(1-EXP(-LN(2)/25))/(LN(2)/25)*Calculateur!GH20*Calculateur!GJ20*VLOOKUP('Données projet'!$B$17,Paramètres!$A$1:$I$89,3,0)*0.475*44/12</f>
        <v>0</v>
      </c>
      <c r="GN20" s="23">
        <f>EXP(-LN(2)/2)*GN19+(1-EXP(-LN(2)/2))/(LN(2)/2)*GH20*GK20*VLOOKUP('Données projet'!$B$17,Paramètres!$A$1:$I$89,3,0)*0.475*44/12</f>
        <v>0</v>
      </c>
      <c r="GO20" s="23">
        <f t="shared" si="27"/>
        <v>0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3.6111111111111112</v>
      </c>
      <c r="N21" s="14">
        <f>IF('Données projet'!$A$36&gt;35,N20+M21-V20,IF(A21&lt;'Données projet'!$A$36,$K$205^A21,IF(A21='Données projet'!$A$36,'Données projet'!$B$36,N20+M21-V20)))</f>
        <v>65.000000000000028</v>
      </c>
      <c r="O21" s="14">
        <f>N21*VLOOKUP('Données projet'!$B$9,Paramètres!$A$1:$I$89,3,0)*VLOOKUP('Données projet'!$B$9,Paramètres!$A$1:$I$89,5,0)</f>
        <v>56.784000000000034</v>
      </c>
      <c r="P21" s="14">
        <f t="shared" si="33"/>
        <v>16.352574732529362</v>
      </c>
      <c r="Q21" s="22">
        <f t="shared" si="2"/>
        <v>127.37953432582202</v>
      </c>
      <c r="R21" s="62">
        <f t="shared" si="0"/>
        <v>339.14888751782513</v>
      </c>
      <c r="S21" s="62">
        <f ca="1">AVERAGE(OFFSET($R$3,0,0,'Données projet'!$E$9+1,1))-AVERAGE(OFFSET($H$3,0,0,'Données projet'!$E$9+1,1))</f>
        <v>401.34220206028908</v>
      </c>
      <c r="T21" s="62">
        <f t="shared" si="34"/>
        <v>265.33314259106987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5.75</v>
      </c>
      <c r="AI21" s="14">
        <f>IF('Données projet'!$A$62&gt;35,AI20+AH21-AQ20,IF(A21&lt;'Données projet'!$A$62,$AF$205^A21,IF(A21='Données projet'!$A$62,'Données projet'!$B$62,AI20+AH21-AQ20)))</f>
        <v>71.55303446582019</v>
      </c>
      <c r="AJ21" s="14">
        <f>AI21*VLOOKUP('Données projet'!$B$10,Paramètres!$A$1:$I$89,3,0)*VLOOKUP('Données projet'!$B$10,Paramètres!$A$1:$I$89,5,0)</f>
        <v>33.486820130003849</v>
      </c>
      <c r="AK21" s="14">
        <f t="shared" si="35"/>
        <v>10.254881616957807</v>
      </c>
      <c r="AL21" s="22">
        <f t="shared" si="4"/>
        <v>76.183463875958196</v>
      </c>
      <c r="AM21" s="62">
        <f t="shared" si="5"/>
        <v>287.95281706796129</v>
      </c>
      <c r="AN21" s="62">
        <f ca="1">AVERAGE(OFFSET($AM$3,0,0,'Données projet'!$E$10+1,1))-AVERAGE(OFFSET($H$3,0,0,'Données projet'!$E$10+1,1))</f>
        <v>253.48761861464732</v>
      </c>
      <c r="AO21" s="62">
        <f t="shared" si="36"/>
        <v>219.50855998133855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13.25</v>
      </c>
      <c r="BD21" s="13">
        <f>IF('Données projet'!$A$88&gt;35,BD20+BC21-BL20,IF(A21&lt;'Données projet'!$A$88,$BA$205^A21,IF(A21='Données projet'!$A$88,'Données projet'!$B$88,BD20+BC21-BL20)))</f>
        <v>92.5</v>
      </c>
      <c r="BE21" s="14">
        <f>BD21*VLOOKUP('Données projet'!$B$11,Paramètres!$A$1:$I$89,3,0)*VLOOKUP('Données projet'!$B$11,Paramètres!$A$1:$I$89,5,0)</f>
        <v>106.55999999999999</v>
      </c>
      <c r="BF21" s="14">
        <f t="shared" si="37"/>
        <v>28.51900113231029</v>
      </c>
      <c r="BG21" s="22">
        <f t="shared" si="7"/>
        <v>235.26259363877375</v>
      </c>
      <c r="BH21" s="62">
        <f t="shared" si="8"/>
        <v>447.03194683077686</v>
      </c>
      <c r="BI21" s="62">
        <f ca="1">AVERAGE(OFFSET($BH$3,0,0,'Données projet'!$E$11+1,1))-AVERAGE(OFFSET($H$3,0,0,'Données projet'!$E$11+1,1))</f>
        <v>482.85256243111911</v>
      </c>
      <c r="BJ21" s="62">
        <f t="shared" si="38"/>
        <v>517.78430032567064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2.9485533365339776</v>
      </c>
      <c r="BR21" s="23">
        <f>EXP(-LN(2)/2)*BR20+(1-EXP(-LN(2)/2))/(LN(2)/2)*BL21*BO21*VLOOKUP('Données projet'!$B$11,Paramètres!$A$1:$I$89,3,0)*0.475*44/12</f>
        <v>2.3314927470664988</v>
      </c>
      <c r="BS21" s="24">
        <f t="shared" si="9"/>
        <v>5.2800460836004763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13.25</v>
      </c>
      <c r="BY21" s="13">
        <f>IF('Données projet'!$A$114&gt;35,BY20+BX21-CG20,IF(A21&lt;'Données projet'!$A$114,$BV$205^A21,IF(A21='Données projet'!$A$114,'Données projet'!$B$114,BY20+BX21-CG20)))</f>
        <v>92.5</v>
      </c>
      <c r="BZ21" s="14">
        <f>BY21*VLOOKUP('Données projet'!$B$12,Paramètres!$A$1:$I$89,3,0)*VLOOKUP('Données projet'!$B$12,Paramètres!$A$1:$I$89,5,0)</f>
        <v>55.315000000000005</v>
      </c>
      <c r="CA21" s="14">
        <f t="shared" si="39"/>
        <v>15.978207841877614</v>
      </c>
      <c r="CB21" s="22">
        <f t="shared" si="10"/>
        <v>124.16900365793684</v>
      </c>
      <c r="CC21" s="62">
        <f t="shared" si="11"/>
        <v>335.93835684993996</v>
      </c>
      <c r="CD21" s="62">
        <f ca="1">AVERAGE(OFFSET($CC$3,0,0,'Données projet'!$E$12+1,1))-AVERAGE(OFFSET($H$3,0,0,'Données projet'!$E$12+1,1))</f>
        <v>275.76900776033335</v>
      </c>
      <c r="CE21" s="62">
        <f t="shared" si="40"/>
        <v>299.36898480605191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2.8256969475117293</v>
      </c>
      <c r="CM21" s="23">
        <f>EXP(-LN(2)/2)*CM20+(1-EXP(-LN(2)/2))/(LN(2)/2)*CG21*CJ21*VLOOKUP('Données projet'!$B$12,Paramètres!$A$1:$I$89,3,0)*0.475*44/12</f>
        <v>2.2343472159387279</v>
      </c>
      <c r="CN21" s="24">
        <f t="shared" si="12"/>
        <v>5.0600441634504572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3.6111111111111112</v>
      </c>
      <c r="CT21" s="13">
        <f>IF('Données projet'!$A$140&gt;35,CT20+CS21-DB20,IF(A21&lt;'Données projet'!$A$140,$CQ$205^A21,IF(A21='Données projet'!$A$140,'Données projet'!$B$140,CT20+CS21-DB20)))</f>
        <v>65.000000000000028</v>
      </c>
      <c r="CU21" s="18">
        <f>CT21*VLOOKUP('Données projet'!$B$13,Paramètres!$A$1:$I$89,3,0)*VLOOKUP('Données projet'!$B$13,Paramètres!$A$1:$I$89,5,0)</f>
        <v>70.980000000000018</v>
      </c>
      <c r="CV21" s="14">
        <f t="shared" si="41"/>
        <v>19.916628839746853</v>
      </c>
      <c r="CW21" s="22">
        <f t="shared" si="13"/>
        <v>158.31162856255912</v>
      </c>
      <c r="CX21" s="62">
        <f t="shared" si="14"/>
        <v>370.08098175456223</v>
      </c>
      <c r="CY21" s="62">
        <f ca="1">AVERAGE(OFFSET($CX$3,0,0,'Données projet'!$E$13+1,1))-AVERAGE(OFFSET($H$3,0,0,'Données projet'!$E$13+1,1))</f>
        <v>482.24068797679558</v>
      </c>
      <c r="CZ21" s="62">
        <f t="shared" si="42"/>
        <v>316.28941055521693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7.9</v>
      </c>
      <c r="DO21" s="13">
        <f>IF('Données projet'!$A$166&gt;35,DO20+DN21-DW20,IF(A21&lt;'Données projet'!$A$166,$DL$205^A21,IF(A21='Données projet'!$A$166,'Données projet'!$B$166,DO20+DN21-DW20)))</f>
        <v>91.700000000000017</v>
      </c>
      <c r="DP21" s="18">
        <f>DO21*VLOOKUP('Données projet'!$B$14,Paramètres!$A$1:$I$89,3,0)*VLOOKUP('Données projet'!$B$14,Paramètres!$A$1:$I$89,5,0)</f>
        <v>74.387040000000027</v>
      </c>
      <c r="DQ21" s="14">
        <f t="shared" si="43"/>
        <v>20.759030137973401</v>
      </c>
      <c r="DR21" s="22">
        <f t="shared" si="16"/>
        <v>165.71273882363704</v>
      </c>
      <c r="DS21" s="62">
        <f t="shared" si="17"/>
        <v>377.48209201564015</v>
      </c>
      <c r="DT21" s="62">
        <f ca="1">AVERAGE(OFFSET($DS$3,0,0,'Données projet'!$E$14+1,1))-AVERAGE(OFFSET($H$3,0,0,'Données projet'!$E$14+1,1))</f>
        <v>325.58538970226539</v>
      </c>
      <c r="DU21" s="62">
        <f t="shared" si="44"/>
        <v>361.81085660423457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2.8888888888888888</v>
      </c>
      <c r="EJ21" s="13">
        <f>IF('Données projet'!$A$192&gt;35,EJ20+EI21-ER20,IF(A21&lt;'Données projet'!$A$192,$EG$205^A21,IF(A21='Données projet'!$A$192,'Données projet'!$B$192,EJ20+EI21-ER20)))</f>
        <v>51.999999999999979</v>
      </c>
      <c r="EK21" s="18">
        <f>EJ21*VLOOKUP('Données projet'!$B$15,Paramètres!$A$1:$I$89,3,0)*VLOOKUP('Données projet'!$B$15,Paramètres!$A$1:$I$89,5,0)</f>
        <v>50.294399999999982</v>
      </c>
      <c r="EL21" s="14">
        <f t="shared" si="45"/>
        <v>14.689763750064966</v>
      </c>
      <c r="EM21" s="22">
        <f t="shared" si="19"/>
        <v>113.18075186469645</v>
      </c>
      <c r="EN21" s="62">
        <f t="shared" si="20"/>
        <v>324.95010505669956</v>
      </c>
      <c r="EO21" s="62">
        <f ca="1">AVERAGE(OFFSET($EN$3,0,0,'Données projet'!$E$15+1,1))-AVERAGE(OFFSET($H$3,0,0,'Données projet'!$E$15+1,1))</f>
        <v>364.22267539944085</v>
      </c>
      <c r="EP21" s="62">
        <f t="shared" si="46"/>
        <v>241.947139538615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6.3</v>
      </c>
      <c r="FE21" s="13">
        <f>IF('Données projet'!$A$218&gt;35,FE20+FD21-FM20,IF(A21&lt;'Données projet'!$A$218,$FB$205^A21,IF(A21='Données projet'!$A$218,'Données projet'!$B$218,FE20+FD21-FM20)))</f>
        <v>72.899999999999991</v>
      </c>
      <c r="FF21" s="18">
        <f>FE21*VLOOKUP('Données projet'!$B$16,Paramètres!$A$1:$I$89,3,0)*VLOOKUP('Données projet'!$B$16,Paramètres!$A$1:$I$89,5,0)</f>
        <v>63.68544</v>
      </c>
      <c r="FG21" s="14">
        <f t="shared" si="47"/>
        <v>18.096806580593729</v>
      </c>
      <c r="FH21" s="22">
        <f t="shared" si="22"/>
        <v>142.43741279453405</v>
      </c>
      <c r="FI21" s="62">
        <f t="shared" si="23"/>
        <v>354.20676598653716</v>
      </c>
      <c r="FJ21" s="62">
        <f ca="1">AVERAGE(OFFSET($FI$3,0,0,'Données projet'!$E$16+1,1))-AVERAGE(OFFSET($H$3,0,0,'Données projet'!$E$16+1,1))</f>
        <v>286.59837239471312</v>
      </c>
      <c r="FK21" s="62">
        <f t="shared" si="48"/>
        <v>319.26091328564689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7.9</v>
      </c>
      <c r="FZ21" s="13">
        <f>IF('Données projet'!$A$244&gt;35,FZ20+FY21-GH20,IF(A21&lt;'Données projet'!$A$244,$FW$205^A21,IF(A21='Données projet'!$A$244,'Données projet'!$B$244,FZ20+FY21-GH20)))</f>
        <v>91.700000000000017</v>
      </c>
      <c r="GA21" s="18">
        <f>FZ21*VLOOKUP('Données projet'!$B$17,Paramètres!$A$1:$I$89,3,0)*VLOOKUP('Données projet'!$B$17,Paramètres!$A$1:$I$89,5,0)</f>
        <v>61.512360000000008</v>
      </c>
      <c r="GB21" s="14">
        <f t="shared" si="49"/>
        <v>17.55008532758378</v>
      </c>
      <c r="GC21" s="22">
        <f t="shared" si="25"/>
        <v>137.70042561220842</v>
      </c>
      <c r="GD21" s="62">
        <f t="shared" si="26"/>
        <v>349.4697788042115</v>
      </c>
      <c r="GE21" s="62">
        <f ca="1">AVERAGE(OFFSET($GD$3,0,0,'Données projet'!$E$17+1,1))-AVERAGE(OFFSET($H$3,0,0,'Données projet'!$E$17+1,1))</f>
        <v>277.37570531842186</v>
      </c>
      <c r="GF21" s="62">
        <f t="shared" si="50"/>
        <v>310.00874200911312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projet'!$B$17,Paramètres!$A$1:$I$89,3,0)*0.475*44/12</f>
        <v>0</v>
      </c>
      <c r="GM21" s="23">
        <f>EXP(-LN(2)/25)*GM20+(1-EXP(-LN(2)/25))/(LN(2)/25)*Calculateur!GH21*Calculateur!GJ21*VLOOKUP('Données projet'!$B$17,Paramètres!$A$1:$I$89,3,0)*0.475*44/12</f>
        <v>0</v>
      </c>
      <c r="GN21" s="23">
        <f>EXP(-LN(2)/2)*GN20+(1-EXP(-LN(2)/2))/(LN(2)/2)*GH21*GK21*VLOOKUP('Données projet'!$B$17,Paramètres!$A$1:$I$89,3,0)*0.475*44/12</f>
        <v>0</v>
      </c>
      <c r="GO21" s="23">
        <f t="shared" si="27"/>
        <v>0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3.6111111111111112</v>
      </c>
      <c r="N22" s="14">
        <f>IF('Données projet'!$A$36&gt;35,N21+M22-V21,IF(A22&lt;'Données projet'!$A$36,$K$205^A22,IF(A22='Données projet'!$A$36,'Données projet'!$B$36,N21+M22-V21)))</f>
        <v>68.611111111111143</v>
      </c>
      <c r="O22" s="14">
        <f>N22*VLOOKUP('Données projet'!$B$9,Paramètres!$A$1:$I$89,3,0)*VLOOKUP('Données projet'!$B$9,Paramètres!$A$1:$I$89,5,0)</f>
        <v>59.938666666666705</v>
      </c>
      <c r="P22" s="14">
        <f t="shared" si="33"/>
        <v>17.152761098584175</v>
      </c>
      <c r="Q22" s="22">
        <f t="shared" si="2"/>
        <v>134.26757002447863</v>
      </c>
      <c r="R22" s="62">
        <f t="shared" si="0"/>
        <v>348.41966426750218</v>
      </c>
      <c r="S22" s="62">
        <f ca="1">AVERAGE(OFFSET($R$3,0,0,'Données projet'!$E$9+1,1))-AVERAGE(OFFSET($H$3,0,0,'Données projet'!$E$9+1,1))</f>
        <v>401.34220206028908</v>
      </c>
      <c r="T22" s="62">
        <f t="shared" si="34"/>
        <v>265.33314259106987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5.75</v>
      </c>
      <c r="AI22" s="14">
        <f>IF('Données projet'!$A$62&gt;35,AI21+AH22-AQ21,IF(A22&lt;'Données projet'!$A$62,$AF$205^A22,IF(A22='Données projet'!$A$62,'Données projet'!$B$62,AI21+AH22-AQ21)))</f>
        <v>90.711625294497551</v>
      </c>
      <c r="AJ22" s="14">
        <f>AI22*VLOOKUP('Données projet'!$B$10,Paramètres!$A$1:$I$89,3,0)*VLOOKUP('Données projet'!$B$10,Paramètres!$A$1:$I$89,5,0)</f>
        <v>42.453040637824856</v>
      </c>
      <c r="AK22" s="14">
        <f t="shared" si="35"/>
        <v>12.646556301156998</v>
      </c>
      <c r="AL22" s="22">
        <f t="shared" si="4"/>
        <v>95.96513133539338</v>
      </c>
      <c r="AM22" s="62">
        <f t="shared" si="5"/>
        <v>310.11722557841688</v>
      </c>
      <c r="AN22" s="62">
        <f ca="1">AVERAGE(OFFSET($AM$3,0,0,'Données projet'!$E$10+1,1))-AVERAGE(OFFSET($H$3,0,0,'Données projet'!$E$10+1,1))</f>
        <v>253.48761861464732</v>
      </c>
      <c r="AO22" s="62">
        <f t="shared" si="36"/>
        <v>219.50855998133855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13.25</v>
      </c>
      <c r="BD22" s="13">
        <f>IF('Données projet'!$A$88&gt;35,BD21+BC22-BL21,IF(A22&lt;'Données projet'!$A$88,$BA$205^A22,IF(A22='Données projet'!$A$88,'Données projet'!$B$88,BD21+BC22-BL21)))</f>
        <v>105.75</v>
      </c>
      <c r="BE22" s="14">
        <f>BD22*VLOOKUP('Données projet'!$B$11,Paramètres!$A$1:$I$89,3,0)*VLOOKUP('Données projet'!$B$11,Paramètres!$A$1:$I$89,5,0)</f>
        <v>121.82399999999998</v>
      </c>
      <c r="BF22" s="14">
        <f t="shared" si="37"/>
        <v>32.100043110612283</v>
      </c>
      <c r="BG22" s="22">
        <f t="shared" si="7"/>
        <v>268.08437508431638</v>
      </c>
      <c r="BH22" s="62">
        <f t="shared" si="8"/>
        <v>482.23646932733993</v>
      </c>
      <c r="BI22" s="62">
        <f ca="1">AVERAGE(OFFSET($BH$3,0,0,'Données projet'!$E$11+1,1))-AVERAGE(OFFSET($H$3,0,0,'Données projet'!$E$11+1,1))</f>
        <v>482.85256243111911</v>
      </c>
      <c r="BJ22" s="62">
        <f t="shared" si="38"/>
        <v>517.78430032567064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2.8679249904887749</v>
      </c>
      <c r="BR22" s="23">
        <f>EXP(-LN(2)/2)*BR21+(1-EXP(-LN(2)/2))/(LN(2)/2)*BL22*BO22*VLOOKUP('Données projet'!$B$11,Paramètres!$A$1:$I$89,3,0)*0.475*44/12</f>
        <v>1.6486143317379736</v>
      </c>
      <c r="BS22" s="24">
        <f t="shared" si="9"/>
        <v>4.5165393222267483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13.25</v>
      </c>
      <c r="BY22" s="13">
        <f>IF('Données projet'!$A$114&gt;35,BY21+BX22-CG21,IF(A22&lt;'Données projet'!$A$114,$BV$205^A22,IF(A22='Données projet'!$A$114,'Données projet'!$B$114,BY21+BX22-CG21)))</f>
        <v>105.75</v>
      </c>
      <c r="BZ22" s="14">
        <f>BY22*VLOOKUP('Données projet'!$B$12,Paramètres!$A$1:$I$89,3,0)*VLOOKUP('Données projet'!$B$12,Paramètres!$A$1:$I$89,5,0)</f>
        <v>63.238500000000009</v>
      </c>
      <c r="CA22" s="14">
        <f t="shared" si="39"/>
        <v>17.984541540394584</v>
      </c>
      <c r="CB22" s="22">
        <f t="shared" si="10"/>
        <v>141.46346401618726</v>
      </c>
      <c r="CC22" s="62">
        <f t="shared" si="11"/>
        <v>355.61555825921079</v>
      </c>
      <c r="CD22" s="62">
        <f ca="1">AVERAGE(OFFSET($CC$3,0,0,'Données projet'!$E$12+1,1))-AVERAGE(OFFSET($H$3,0,0,'Données projet'!$E$12+1,1))</f>
        <v>275.76900776033335</v>
      </c>
      <c r="CE22" s="62">
        <f t="shared" si="40"/>
        <v>299.36898480605191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2.7484281158850767</v>
      </c>
      <c r="CM22" s="23">
        <f>EXP(-LN(2)/2)*CM21+(1-EXP(-LN(2)/2))/(LN(2)/2)*CG22*CJ22*VLOOKUP('Données projet'!$B$12,Paramètres!$A$1:$I$89,3,0)*0.475*44/12</f>
        <v>1.5799220679155579</v>
      </c>
      <c r="CN22" s="24">
        <f t="shared" si="12"/>
        <v>4.3283501838006346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3.6111111111111112</v>
      </c>
      <c r="CT22" s="13">
        <f>IF('Données projet'!$A$140&gt;35,CT21+CS22-DB21,IF(A22&lt;'Données projet'!$A$140,$CQ$205^A22,IF(A22='Données projet'!$A$140,'Données projet'!$B$140,CT21+CS22-DB21)))</f>
        <v>68.611111111111143</v>
      </c>
      <c r="CU22" s="18">
        <f>CT22*VLOOKUP('Données projet'!$B$13,Paramètres!$A$1:$I$89,3,0)*VLOOKUP('Données projet'!$B$13,Paramètres!$A$1:$I$89,5,0)</f>
        <v>74.923333333333375</v>
      </c>
      <c r="CV22" s="14">
        <f t="shared" si="41"/>
        <v>20.891216335356148</v>
      </c>
      <c r="CW22" s="22">
        <f t="shared" si="13"/>
        <v>166.87700733963425</v>
      </c>
      <c r="CX22" s="62">
        <f t="shared" si="14"/>
        <v>381.02910158265774</v>
      </c>
      <c r="CY22" s="62">
        <f ca="1">AVERAGE(OFFSET($CX$3,0,0,'Données projet'!$E$13+1,1))-AVERAGE(OFFSET($H$3,0,0,'Données projet'!$E$13+1,1))</f>
        <v>482.24068797679558</v>
      </c>
      <c r="CZ22" s="62">
        <f t="shared" si="42"/>
        <v>316.28941055521693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7.9</v>
      </c>
      <c r="DO22" s="13">
        <f>IF('Données projet'!$A$166&gt;35,DO21+DN22-DW21,IF(A22&lt;'Données projet'!$A$166,$DL$205^A22,IF(A22='Données projet'!$A$166,'Données projet'!$B$166,DO21+DN22-DW21)))</f>
        <v>99.600000000000023</v>
      </c>
      <c r="DP22" s="18">
        <f>DO22*VLOOKUP('Données projet'!$B$14,Paramètres!$A$1:$I$89,3,0)*VLOOKUP('Données projet'!$B$14,Paramètres!$A$1:$I$89,5,0)</f>
        <v>80.795520000000025</v>
      </c>
      <c r="DQ22" s="14">
        <f t="shared" si="43"/>
        <v>22.331580748554579</v>
      </c>
      <c r="DR22" s="22">
        <f t="shared" si="16"/>
        <v>179.61303380373261</v>
      </c>
      <c r="DS22" s="62">
        <f t="shared" si="17"/>
        <v>393.7651280467561</v>
      </c>
      <c r="DT22" s="62">
        <f ca="1">AVERAGE(OFFSET($DS$3,0,0,'Données projet'!$E$14+1,1))-AVERAGE(OFFSET($H$3,0,0,'Données projet'!$E$14+1,1))</f>
        <v>325.58538970226539</v>
      </c>
      <c r="DU22" s="62">
        <f t="shared" si="44"/>
        <v>361.81085660423457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2.8888888888888888</v>
      </c>
      <c r="EJ22" s="13">
        <f>IF('Données projet'!$A$192&gt;35,EJ21+EI22-ER21,IF(A22&lt;'Données projet'!$A$192,$EG$205^A22,IF(A22='Données projet'!$A$192,'Données projet'!$B$192,EJ21+EI22-ER21)))</f>
        <v>54.888888888888864</v>
      </c>
      <c r="EK22" s="18">
        <f>EJ22*VLOOKUP('Données projet'!$B$15,Paramètres!$A$1:$I$89,3,0)*VLOOKUP('Données projet'!$B$15,Paramètres!$A$1:$I$89,5,0)</f>
        <v>53.088533333333309</v>
      </c>
      <c r="EL22" s="14">
        <f t="shared" si="45"/>
        <v>15.408583193830323</v>
      </c>
      <c r="EM22" s="22">
        <f t="shared" si="19"/>
        <v>119.29914461814332</v>
      </c>
      <c r="EN22" s="62">
        <f t="shared" si="20"/>
        <v>333.45123886116687</v>
      </c>
      <c r="EO22" s="62">
        <f ca="1">AVERAGE(OFFSET($EN$3,0,0,'Données projet'!$E$15+1,1))-AVERAGE(OFFSET($H$3,0,0,'Données projet'!$E$15+1,1))</f>
        <v>364.22267539944085</v>
      </c>
      <c r="EP22" s="62">
        <f t="shared" si="46"/>
        <v>241.947139538615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6.3</v>
      </c>
      <c r="FE22" s="13">
        <f>IF('Données projet'!$A$218&gt;35,FE21+FD22-FM21,IF(A22&lt;'Données projet'!$A$218,$FB$205^A22,IF(A22='Données projet'!$A$218,'Données projet'!$B$218,FE21+FD22-FM21)))</f>
        <v>79.199999999999989</v>
      </c>
      <c r="FF22" s="18">
        <f>FE22*VLOOKUP('Données projet'!$B$16,Paramètres!$A$1:$I$89,3,0)*VLOOKUP('Données projet'!$B$16,Paramètres!$A$1:$I$89,5,0)</f>
        <v>69.189120000000003</v>
      </c>
      <c r="FG22" s="14">
        <f t="shared" si="47"/>
        <v>19.471951138068807</v>
      </c>
      <c r="FH22" s="22">
        <f t="shared" si="22"/>
        <v>154.41803223213648</v>
      </c>
      <c r="FI22" s="62">
        <f t="shared" si="23"/>
        <v>368.57012647516001</v>
      </c>
      <c r="FJ22" s="62">
        <f ca="1">AVERAGE(OFFSET($FI$3,0,0,'Données projet'!$E$16+1,1))-AVERAGE(OFFSET($H$3,0,0,'Données projet'!$E$16+1,1))</f>
        <v>286.59837239471312</v>
      </c>
      <c r="FK22" s="62">
        <f t="shared" si="48"/>
        <v>319.26091328564689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7.9</v>
      </c>
      <c r="FZ22" s="13">
        <f>IF('Données projet'!$A$244&gt;35,FZ21+FY22-GH21,IF(A22&lt;'Données projet'!$A$244,$FW$205^A22,IF(A22='Données projet'!$A$244,'Données projet'!$B$244,FZ21+FY22-GH21)))</f>
        <v>99.600000000000023</v>
      </c>
      <c r="GA22" s="18">
        <f>FZ22*VLOOKUP('Données projet'!$B$17,Paramètres!$A$1:$I$89,3,0)*VLOOKUP('Données projet'!$B$17,Paramètres!$A$1:$I$89,5,0)</f>
        <v>66.811680000000024</v>
      </c>
      <c r="GB22" s="14">
        <f t="shared" si="49"/>
        <v>18.879550009421656</v>
      </c>
      <c r="GC22" s="22">
        <f t="shared" si="25"/>
        <v>149.24555893307607</v>
      </c>
      <c r="GD22" s="62">
        <f t="shared" si="26"/>
        <v>363.3976531760996</v>
      </c>
      <c r="GE22" s="62">
        <f ca="1">AVERAGE(OFFSET($GD$3,0,0,'Données projet'!$E$17+1,1))-AVERAGE(OFFSET($H$3,0,0,'Données projet'!$E$17+1,1))</f>
        <v>277.37570531842186</v>
      </c>
      <c r="GF22" s="62">
        <f t="shared" si="50"/>
        <v>310.00874200911312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projet'!$B$17,Paramètres!$A$1:$I$89,3,0)*0.475*44/12</f>
        <v>0</v>
      </c>
      <c r="GM22" s="23">
        <f>EXP(-LN(2)/25)*GM21+(1-EXP(-LN(2)/25))/(LN(2)/25)*Calculateur!GH22*Calculateur!GJ22*VLOOKUP('Données projet'!$B$17,Paramètres!$A$1:$I$89,3,0)*0.475*44/12</f>
        <v>0</v>
      </c>
      <c r="GN22" s="23">
        <f>EXP(-LN(2)/2)*GN21+(1-EXP(-LN(2)/2))/(LN(2)/2)*GH22*GK22*VLOOKUP('Données projet'!$B$17,Paramètres!$A$1:$I$89,3,0)*0.475*44/12</f>
        <v>0</v>
      </c>
      <c r="GO22" s="23">
        <f t="shared" si="27"/>
        <v>0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3.6111111111111112</v>
      </c>
      <c r="N23" s="14">
        <f>IF('Données projet'!$A$36&gt;35,N22+M23-V22,IF(A23&lt;'Données projet'!$A$36,$K$205^A23,IF(A23='Données projet'!$A$36,'Données projet'!$B$36,N22+M23-V22)))</f>
        <v>72.222222222222257</v>
      </c>
      <c r="O23" s="14">
        <f>N23*VLOOKUP('Données projet'!$B$9,Paramètres!$A$1:$I$89,3,0)*VLOOKUP('Données projet'!$B$9,Paramètres!$A$1:$I$89,5,0)</f>
        <v>63.093333333333376</v>
      </c>
      <c r="P23" s="14">
        <f t="shared" si="33"/>
        <v>17.94805787274478</v>
      </c>
      <c r="Q23" s="22">
        <f t="shared" si="2"/>
        <v>141.14708968391946</v>
      </c>
      <c r="R23" s="62">
        <f t="shared" si="0"/>
        <v>357.66179257081518</v>
      </c>
      <c r="S23" s="62">
        <f ca="1">AVERAGE(OFFSET($R$3,0,0,'Données projet'!$E$9+1,1))-AVERAGE(OFFSET($H$3,0,0,'Données projet'!$E$9+1,1))</f>
        <v>401.34220206028908</v>
      </c>
      <c r="T23" s="62">
        <f t="shared" si="34"/>
        <v>265.33314259106987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115</v>
      </c>
      <c r="AG23" s="13">
        <f>VLOOKUP(A23,'Données projet'!$A$61:$I$81,9,0)</f>
        <v>5.75</v>
      </c>
      <c r="AH23" s="13">
        <f t="array" ref="AH23">INDEX(AG:AG,MIN(IF(ISNUMBER(AG23:AG219),ROW(AG23:AG219),"")))</f>
        <v>5.75</v>
      </c>
      <c r="AI23" s="14">
        <f>IF('Données projet'!$A$62&gt;35,AI22+AH23-AQ22,IF(A23&lt;'Données projet'!$A$62,$AF$205^A23,IF(A23='Données projet'!$A$62,'Données projet'!$B$62,AI22+AH23-AQ22)))</f>
        <v>115</v>
      </c>
      <c r="AJ23" s="14">
        <f>AI23*VLOOKUP('Données projet'!$B$10,Paramètres!$A$1:$I$89,3,0)*VLOOKUP('Données projet'!$B$10,Paramètres!$A$1:$I$89,5,0)</f>
        <v>53.82</v>
      </c>
      <c r="AK23" s="14">
        <f t="shared" si="35"/>
        <v>15.596024630246266</v>
      </c>
      <c r="AL23" s="22">
        <f t="shared" si="4"/>
        <v>120.89957623101225</v>
      </c>
      <c r="AM23" s="62">
        <f t="shared" si="5"/>
        <v>337.41427911790799</v>
      </c>
      <c r="AN23" s="62">
        <f ca="1">AVERAGE(OFFSET($AM$3,0,0,'Données projet'!$E$10+1,1))-AVERAGE(OFFSET($H$3,0,0,'Données projet'!$E$10+1,1))</f>
        <v>253.48761861464732</v>
      </c>
      <c r="AO23" s="62">
        <f t="shared" si="36"/>
        <v>219.50855998133855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23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0.30800000000000005</v>
      </c>
      <c r="AT23" s="17">
        <f>IF(ISNA(VLOOKUP(A23,'Données projet'!$A$61:$I$81,7,0)),0%,VLOOKUP(A23,'Données projet'!$A$61:$I$81,7,0))</f>
        <v>0.44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4.3806585543293775</v>
      </c>
      <c r="AW23" s="23">
        <f>EXP(-LN(2)/2)*AW22+(1-EXP(-LN(2)/2))/(LN(2)/2)*AQ23*AT23*VLOOKUP('Données projet'!$B$10,Paramètres!$A$1:$I$89,3,0)*0.475*44/12</f>
        <v>5.362433318252946</v>
      </c>
      <c r="AX23" s="23">
        <f t="shared" si="6"/>
        <v>9.7430918725823226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119</v>
      </c>
      <c r="BB23" s="13">
        <f>VLOOKUP(A23,'Données projet'!$A$87:$I$107,9,0)</f>
        <v>13.25</v>
      </c>
      <c r="BC23" s="13">
        <f t="array" ref="BC23">INDEX(BB:BB,MIN(IF(ISNUMBER(BB23:BB219),ROW(BB23:BB219),"")))</f>
        <v>13.25</v>
      </c>
      <c r="BD23" s="13">
        <f>IF('Données projet'!$A$88&gt;35,BD22+BC23-BL22,IF(A23&lt;'Données projet'!$A$88,$BA$205^A23,IF(A23='Données projet'!$A$88,'Données projet'!$B$88,BD22+BC23-BL22)))</f>
        <v>119</v>
      </c>
      <c r="BE23" s="14">
        <f>BD23*VLOOKUP('Données projet'!$B$11,Paramètres!$A$1:$I$89,3,0)*VLOOKUP('Données projet'!$B$11,Paramètres!$A$1:$I$89,5,0)</f>
        <v>137.08799999999999</v>
      </c>
      <c r="BF23" s="14">
        <f t="shared" si="37"/>
        <v>35.629093303595333</v>
      </c>
      <c r="BG23" s="22">
        <f t="shared" si="7"/>
        <v>300.81560417042851</v>
      </c>
      <c r="BH23" s="62">
        <f t="shared" si="8"/>
        <v>517.33030705732426</v>
      </c>
      <c r="BI23" s="62">
        <f ca="1">AVERAGE(OFFSET($BH$3,0,0,'Données projet'!$E$11+1,1))-AVERAGE(OFFSET($H$3,0,0,'Données projet'!$E$11+1,1))</f>
        <v>482.85256243111911</v>
      </c>
      <c r="BJ23" s="62">
        <f t="shared" si="38"/>
        <v>517.78430032567064</v>
      </c>
      <c r="BK23" s="16">
        <f>IF(ISNA(VLOOKUP(A23,'Données projet'!$A$87:$I$107,3,0)),0,VLOOKUP(A23,'Données projet'!$A$87:$I$107,3,0))</f>
        <v>2</v>
      </c>
      <c r="BL23" s="16">
        <f>IF(ISNA(VLOOKUP(A23,'Données projet'!$A$87:$I$107,4,0)),0,VLOOKUP(A23,'Données projet'!$A$87:$I$107,4,0))</f>
        <v>22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0.25200000000000006</v>
      </c>
      <c r="BO23" s="17">
        <f>IF(ISNA(VLOOKUP(A23,'Données projet'!$A$87:$I$107,7,0)),0%,VLOOKUP(A23,'Données projet'!$A$87:$I$107,7,0))</f>
        <v>0.44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7.3606234005412414</v>
      </c>
      <c r="BR23" s="23">
        <f>EXP(-LN(2)/2)*BR22+(1-EXP(-LN(2)/2))/(LN(2)/2)*BL23*BO23*VLOOKUP('Données projet'!$B$11,Paramètres!$A$1:$I$89,3,0)*0.475*44/12</f>
        <v>8.0047917649283118</v>
      </c>
      <c r="BS23" s="24">
        <f t="shared" si="9"/>
        <v>15.365415165469553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119</v>
      </c>
      <c r="BW23" s="13">
        <f>VLOOKUP(A23,'Données projet'!$A$113:$I$133,9,0)</f>
        <v>13.25</v>
      </c>
      <c r="BX23" s="13">
        <f t="array" ref="BX23">INDEX(BW:BW,MIN(IF(ISNUMBER(BW23:BW219),ROW(BW23:BW219),"")))</f>
        <v>13.25</v>
      </c>
      <c r="BY23" s="13">
        <f>IF('Données projet'!$A$114&gt;35,BY22+BX23-CG22,IF(A23&lt;'Données projet'!$A$114,$BV$205^A23,IF(A23='Données projet'!$A$114,'Données projet'!$B$114,BY22+BX23-CG22)))</f>
        <v>119</v>
      </c>
      <c r="BZ23" s="14">
        <f>BY23*VLOOKUP('Données projet'!$B$12,Paramètres!$A$1:$I$89,3,0)*VLOOKUP('Données projet'!$B$12,Paramètres!$A$1:$I$89,5,0)</f>
        <v>71.162000000000006</v>
      </c>
      <c r="CA23" s="14">
        <f t="shared" si="39"/>
        <v>19.961746043676346</v>
      </c>
      <c r="CB23" s="22">
        <f t="shared" si="10"/>
        <v>158.70719102606964</v>
      </c>
      <c r="CC23" s="62">
        <f t="shared" si="11"/>
        <v>375.22189391296536</v>
      </c>
      <c r="CD23" s="62">
        <f ca="1">AVERAGE(OFFSET($CC$3,0,0,'Données projet'!$E$12+1,1))-AVERAGE(OFFSET($H$3,0,0,'Données projet'!$E$12+1,1))</f>
        <v>275.76900776033335</v>
      </c>
      <c r="CE23" s="62">
        <f t="shared" si="40"/>
        <v>299.36898480605191</v>
      </c>
      <c r="CF23" s="16">
        <f>IF(ISNA(VLOOKUP(A23,'Données projet'!$A$113:$I$133,3,0)),0,VLOOKUP(A23,'Données projet'!$A$113:$I$133,3,0))</f>
        <v>2</v>
      </c>
      <c r="CG23" s="16">
        <f>IF(ISNA(VLOOKUP(A23,'Données projet'!$A$113:$I$133,4,0)),0,VLOOKUP(A23,'Données projet'!$A$113:$I$133,4,0))</f>
        <v>22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0.25200000000000006</v>
      </c>
      <c r="CJ23" s="17">
        <f>IF(ISNA(VLOOKUP(A23,'Données projet'!$A$113:$I$133,7,0)),0%,VLOOKUP(A23,'Données projet'!$A$113:$I$133,7,0))</f>
        <v>0.44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7.0539307588520241</v>
      </c>
      <c r="CM23" s="23">
        <f>EXP(-LN(2)/2)*CM22+(1-EXP(-LN(2)/2))/(LN(2)/2)*CG23*CJ23*VLOOKUP('Données projet'!$B$12,Paramètres!$A$1:$I$89,3,0)*0.475*44/12</f>
        <v>7.6712587747229657</v>
      </c>
      <c r="CN23" s="24">
        <f t="shared" si="12"/>
        <v>14.725189533574991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3.6111111111111112</v>
      </c>
      <c r="CT23" s="13">
        <f>IF('Données projet'!$A$140&gt;35,CT22+CS23-DB22,IF(A23&lt;'Données projet'!$A$140,$CQ$205^A23,IF(A23='Données projet'!$A$140,'Données projet'!$B$140,CT22+CS23-DB22)))</f>
        <v>72.222222222222257</v>
      </c>
      <c r="CU23" s="18">
        <f>CT23*VLOOKUP('Données projet'!$B$13,Paramètres!$A$1:$I$89,3,0)*VLOOKUP('Données projet'!$B$13,Paramètres!$A$1:$I$89,5,0)</f>
        <v>78.866666666666703</v>
      </c>
      <c r="CV23" s="14">
        <f t="shared" si="41"/>
        <v>21.859848549394933</v>
      </c>
      <c r="CW23" s="22">
        <f t="shared" si="13"/>
        <v>175.43201400130738</v>
      </c>
      <c r="CX23" s="62">
        <f t="shared" si="14"/>
        <v>391.94671688820313</v>
      </c>
      <c r="CY23" s="62">
        <f ca="1">AVERAGE(OFFSET($CX$3,0,0,'Données projet'!$E$13+1,1))-AVERAGE(OFFSET($H$3,0,0,'Données projet'!$E$13+1,1))</f>
        <v>482.24068797679558</v>
      </c>
      <c r="CZ23" s="62">
        <f t="shared" si="42"/>
        <v>316.28941055521693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7.9</v>
      </c>
      <c r="DO23" s="13">
        <f>IF('Données projet'!$A$166&gt;35,DO22+DN23-DW22,IF(A23&lt;'Données projet'!$A$166,$DL$205^A23,IF(A23='Données projet'!$A$166,'Données projet'!$B$166,DO22+DN23-DW22)))</f>
        <v>107.50000000000003</v>
      </c>
      <c r="DP23" s="18">
        <f>DO23*VLOOKUP('Données projet'!$B$14,Paramètres!$A$1:$I$89,3,0)*VLOOKUP('Données projet'!$B$14,Paramètres!$A$1:$I$89,5,0)</f>
        <v>87.204000000000036</v>
      </c>
      <c r="DQ23" s="14">
        <f t="shared" si="43"/>
        <v>23.889663550879717</v>
      </c>
      <c r="DR23" s="22">
        <f t="shared" si="16"/>
        <v>193.48813068444892</v>
      </c>
      <c r="DS23" s="62">
        <f t="shared" si="17"/>
        <v>410.00283357134464</v>
      </c>
      <c r="DT23" s="62">
        <f ca="1">AVERAGE(OFFSET($DS$3,0,0,'Données projet'!$E$14+1,1))-AVERAGE(OFFSET($H$3,0,0,'Données projet'!$E$14+1,1))</f>
        <v>325.58538970226539</v>
      </c>
      <c r="DU23" s="62">
        <f t="shared" si="44"/>
        <v>361.81085660423457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2.8888888888888888</v>
      </c>
      <c r="EJ23" s="13">
        <f>IF('Données projet'!$A$192&gt;35,EJ22+EI23-ER22,IF(A23&lt;'Données projet'!$A$192,$EG$205^A23,IF(A23='Données projet'!$A$192,'Données projet'!$B$192,EJ22+EI23-ER22)))</f>
        <v>57.77777777777775</v>
      </c>
      <c r="EK23" s="18">
        <f>EJ23*VLOOKUP('Données projet'!$B$15,Paramètres!$A$1:$I$89,3,0)*VLOOKUP('Données projet'!$B$15,Paramètres!$A$1:$I$89,5,0)</f>
        <v>55.882666666666637</v>
      </c>
      <c r="EL23" s="14">
        <f t="shared" si="45"/>
        <v>16.123010243680046</v>
      </c>
      <c r="EM23" s="22">
        <f t="shared" si="19"/>
        <v>125.40988728552047</v>
      </c>
      <c r="EN23" s="62">
        <f t="shared" si="20"/>
        <v>341.92459017241617</v>
      </c>
      <c r="EO23" s="62">
        <f ca="1">AVERAGE(OFFSET($EN$3,0,0,'Données projet'!$E$15+1,1))-AVERAGE(OFFSET($H$3,0,0,'Données projet'!$E$15+1,1))</f>
        <v>364.22267539944085</v>
      </c>
      <c r="EP23" s="62">
        <f t="shared" si="46"/>
        <v>241.947139538615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6.3</v>
      </c>
      <c r="FE23" s="13">
        <f>IF('Données projet'!$A$218&gt;35,FE22+FD23-FM22,IF(A23&lt;'Données projet'!$A$218,$FB$205^A23,IF(A23='Données projet'!$A$218,'Données projet'!$B$218,FE22+FD23-FM22)))</f>
        <v>85.499999999999986</v>
      </c>
      <c r="FF23" s="18">
        <f>FE23*VLOOKUP('Données projet'!$B$16,Paramètres!$A$1:$I$89,3,0)*VLOOKUP('Données projet'!$B$16,Paramètres!$A$1:$I$89,5,0)</f>
        <v>74.692799999999991</v>
      </c>
      <c r="FG23" s="14">
        <f t="shared" si="47"/>
        <v>20.834407756242822</v>
      </c>
      <c r="FH23" s="22">
        <f t="shared" si="22"/>
        <v>166.37655350878956</v>
      </c>
      <c r="FI23" s="62">
        <f t="shared" si="23"/>
        <v>382.89125639568528</v>
      </c>
      <c r="FJ23" s="62">
        <f ca="1">AVERAGE(OFFSET($FI$3,0,0,'Données projet'!$E$16+1,1))-AVERAGE(OFFSET($H$3,0,0,'Données projet'!$E$16+1,1))</f>
        <v>286.59837239471312</v>
      </c>
      <c r="FK23" s="62">
        <f t="shared" si="48"/>
        <v>319.26091328564689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7.9</v>
      </c>
      <c r="FZ23" s="13">
        <f>IF('Données projet'!$A$244&gt;35,FZ22+FY23-GH22,IF(A23&lt;'Données projet'!$A$244,$FW$205^A23,IF(A23='Données projet'!$A$244,'Données projet'!$B$244,FZ22+FY23-GH22)))</f>
        <v>107.50000000000003</v>
      </c>
      <c r="GA23" s="18">
        <f>FZ23*VLOOKUP('Données projet'!$B$17,Paramètres!$A$1:$I$89,3,0)*VLOOKUP('Données projet'!$B$17,Paramètres!$A$1:$I$89,5,0)</f>
        <v>72.111000000000018</v>
      </c>
      <c r="GB23" s="14">
        <f t="shared" si="49"/>
        <v>20.196783326513248</v>
      </c>
      <c r="GC23" s="22">
        <f t="shared" si="25"/>
        <v>160.76938929367725</v>
      </c>
      <c r="GD23" s="62">
        <f t="shared" si="26"/>
        <v>377.284092180573</v>
      </c>
      <c r="GE23" s="62">
        <f ca="1">AVERAGE(OFFSET($GD$3,0,0,'Données projet'!$E$17+1,1))-AVERAGE(OFFSET($H$3,0,0,'Données projet'!$E$17+1,1))</f>
        <v>277.37570531842186</v>
      </c>
      <c r="GF23" s="62">
        <f t="shared" si="50"/>
        <v>310.00874200911312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projet'!$B$17,Paramètres!$A$1:$I$89,3,0)*0.475*44/12</f>
        <v>0</v>
      </c>
      <c r="GM23" s="23">
        <f>EXP(-LN(2)/25)*GM22+(1-EXP(-LN(2)/25))/(LN(2)/25)*Calculateur!GH23*Calculateur!GJ23*VLOOKUP('Données projet'!$B$17,Paramètres!$A$1:$I$89,3,0)*0.475*44/12</f>
        <v>0</v>
      </c>
      <c r="GN23" s="23">
        <f>EXP(-LN(2)/2)*GN22+(1-EXP(-LN(2)/2))/(LN(2)/2)*GH23*GK23*VLOOKUP('Données projet'!$B$17,Paramètres!$A$1:$I$89,3,0)*0.475*44/12</f>
        <v>0</v>
      </c>
      <c r="GO23" s="23">
        <f t="shared" si="27"/>
        <v>0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3.6111111111111112</v>
      </c>
      <c r="N24" s="14">
        <f>IF('Données projet'!$A$36&gt;35,N23+M24-V23,IF(A24&lt;'Données projet'!$A$36,$K$205^A24,IF(A24='Données projet'!$A$36,'Données projet'!$B$36,N23+M24-V23)))</f>
        <v>75.833333333333371</v>
      </c>
      <c r="O24" s="14">
        <f>N24*VLOOKUP('Données projet'!$B$9,Paramètres!$A$1:$I$89,3,0)*VLOOKUP('Données projet'!$B$9,Paramètres!$A$1:$I$89,5,0)</f>
        <v>66.248000000000033</v>
      </c>
      <c r="P24" s="14">
        <f t="shared" si="33"/>
        <v>18.738737431772389</v>
      </c>
      <c r="Q24" s="22">
        <f t="shared" si="2"/>
        <v>148.01856769367029</v>
      </c>
      <c r="R24" s="62">
        <f t="shared" si="0"/>
        <v>366.8760960695447</v>
      </c>
      <c r="S24" s="62">
        <f ca="1">AVERAGE(OFFSET($R$3,0,0,'Données projet'!$E$9+1,1))-AVERAGE(OFFSET($H$3,0,0,'Données projet'!$E$9+1,1))</f>
        <v>401.34220206028908</v>
      </c>
      <c r="T24" s="62">
        <f t="shared" si="34"/>
        <v>265.33314259106987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6.5</v>
      </c>
      <c r="AI24" s="14">
        <f>IF('Données projet'!$A$62&gt;35,AI23+AH24-AQ23,IF(A24&lt;'Données projet'!$A$62,$AF$205^A24,IF(A24='Données projet'!$A$62,'Données projet'!$B$62,AI23+AH24-AQ23)))</f>
        <v>98.5</v>
      </c>
      <c r="AJ24" s="14">
        <f>AI24*VLOOKUP('Données projet'!$B$10,Paramètres!$A$1:$I$89,3,0)*VLOOKUP('Données projet'!$B$10,Paramètres!$A$1:$I$89,5,0)</f>
        <v>46.098000000000006</v>
      </c>
      <c r="AK24" s="14">
        <f t="shared" si="35"/>
        <v>13.601335517465165</v>
      </c>
      <c r="AL24" s="22">
        <f t="shared" si="4"/>
        <v>103.97634269291849</v>
      </c>
      <c r="AM24" s="62">
        <f t="shared" si="5"/>
        <v>322.83387106879286</v>
      </c>
      <c r="AN24" s="62">
        <f ca="1">AVERAGE(OFFSET($AM$3,0,0,'Données projet'!$E$10+1,1))-AVERAGE(OFFSET($H$3,0,0,'Données projet'!$E$10+1,1))</f>
        <v>253.48761861464732</v>
      </c>
      <c r="AO24" s="62">
        <f t="shared" si="36"/>
        <v>219.50855998133855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4.2608692157924191</v>
      </c>
      <c r="AW24" s="23">
        <f>EXP(-LN(2)/2)*AW23+(1-EXP(-LN(2)/2))/(LN(2)/2)*AQ24*AT24*VLOOKUP('Données projet'!$B$10,Paramètres!$A$1:$I$89,3,0)*0.475*44/12</f>
        <v>3.7918129629973381</v>
      </c>
      <c r="AX24" s="23">
        <f t="shared" si="6"/>
        <v>8.0526821787897571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15</v>
      </c>
      <c r="BD24" s="13">
        <f>IF('Données projet'!$A$88&gt;35,BD23+BC24-BL23,IF(A24&lt;'Données projet'!$A$88,$BA$205^A24,IF(A24='Données projet'!$A$88,'Données projet'!$B$88,BD23+BC24-BL23)))</f>
        <v>112</v>
      </c>
      <c r="BE24" s="14">
        <f>BD24*VLOOKUP('Données projet'!$B$11,Paramètres!$A$1:$I$89,3,0)*VLOOKUP('Données projet'!$B$11,Paramètres!$A$1:$I$89,5,0)</f>
        <v>129.024</v>
      </c>
      <c r="BF24" s="14">
        <f t="shared" si="37"/>
        <v>33.770735569397921</v>
      </c>
      <c r="BG24" s="22">
        <f t="shared" si="7"/>
        <v>283.53416445003467</v>
      </c>
      <c r="BH24" s="62">
        <f t="shared" si="8"/>
        <v>502.39169282590905</v>
      </c>
      <c r="BI24" s="62">
        <f ca="1">AVERAGE(OFFSET($BH$3,0,0,'Données projet'!$E$11+1,1))-AVERAGE(OFFSET($H$3,0,0,'Données projet'!$E$11+1,1))</f>
        <v>482.85256243111911</v>
      </c>
      <c r="BJ24" s="62">
        <f t="shared" si="38"/>
        <v>517.78430032567064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7.1593467665750792</v>
      </c>
      <c r="BR24" s="23">
        <f>EXP(-LN(2)/2)*BR23+(1-EXP(-LN(2)/2))/(LN(2)/2)*BL24*BO24*VLOOKUP('Données projet'!$B$11,Paramètres!$A$1:$I$89,3,0)*0.475*44/12</f>
        <v>5.6602425389670419</v>
      </c>
      <c r="BS24" s="24">
        <f t="shared" si="9"/>
        <v>12.81958930554212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15</v>
      </c>
      <c r="BY24" s="13">
        <f>IF('Données projet'!$A$114&gt;35,BY23+BX24-CG23,IF(A24&lt;'Données projet'!$A$114,$BV$205^A24,IF(A24='Données projet'!$A$114,'Données projet'!$B$114,BY23+BX24-CG23)))</f>
        <v>112</v>
      </c>
      <c r="BZ24" s="14">
        <f>BY24*VLOOKUP('Données projet'!$B$12,Paramètres!$A$1:$I$89,3,0)*VLOOKUP('Données projet'!$B$12,Paramètres!$A$1:$I$89,5,0)</f>
        <v>66.976000000000013</v>
      </c>
      <c r="CA24" s="14">
        <f t="shared" si="39"/>
        <v>18.920572617446965</v>
      </c>
      <c r="CB24" s="22">
        <f t="shared" si="10"/>
        <v>149.60319730872013</v>
      </c>
      <c r="CC24" s="62">
        <f t="shared" si="11"/>
        <v>368.46072568459454</v>
      </c>
      <c r="CD24" s="62">
        <f ca="1">AVERAGE(OFFSET($CC$3,0,0,'Données projet'!$E$12+1,1))-AVERAGE(OFFSET($H$3,0,0,'Données projet'!$E$12+1,1))</f>
        <v>275.76900776033335</v>
      </c>
      <c r="CE24" s="62">
        <f t="shared" si="40"/>
        <v>299.36898480605191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6.8610406513011188</v>
      </c>
      <c r="CM24" s="23">
        <f>EXP(-LN(2)/2)*CM23+(1-EXP(-LN(2)/2))/(LN(2)/2)*CG24*CJ24*VLOOKUP('Données projet'!$B$12,Paramètres!$A$1:$I$89,3,0)*0.475*44/12</f>
        <v>5.4243990998434155</v>
      </c>
      <c r="CN24" s="24">
        <f t="shared" si="12"/>
        <v>12.285439751144533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3.6111111111111112</v>
      </c>
      <c r="CT24" s="13">
        <f>IF('Données projet'!$A$140&gt;35,CT23+CS24-DB23,IF(A24&lt;'Données projet'!$A$140,$CQ$205^A24,IF(A24='Données projet'!$A$140,'Données projet'!$B$140,CT23+CS24-DB23)))</f>
        <v>75.833333333333371</v>
      </c>
      <c r="CU24" s="18">
        <f>CT24*VLOOKUP('Données projet'!$B$13,Paramètres!$A$1:$I$89,3,0)*VLOOKUP('Données projet'!$B$13,Paramètres!$A$1:$I$89,5,0)</f>
        <v>82.810000000000045</v>
      </c>
      <c r="CV24" s="14">
        <f t="shared" si="41"/>
        <v>22.822857223313513</v>
      </c>
      <c r="CW24" s="22">
        <f t="shared" si="13"/>
        <v>183.97722633060445</v>
      </c>
      <c r="CX24" s="62">
        <f t="shared" si="14"/>
        <v>402.83475470647886</v>
      </c>
      <c r="CY24" s="62">
        <f ca="1">AVERAGE(OFFSET($CX$3,0,0,'Données projet'!$E$13+1,1))-AVERAGE(OFFSET($H$3,0,0,'Données projet'!$E$13+1,1))</f>
        <v>482.24068797679558</v>
      </c>
      <c r="CZ24" s="62">
        <f t="shared" si="42"/>
        <v>316.28941055521693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7.9</v>
      </c>
      <c r="DO24" s="13">
        <f>IF('Données projet'!$A$166&gt;35,DO23+DN24-DW23,IF(A24&lt;'Données projet'!$A$166,$DL$205^A24,IF(A24='Données projet'!$A$166,'Données projet'!$B$166,DO23+DN24-DW23)))</f>
        <v>115.40000000000003</v>
      </c>
      <c r="DP24" s="18">
        <f>DO24*VLOOKUP('Données projet'!$B$14,Paramètres!$A$1:$I$89,3,0)*VLOOKUP('Données projet'!$B$14,Paramètres!$A$1:$I$89,5,0)</f>
        <v>93.612480000000033</v>
      </c>
      <c r="DQ24" s="14">
        <f t="shared" si="43"/>
        <v>25.434462667166667</v>
      </c>
      <c r="DR24" s="22">
        <f t="shared" si="16"/>
        <v>207.34009181198201</v>
      </c>
      <c r="DS24" s="62">
        <f t="shared" si="17"/>
        <v>426.19762018785639</v>
      </c>
      <c r="DT24" s="62">
        <f ca="1">AVERAGE(OFFSET($DS$3,0,0,'Données projet'!$E$14+1,1))-AVERAGE(OFFSET($H$3,0,0,'Données projet'!$E$14+1,1))</f>
        <v>325.58538970226539</v>
      </c>
      <c r="DU24" s="62">
        <f t="shared" si="44"/>
        <v>361.81085660423457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2.8888888888888888</v>
      </c>
      <c r="EJ24" s="13">
        <f>IF('Données projet'!$A$192&gt;35,EJ23+EI24-ER23,IF(A24&lt;'Données projet'!$A$192,$EG$205^A24,IF(A24='Données projet'!$A$192,'Données projet'!$B$192,EJ23+EI24-ER23)))</f>
        <v>60.666666666666636</v>
      </c>
      <c r="EK24" s="18">
        <f>EJ24*VLOOKUP('Données projet'!$B$15,Paramètres!$A$1:$I$89,3,0)*VLOOKUP('Données projet'!$B$15,Paramètres!$A$1:$I$89,5,0)</f>
        <v>58.676799999999972</v>
      </c>
      <c r="EL24" s="14">
        <f t="shared" si="45"/>
        <v>16.833289579754027</v>
      </c>
      <c r="EM24" s="22">
        <f t="shared" si="19"/>
        <v>131.51340601807155</v>
      </c>
      <c r="EN24" s="62">
        <f t="shared" si="20"/>
        <v>350.37093439394596</v>
      </c>
      <c r="EO24" s="62">
        <f ca="1">AVERAGE(OFFSET($EN$3,0,0,'Données projet'!$E$15+1,1))-AVERAGE(OFFSET($H$3,0,0,'Données projet'!$E$15+1,1))</f>
        <v>364.22267539944085</v>
      </c>
      <c r="EP24" s="62">
        <f t="shared" si="46"/>
        <v>241.947139538615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6.3</v>
      </c>
      <c r="FE24" s="13">
        <f>IF('Données projet'!$A$218&gt;35,FE23+FD24-FM23,IF(A24&lt;'Données projet'!$A$218,$FB$205^A24,IF(A24='Données projet'!$A$218,'Données projet'!$B$218,FE23+FD24-FM23)))</f>
        <v>91.799999999999983</v>
      </c>
      <c r="FF24" s="18">
        <f>FE24*VLOOKUP('Données projet'!$B$16,Paramètres!$A$1:$I$89,3,0)*VLOOKUP('Données projet'!$B$16,Paramètres!$A$1:$I$89,5,0)</f>
        <v>80.196479999999994</v>
      </c>
      <c r="FG24" s="14">
        <f t="shared" si="47"/>
        <v>22.185217649516314</v>
      </c>
      <c r="FH24" s="22">
        <f t="shared" si="22"/>
        <v>178.31479007290758</v>
      </c>
      <c r="FI24" s="62">
        <f t="shared" si="23"/>
        <v>397.17231844878199</v>
      </c>
      <c r="FJ24" s="62">
        <f ca="1">AVERAGE(OFFSET($FI$3,0,0,'Données projet'!$E$16+1,1))-AVERAGE(OFFSET($H$3,0,0,'Données projet'!$E$16+1,1))</f>
        <v>286.59837239471312</v>
      </c>
      <c r="FK24" s="62">
        <f t="shared" si="48"/>
        <v>319.26091328564689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7.9</v>
      </c>
      <c r="FZ24" s="13">
        <f>IF('Données projet'!$A$244&gt;35,FZ23+FY24-GH23,IF(A24&lt;'Données projet'!$A$244,$FW$205^A24,IF(A24='Données projet'!$A$244,'Données projet'!$B$244,FZ23+FY24-GH23)))</f>
        <v>115.40000000000003</v>
      </c>
      <c r="GA24" s="18">
        <f>FZ24*VLOOKUP('Données projet'!$B$17,Paramètres!$A$1:$I$89,3,0)*VLOOKUP('Données projet'!$B$17,Paramètres!$A$1:$I$89,5,0)</f>
        <v>77.410320000000027</v>
      </c>
      <c r="GB24" s="14">
        <f t="shared" si="49"/>
        <v>21.502786358669312</v>
      </c>
      <c r="GC24" s="22">
        <f t="shared" si="25"/>
        <v>172.27366024134906</v>
      </c>
      <c r="GD24" s="62">
        <f t="shared" si="26"/>
        <v>391.13118861722342</v>
      </c>
      <c r="GE24" s="62">
        <f ca="1">AVERAGE(OFFSET($GD$3,0,0,'Données projet'!$E$17+1,1))-AVERAGE(OFFSET($H$3,0,0,'Données projet'!$E$17+1,1))</f>
        <v>277.37570531842186</v>
      </c>
      <c r="GF24" s="62">
        <f t="shared" si="50"/>
        <v>310.00874200911312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projet'!$B$17,Paramètres!$A$1:$I$89,3,0)*0.475*44/12</f>
        <v>0</v>
      </c>
      <c r="GM24" s="23">
        <f>EXP(-LN(2)/25)*GM23+(1-EXP(-LN(2)/25))/(LN(2)/25)*Calculateur!GH24*Calculateur!GJ24*VLOOKUP('Données projet'!$B$17,Paramètres!$A$1:$I$89,3,0)*0.475*44/12</f>
        <v>0</v>
      </c>
      <c r="GN24" s="23">
        <f>EXP(-LN(2)/2)*GN23+(1-EXP(-LN(2)/2))/(LN(2)/2)*GH24*GK24*VLOOKUP('Données projet'!$B$17,Paramètres!$A$1:$I$89,3,0)*0.475*44/12</f>
        <v>0</v>
      </c>
      <c r="GO24" s="23">
        <f t="shared" si="27"/>
        <v>0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3.6111111111111112</v>
      </c>
      <c r="N25" s="14">
        <f>IF('Données projet'!$A$36&gt;35,N24+M25-V24,IF(A25&lt;'Données projet'!$A$36,$K$205^A25,IF(A25='Données projet'!$A$36,'Données projet'!$B$36,N24+M25-V24)))</f>
        <v>79.444444444444485</v>
      </c>
      <c r="O25" s="14">
        <f>N25*VLOOKUP('Données projet'!$B$9,Paramètres!$A$1:$I$89,3,0)*VLOOKUP('Données projet'!$B$9,Paramètres!$A$1:$I$89,5,0)</f>
        <v>69.402666666666704</v>
      </c>
      <c r="P25" s="14">
        <f t="shared" si="33"/>
        <v>19.525044745991785</v>
      </c>
      <c r="Q25" s="22">
        <f t="shared" si="2"/>
        <v>154.88243071038019</v>
      </c>
      <c r="R25" s="62">
        <f t="shared" si="0"/>
        <v>376.06334461384859</v>
      </c>
      <c r="S25" s="62">
        <f ca="1">AVERAGE(OFFSET($R$3,0,0,'Données projet'!$E$9+1,1))-AVERAGE(OFFSET($H$3,0,0,'Données projet'!$E$9+1,1))</f>
        <v>401.34220206028908</v>
      </c>
      <c r="T25" s="62">
        <f t="shared" si="34"/>
        <v>265.33314259106987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6.5</v>
      </c>
      <c r="AI25" s="14">
        <f>IF('Données projet'!$A$62&gt;35,AI24+AH25-AQ24,IF(A25&lt;'Données projet'!$A$62,$AF$205^A25,IF(A25='Données projet'!$A$62,'Données projet'!$B$62,AI24+AH25-AQ24)))</f>
        <v>105</v>
      </c>
      <c r="AJ25" s="14">
        <f>AI25*VLOOKUP('Données projet'!$B$10,Paramètres!$A$1:$I$89,3,0)*VLOOKUP('Données projet'!$B$10,Paramètres!$A$1:$I$89,5,0)</f>
        <v>49.14</v>
      </c>
      <c r="AK25" s="14">
        <f t="shared" si="35"/>
        <v>14.391437147300868</v>
      </c>
      <c r="AL25" s="22">
        <f t="shared" si="4"/>
        <v>110.65058636488233</v>
      </c>
      <c r="AM25" s="62">
        <f t="shared" si="5"/>
        <v>331.83150026835074</v>
      </c>
      <c r="AN25" s="62">
        <f ca="1">AVERAGE(OFFSET($AM$3,0,0,'Données projet'!$E$10+1,1))-AVERAGE(OFFSET($H$3,0,0,'Données projet'!$E$10+1,1))</f>
        <v>253.48761861464732</v>
      </c>
      <c r="AO25" s="62">
        <f t="shared" si="36"/>
        <v>219.50855998133855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4.144355523017202</v>
      </c>
      <c r="AW25" s="23">
        <f>EXP(-LN(2)/2)*AW24+(1-EXP(-LN(2)/2))/(LN(2)/2)*AQ25*AT25*VLOOKUP('Données projet'!$B$10,Paramètres!$A$1:$I$89,3,0)*0.475*44/12</f>
        <v>2.6812166591264734</v>
      </c>
      <c r="AX25" s="23">
        <f t="shared" si="6"/>
        <v>6.8255721821436754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15</v>
      </c>
      <c r="BD25" s="13">
        <f>IF('Données projet'!$A$88&gt;35,BD24+BC25-BL24,IF(A25&lt;'Données projet'!$A$88,$BA$205^A25,IF(A25='Données projet'!$A$88,'Données projet'!$B$88,BD24+BC25-BL24)))</f>
        <v>127</v>
      </c>
      <c r="BE25" s="14">
        <f>BD25*VLOOKUP('Données projet'!$B$11,Paramètres!$A$1:$I$89,3,0)*VLOOKUP('Données projet'!$B$11,Paramètres!$A$1:$I$89,5,0)</f>
        <v>146.304</v>
      </c>
      <c r="BF25" s="14">
        <f t="shared" si="37"/>
        <v>37.737440668654564</v>
      </c>
      <c r="BG25" s="22">
        <f t="shared" si="7"/>
        <v>320.53884249790667</v>
      </c>
      <c r="BH25" s="62">
        <f t="shared" si="8"/>
        <v>541.71975640137509</v>
      </c>
      <c r="BI25" s="62">
        <f ca="1">AVERAGE(OFFSET($BH$3,0,0,'Données projet'!$E$11+1,1))-AVERAGE(OFFSET($H$3,0,0,'Données projet'!$E$11+1,1))</f>
        <v>482.85256243111911</v>
      </c>
      <c r="BJ25" s="62">
        <f t="shared" si="38"/>
        <v>517.78430032567064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6.9635740527493999</v>
      </c>
      <c r="BR25" s="23">
        <f>EXP(-LN(2)/2)*BR24+(1-EXP(-LN(2)/2))/(LN(2)/2)*BL25*BO25*VLOOKUP('Données projet'!$B$11,Paramètres!$A$1:$I$89,3,0)*0.475*44/12</f>
        <v>4.0023958824641568</v>
      </c>
      <c r="BS25" s="24">
        <f t="shared" si="9"/>
        <v>10.965969935213558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15</v>
      </c>
      <c r="BY25" s="13">
        <f>IF('Données projet'!$A$114&gt;35,BY24+BX25-CG24,IF(A25&lt;'Données projet'!$A$114,$BV$205^A25,IF(A25='Données projet'!$A$114,'Données projet'!$B$114,BY24+BX25-CG24)))</f>
        <v>127</v>
      </c>
      <c r="BZ25" s="14">
        <f>BY25*VLOOKUP('Données projet'!$B$12,Paramètres!$A$1:$I$89,3,0)*VLOOKUP('Données projet'!$B$12,Paramètres!$A$1:$I$89,5,0)</f>
        <v>75.945999999999998</v>
      </c>
      <c r="CA25" s="14">
        <f t="shared" si="39"/>
        <v>21.142979995226831</v>
      </c>
      <c r="CB25" s="22">
        <f t="shared" si="10"/>
        <v>169.09664015835338</v>
      </c>
      <c r="CC25" s="62">
        <f t="shared" si="11"/>
        <v>390.27755406182177</v>
      </c>
      <c r="CD25" s="62">
        <f ca="1">AVERAGE(OFFSET($CC$3,0,0,'Données projet'!$E$12+1,1))-AVERAGE(OFFSET($H$3,0,0,'Données projet'!$E$12+1,1))</f>
        <v>275.76900776033335</v>
      </c>
      <c r="CE25" s="62">
        <f t="shared" si="40"/>
        <v>299.36898480605191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6.6734251338848427</v>
      </c>
      <c r="CM25" s="23">
        <f>EXP(-LN(2)/2)*CM24+(1-EXP(-LN(2)/2))/(LN(2)/2)*CG25*CJ25*VLOOKUP('Données projet'!$B$12,Paramètres!$A$1:$I$89,3,0)*0.475*44/12</f>
        <v>3.8356293873614837</v>
      </c>
      <c r="CN25" s="24">
        <f t="shared" si="12"/>
        <v>10.509054521246327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3.6111111111111112</v>
      </c>
      <c r="CT25" s="13">
        <f>IF('Données projet'!$A$140&gt;35,CT24+CS25-DB24,IF(A25&lt;'Données projet'!$A$140,$CQ$205^A25,IF(A25='Données projet'!$A$140,'Données projet'!$B$140,CT24+CS25-DB24)))</f>
        <v>79.444444444444485</v>
      </c>
      <c r="CU25" s="18">
        <f>CT25*VLOOKUP('Données projet'!$B$13,Paramètres!$A$1:$I$89,3,0)*VLOOKUP('Données projet'!$B$13,Paramètres!$A$1:$I$89,5,0)</f>
        <v>86.753333333333373</v>
      </c>
      <c r="CV25" s="14">
        <f t="shared" si="41"/>
        <v>23.780540718875415</v>
      </c>
      <c r="CW25" s="22">
        <f t="shared" si="13"/>
        <v>192.51316397426362</v>
      </c>
      <c r="CX25" s="62">
        <f t="shared" si="14"/>
        <v>413.69407787773201</v>
      </c>
      <c r="CY25" s="62">
        <f ca="1">AVERAGE(OFFSET($CX$3,0,0,'Données projet'!$E$13+1,1))-AVERAGE(OFFSET($H$3,0,0,'Données projet'!$E$13+1,1))</f>
        <v>482.24068797679558</v>
      </c>
      <c r="CZ25" s="62">
        <f t="shared" si="42"/>
        <v>316.28941055521693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7.9</v>
      </c>
      <c r="DO25" s="13">
        <f>IF('Données projet'!$A$166&gt;35,DO24+DN25-DW24,IF(A25&lt;'Données projet'!$A$166,$DL$205^A25,IF(A25='Données projet'!$A$166,'Données projet'!$B$166,DO24+DN25-DW24)))</f>
        <v>123.30000000000004</v>
      </c>
      <c r="DP25" s="18">
        <f>DO25*VLOOKUP('Données projet'!$B$14,Paramètres!$A$1:$I$89,3,0)*VLOOKUP('Données projet'!$B$14,Paramètres!$A$1:$I$89,5,0)</f>
        <v>100.02096000000004</v>
      </c>
      <c r="DQ25" s="14">
        <f t="shared" si="43"/>
        <v>26.966990918410957</v>
      </c>
      <c r="DR25" s="22">
        <f t="shared" si="16"/>
        <v>221.17068118289913</v>
      </c>
      <c r="DS25" s="62">
        <f t="shared" si="17"/>
        <v>442.35159508636752</v>
      </c>
      <c r="DT25" s="62">
        <f ca="1">AVERAGE(OFFSET($DS$3,0,0,'Données projet'!$E$14+1,1))-AVERAGE(OFFSET($H$3,0,0,'Données projet'!$E$14+1,1))</f>
        <v>325.58538970226539</v>
      </c>
      <c r="DU25" s="62">
        <f t="shared" si="44"/>
        <v>361.81085660423457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2.8888888888888888</v>
      </c>
      <c r="EJ25" s="13">
        <f>IF('Données projet'!$A$192&gt;35,EJ24+EI25-ER24,IF(A25&lt;'Données projet'!$A$192,$EG$205^A25,IF(A25='Données projet'!$A$192,'Données projet'!$B$192,EJ24+EI25-ER24)))</f>
        <v>63.555555555555522</v>
      </c>
      <c r="EK25" s="18">
        <f>EJ25*VLOOKUP('Données projet'!$B$15,Paramètres!$A$1:$I$89,3,0)*VLOOKUP('Données projet'!$B$15,Paramètres!$A$1:$I$89,5,0)</f>
        <v>61.470933333333299</v>
      </c>
      <c r="EL25" s="14">
        <f t="shared" si="45"/>
        <v>17.539641262578254</v>
      </c>
      <c r="EM25" s="22">
        <f t="shared" si="19"/>
        <v>137.61008408787927</v>
      </c>
      <c r="EN25" s="62">
        <f t="shared" si="20"/>
        <v>358.79099799134769</v>
      </c>
      <c r="EO25" s="62">
        <f ca="1">AVERAGE(OFFSET($EN$3,0,0,'Données projet'!$E$15+1,1))-AVERAGE(OFFSET($H$3,0,0,'Données projet'!$E$15+1,1))</f>
        <v>364.22267539944085</v>
      </c>
      <c r="EP25" s="62">
        <f t="shared" si="46"/>
        <v>241.947139538615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6.3</v>
      </c>
      <c r="FE25" s="13">
        <f>IF('Données projet'!$A$218&gt;35,FE24+FD25-FM24,IF(A25&lt;'Données projet'!$A$218,$FB$205^A25,IF(A25='Données projet'!$A$218,'Données projet'!$B$218,FE24+FD25-FM24)))</f>
        <v>98.09999999999998</v>
      </c>
      <c r="FF25" s="18">
        <f>FE25*VLOOKUP('Données projet'!$B$16,Paramètres!$A$1:$I$89,3,0)*VLOOKUP('Données projet'!$B$16,Paramètres!$A$1:$I$89,5,0)</f>
        <v>85.700159999999997</v>
      </c>
      <c r="FG25" s="14">
        <f t="shared" si="47"/>
        <v>23.525271030547582</v>
      </c>
      <c r="FH25" s="22">
        <f t="shared" si="22"/>
        <v>190.23429237820369</v>
      </c>
      <c r="FI25" s="62">
        <f t="shared" si="23"/>
        <v>411.41520628167211</v>
      </c>
      <c r="FJ25" s="62">
        <f ca="1">AVERAGE(OFFSET($FI$3,0,0,'Données projet'!$E$16+1,1))-AVERAGE(OFFSET($H$3,0,0,'Données projet'!$E$16+1,1))</f>
        <v>286.59837239471312</v>
      </c>
      <c r="FK25" s="62">
        <f t="shared" si="48"/>
        <v>319.26091328564689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7.9</v>
      </c>
      <c r="FZ25" s="13">
        <f>IF('Données projet'!$A$244&gt;35,FZ24+FY25-GH24,IF(A25&lt;'Données projet'!$A$244,$FW$205^A25,IF(A25='Données projet'!$A$244,'Données projet'!$B$244,FZ24+FY25-GH24)))</f>
        <v>123.30000000000004</v>
      </c>
      <c r="GA25" s="18">
        <f>FZ25*VLOOKUP('Données projet'!$B$17,Paramètres!$A$1:$I$89,3,0)*VLOOKUP('Données projet'!$B$17,Paramètres!$A$1:$I$89,5,0)</f>
        <v>82.709640000000036</v>
      </c>
      <c r="GB25" s="14">
        <f t="shared" si="49"/>
        <v>22.798415364336112</v>
      </c>
      <c r="GC25" s="22">
        <f t="shared" si="25"/>
        <v>183.75986309288544</v>
      </c>
      <c r="GD25" s="62">
        <f t="shared" si="26"/>
        <v>404.94077699635386</v>
      </c>
      <c r="GE25" s="62">
        <f ca="1">AVERAGE(OFFSET($GD$3,0,0,'Données projet'!$E$17+1,1))-AVERAGE(OFFSET($H$3,0,0,'Données projet'!$E$17+1,1))</f>
        <v>277.37570531842186</v>
      </c>
      <c r="GF25" s="62">
        <f t="shared" si="50"/>
        <v>310.00874200911312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projet'!$B$17,Paramètres!$A$1:$I$89,3,0)*0.475*44/12</f>
        <v>0</v>
      </c>
      <c r="GM25" s="23">
        <f>EXP(-LN(2)/25)*GM24+(1-EXP(-LN(2)/25))/(LN(2)/25)*Calculateur!GH25*Calculateur!GJ25*VLOOKUP('Données projet'!$B$17,Paramètres!$A$1:$I$89,3,0)*0.475*44/12</f>
        <v>0</v>
      </c>
      <c r="GN25" s="23">
        <f>EXP(-LN(2)/2)*GN24+(1-EXP(-LN(2)/2))/(LN(2)/2)*GH25*GK25*VLOOKUP('Données projet'!$B$17,Paramètres!$A$1:$I$89,3,0)*0.475*44/12</f>
        <v>0</v>
      </c>
      <c r="GO25" s="23">
        <f t="shared" si="27"/>
        <v>0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3.6111111111111112</v>
      </c>
      <c r="N26" s="14">
        <f>IF('Données projet'!$A$36&gt;35,N25+M26-V25,IF(A26&lt;'Données projet'!$A$36,$K$205^A26,IF(A26='Données projet'!$A$36,'Données projet'!$B$36,N25+M26-V25)))</f>
        <v>83.0555555555556</v>
      </c>
      <c r="O26" s="14">
        <f>N26*VLOOKUP('Données projet'!$B$9,Paramètres!$A$1:$I$89,3,0)*VLOOKUP('Données projet'!$B$9,Paramètres!$A$1:$I$89,5,0)</f>
        <v>72.557333333333389</v>
      </c>
      <c r="P26" s="14">
        <f t="shared" si="33"/>
        <v>20.307201256856512</v>
      </c>
      <c r="Q26" s="22">
        <f t="shared" si="2"/>
        <v>161.73906441124743</v>
      </c>
      <c r="R26" s="62">
        <f t="shared" si="0"/>
        <v>385.22426112079393</v>
      </c>
      <c r="S26" s="62">
        <f ca="1">AVERAGE(OFFSET($R$3,0,0,'Données projet'!$E$9+1,1))-AVERAGE(OFFSET($H$3,0,0,'Données projet'!$E$9+1,1))</f>
        <v>401.34220206028908</v>
      </c>
      <c r="T26" s="62">
        <f t="shared" si="34"/>
        <v>265.33314259106987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6.5</v>
      </c>
      <c r="AI26" s="14">
        <f>IF('Données projet'!$A$62&gt;35,AI25+AH26-AQ25,IF(A26&lt;'Données projet'!$A$62,$AF$205^A26,IF(A26='Données projet'!$A$62,'Données projet'!$B$62,AI25+AH26-AQ25)))</f>
        <v>111.5</v>
      </c>
      <c r="AJ26" s="14">
        <f>AI26*VLOOKUP('Données projet'!$B$10,Paramètres!$A$1:$I$89,3,0)*VLOOKUP('Données projet'!$B$10,Paramètres!$A$1:$I$89,5,0)</f>
        <v>52.182000000000002</v>
      </c>
      <c r="AK26" s="14">
        <f t="shared" si="35"/>
        <v>15.175862166895936</v>
      </c>
      <c r="AL26" s="22">
        <f t="shared" si="4"/>
        <v>117.31494327401042</v>
      </c>
      <c r="AM26" s="62">
        <f t="shared" si="5"/>
        <v>340.8001399835569</v>
      </c>
      <c r="AN26" s="62">
        <f ca="1">AVERAGE(OFFSET($AM$3,0,0,'Données projet'!$E$10+1,1))-AVERAGE(OFFSET($H$3,0,0,'Données projet'!$E$10+1,1))</f>
        <v>253.48761861464732</v>
      </c>
      <c r="AO26" s="62">
        <f t="shared" si="36"/>
        <v>219.50855998133855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4.0310279032981118</v>
      </c>
      <c r="AW26" s="23">
        <f>EXP(-LN(2)/2)*AW25+(1-EXP(-LN(2)/2))/(LN(2)/2)*AQ26*AT26*VLOOKUP('Données projet'!$B$10,Paramètres!$A$1:$I$89,3,0)*0.475*44/12</f>
        <v>1.8959064814986695</v>
      </c>
      <c r="AX26" s="23">
        <f t="shared" si="6"/>
        <v>5.9269343847967813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15</v>
      </c>
      <c r="BD26" s="13">
        <f>IF('Données projet'!$A$88&gt;35,BD25+BC26-BL25,IF(A26&lt;'Données projet'!$A$88,$BA$205^A26,IF(A26='Données projet'!$A$88,'Données projet'!$B$88,BD25+BC26-BL25)))</f>
        <v>142</v>
      </c>
      <c r="BE26" s="14">
        <f>BD26*VLOOKUP('Données projet'!$B$11,Paramètres!$A$1:$I$89,3,0)*VLOOKUP('Données projet'!$B$11,Paramètres!$A$1:$I$89,5,0)</f>
        <v>163.58399999999997</v>
      </c>
      <c r="BF26" s="14">
        <f t="shared" si="37"/>
        <v>41.649851422580824</v>
      </c>
      <c r="BG26" s="22">
        <f t="shared" si="7"/>
        <v>357.4489578943282</v>
      </c>
      <c r="BH26" s="62">
        <f t="shared" si="8"/>
        <v>580.93415460387473</v>
      </c>
      <c r="BI26" s="62">
        <f ca="1">AVERAGE(OFFSET($BH$3,0,0,'Données projet'!$E$11+1,1))-AVERAGE(OFFSET($H$3,0,0,'Données projet'!$E$11+1,1))</f>
        <v>482.85256243111911</v>
      </c>
      <c r="BJ26" s="62">
        <f t="shared" si="38"/>
        <v>517.78430032567064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6.773154754078524</v>
      </c>
      <c r="BR26" s="23">
        <f>EXP(-LN(2)/2)*BR25+(1-EXP(-LN(2)/2))/(LN(2)/2)*BL26*BO26*VLOOKUP('Données projet'!$B$11,Paramètres!$A$1:$I$89,3,0)*0.475*44/12</f>
        <v>2.8301212694835214</v>
      </c>
      <c r="BS26" s="24">
        <f t="shared" si="9"/>
        <v>9.6032760235620458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15</v>
      </c>
      <c r="BY26" s="13">
        <f>IF('Données projet'!$A$114&gt;35,BY25+BX26-CG25,IF(A26&lt;'Données projet'!$A$114,$BV$205^A26,IF(A26='Données projet'!$A$114,'Données projet'!$B$114,BY25+BX26-CG25)))</f>
        <v>142</v>
      </c>
      <c r="BZ26" s="14">
        <f>BY26*VLOOKUP('Données projet'!$B$12,Paramètres!$A$1:$I$89,3,0)*VLOOKUP('Données projet'!$B$12,Paramètres!$A$1:$I$89,5,0)</f>
        <v>84.916000000000011</v>
      </c>
      <c r="CA26" s="14">
        <f t="shared" si="39"/>
        <v>23.33496813320572</v>
      </c>
      <c r="CB26" s="22">
        <f t="shared" si="10"/>
        <v>188.53710283199996</v>
      </c>
      <c r="CC26" s="62">
        <f t="shared" si="11"/>
        <v>412.02229954154643</v>
      </c>
      <c r="CD26" s="62">
        <f ca="1">AVERAGE(OFFSET($CC$3,0,0,'Données projet'!$E$12+1,1))-AVERAGE(OFFSET($H$3,0,0,'Données projet'!$E$12+1,1))</f>
        <v>275.76900776033335</v>
      </c>
      <c r="CE26" s="62">
        <f t="shared" si="40"/>
        <v>299.36898480605191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6.4909399726585866</v>
      </c>
      <c r="CM26" s="23">
        <f>EXP(-LN(2)/2)*CM25+(1-EXP(-LN(2)/2))/(LN(2)/2)*CG26*CJ26*VLOOKUP('Données projet'!$B$12,Paramètres!$A$1:$I$89,3,0)*0.475*44/12</f>
        <v>2.7121995499217082</v>
      </c>
      <c r="CN26" s="24">
        <f t="shared" si="12"/>
        <v>9.2031395225802939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3.6111111111111112</v>
      </c>
      <c r="CT26" s="13">
        <f>IF('Données projet'!$A$140&gt;35,CT25+CS26-DB25,IF(A26&lt;'Données projet'!$A$140,$CQ$205^A26,IF(A26='Données projet'!$A$140,'Données projet'!$B$140,CT25+CS26-DB25)))</f>
        <v>83.0555555555556</v>
      </c>
      <c r="CU26" s="18">
        <f>CT26*VLOOKUP('Données projet'!$B$13,Paramètres!$A$1:$I$89,3,0)*VLOOKUP('Données projet'!$B$13,Paramètres!$A$1:$I$89,5,0)</f>
        <v>90.696666666666715</v>
      </c>
      <c r="CV26" s="14">
        <f t="shared" si="41"/>
        <v>24.733168740840409</v>
      </c>
      <c r="CW26" s="22">
        <f t="shared" si="13"/>
        <v>201.04029666807492</v>
      </c>
      <c r="CX26" s="62">
        <f t="shared" si="14"/>
        <v>424.52549337762139</v>
      </c>
      <c r="CY26" s="62">
        <f ca="1">AVERAGE(OFFSET($CX$3,0,0,'Données projet'!$E$13+1,1))-AVERAGE(OFFSET($H$3,0,0,'Données projet'!$E$13+1,1))</f>
        <v>482.24068797679558</v>
      </c>
      <c r="CZ26" s="62">
        <f t="shared" si="42"/>
        <v>316.28941055521693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7.9</v>
      </c>
      <c r="DO26" s="13">
        <f>IF('Données projet'!$A$166&gt;35,DO25+DN26-DW25,IF(A26&lt;'Données projet'!$A$166,$DL$205^A26,IF(A26='Données projet'!$A$166,'Données projet'!$B$166,DO25+DN26-DW25)))</f>
        <v>131.20000000000005</v>
      </c>
      <c r="DP26" s="18">
        <f>DO26*VLOOKUP('Données projet'!$B$14,Paramètres!$A$1:$I$89,3,0)*VLOOKUP('Données projet'!$B$14,Paramètres!$A$1:$I$89,5,0)</f>
        <v>106.42944000000006</v>
      </c>
      <c r="DQ26" s="14">
        <f t="shared" si="43"/>
        <v>28.488124002119374</v>
      </c>
      <c r="DR26" s="22">
        <f t="shared" si="16"/>
        <v>234.98142397035801</v>
      </c>
      <c r="DS26" s="62">
        <f t="shared" si="17"/>
        <v>458.46662067990451</v>
      </c>
      <c r="DT26" s="62">
        <f ca="1">AVERAGE(OFFSET($DS$3,0,0,'Données projet'!$E$14+1,1))-AVERAGE(OFFSET($H$3,0,0,'Données projet'!$E$14+1,1))</f>
        <v>325.58538970226539</v>
      </c>
      <c r="DU26" s="62">
        <f t="shared" si="44"/>
        <v>361.81085660423457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2.8888888888888888</v>
      </c>
      <c r="EJ26" s="13">
        <f>IF('Données projet'!$A$192&gt;35,EJ25+EI26-ER25,IF(A26&lt;'Données projet'!$A$192,$EG$205^A26,IF(A26='Données projet'!$A$192,'Données projet'!$B$192,EJ25+EI26-ER25)))</f>
        <v>66.444444444444414</v>
      </c>
      <c r="EK26" s="18">
        <f>EJ26*VLOOKUP('Données projet'!$B$15,Paramètres!$A$1:$I$89,3,0)*VLOOKUP('Données projet'!$B$15,Paramètres!$A$1:$I$89,5,0)</f>
        <v>64.265066666666641</v>
      </c>
      <c r="EL26" s="14">
        <f t="shared" si="45"/>
        <v>18.242264216339905</v>
      </c>
      <c r="EM26" s="22">
        <f t="shared" si="19"/>
        <v>143.70026795456974</v>
      </c>
      <c r="EN26" s="62">
        <f t="shared" si="20"/>
        <v>367.18546466411624</v>
      </c>
      <c r="EO26" s="62">
        <f ca="1">AVERAGE(OFFSET($EN$3,0,0,'Données projet'!$E$15+1,1))-AVERAGE(OFFSET($H$3,0,0,'Données projet'!$E$15+1,1))</f>
        <v>364.22267539944085</v>
      </c>
      <c r="EP26" s="62">
        <f t="shared" si="46"/>
        <v>241.947139538615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6.3</v>
      </c>
      <c r="FE26" s="13">
        <f>IF('Données projet'!$A$218&gt;35,FE25+FD26-FM25,IF(A26&lt;'Données projet'!$A$218,$FB$205^A26,IF(A26='Données projet'!$A$218,'Données projet'!$B$218,FE25+FD26-FM25)))</f>
        <v>104.39999999999998</v>
      </c>
      <c r="FF26" s="18">
        <f>FE26*VLOOKUP('Données projet'!$B$16,Paramètres!$A$1:$I$89,3,0)*VLOOKUP('Données projet'!$B$16,Paramètres!$A$1:$I$89,5,0)</f>
        <v>91.203839999999985</v>
      </c>
      <c r="FG26" s="14">
        <f t="shared" si="47"/>
        <v>24.855337308022524</v>
      </c>
      <c r="FH26" s="22">
        <f t="shared" si="22"/>
        <v>202.13640047813919</v>
      </c>
      <c r="FI26" s="62">
        <f t="shared" si="23"/>
        <v>425.62159718768567</v>
      </c>
      <c r="FJ26" s="62">
        <f ca="1">AVERAGE(OFFSET($FI$3,0,0,'Données projet'!$E$16+1,1))-AVERAGE(OFFSET($H$3,0,0,'Données projet'!$E$16+1,1))</f>
        <v>286.59837239471312</v>
      </c>
      <c r="FK26" s="62">
        <f t="shared" si="48"/>
        <v>319.26091328564689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7.9</v>
      </c>
      <c r="FZ26" s="13">
        <f>IF('Données projet'!$A$244&gt;35,FZ25+FY26-GH25,IF(A26&lt;'Données projet'!$A$244,$FW$205^A26,IF(A26='Données projet'!$A$244,'Données projet'!$B$244,FZ25+FY26-GH25)))</f>
        <v>131.20000000000005</v>
      </c>
      <c r="GA26" s="18">
        <f>FZ26*VLOOKUP('Données projet'!$B$17,Paramètres!$A$1:$I$89,3,0)*VLOOKUP('Données projet'!$B$17,Paramètres!$A$1:$I$89,5,0)</f>
        <v>88.00896000000003</v>
      </c>
      <c r="GB26" s="14">
        <f t="shared" si="49"/>
        <v>24.084410675112203</v>
      </c>
      <c r="GC26" s="22">
        <f t="shared" si="25"/>
        <v>195.22928725915381</v>
      </c>
      <c r="GD26" s="62">
        <f t="shared" si="26"/>
        <v>418.71448396870028</v>
      </c>
      <c r="GE26" s="62">
        <f ca="1">AVERAGE(OFFSET($GD$3,0,0,'Données projet'!$E$17+1,1))-AVERAGE(OFFSET($H$3,0,0,'Données projet'!$E$17+1,1))</f>
        <v>277.37570531842186</v>
      </c>
      <c r="GF26" s="62">
        <f t="shared" si="50"/>
        <v>310.00874200911312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projet'!$B$17,Paramètres!$A$1:$I$89,3,0)*0.475*44/12</f>
        <v>0</v>
      </c>
      <c r="GM26" s="23">
        <f>EXP(-LN(2)/25)*GM25+(1-EXP(-LN(2)/25))/(LN(2)/25)*Calculateur!GH26*Calculateur!GJ26*VLOOKUP('Données projet'!$B$17,Paramètres!$A$1:$I$89,3,0)*0.475*44/12</f>
        <v>0</v>
      </c>
      <c r="GN26" s="23">
        <f>EXP(-LN(2)/2)*GN25+(1-EXP(-LN(2)/2))/(LN(2)/2)*GH26*GK26*VLOOKUP('Données projet'!$B$17,Paramètres!$A$1:$I$89,3,0)*0.475*44/12</f>
        <v>0</v>
      </c>
      <c r="GO26" s="23">
        <f t="shared" si="27"/>
        <v>0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3.6111111111111112</v>
      </c>
      <c r="N27" s="14">
        <f>IF('Données projet'!$A$36&gt;35,N26+M27-V26,IF(A27&lt;'Données projet'!$A$36,$K$205^A27,IF(A27='Données projet'!$A$36,'Données projet'!$B$36,N26+M27-V26)))</f>
        <v>86.666666666666714</v>
      </c>
      <c r="O27" s="14">
        <f>N27*VLOOKUP('Données projet'!$B$9,Paramètres!$A$1:$I$89,3,0)*VLOOKUP('Données projet'!$B$9,Paramètres!$A$1:$I$89,5,0)</f>
        <v>75.71200000000006</v>
      </c>
      <c r="P27" s="14">
        <f t="shared" si="33"/>
        <v>21.085408061126422</v>
      </c>
      <c r="Q27" s="22">
        <f t="shared" si="2"/>
        <v>168.58881903979528</v>
      </c>
      <c r="R27" s="62">
        <f t="shared" si="0"/>
        <v>394.35952722341506</v>
      </c>
      <c r="S27" s="62">
        <f ca="1">AVERAGE(OFFSET($R$3,0,0,'Données projet'!$E$9+1,1))-AVERAGE(OFFSET($H$3,0,0,'Données projet'!$E$9+1,1))</f>
        <v>401.34220206028908</v>
      </c>
      <c r="T27" s="62">
        <f t="shared" si="34"/>
        <v>265.33314259106987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6.5</v>
      </c>
      <c r="AI27" s="14">
        <f>IF('Données projet'!$A$62&gt;35,AI26+AH27-AQ26,IF(A27&lt;'Données projet'!$A$62,$AF$205^A27,IF(A27='Données projet'!$A$62,'Données projet'!$B$62,AI26+AH27-AQ26)))</f>
        <v>118</v>
      </c>
      <c r="AJ27" s="14">
        <f>AI27*VLOOKUP('Données projet'!$B$10,Paramètres!$A$1:$I$89,3,0)*VLOOKUP('Données projet'!$B$10,Paramètres!$A$1:$I$89,5,0)</f>
        <v>55.223999999999997</v>
      </c>
      <c r="AK27" s="14">
        <f t="shared" si="35"/>
        <v>15.954979198073962</v>
      </c>
      <c r="AL27" s="22">
        <f t="shared" si="4"/>
        <v>123.97005543664547</v>
      </c>
      <c r="AM27" s="62">
        <f t="shared" si="5"/>
        <v>349.74076362026528</v>
      </c>
      <c r="AN27" s="62">
        <f ca="1">AVERAGE(OFFSET($AM$3,0,0,'Données projet'!$E$10+1,1))-AVERAGE(OFFSET($H$3,0,0,'Données projet'!$E$10+1,1))</f>
        <v>253.48761861464732</v>
      </c>
      <c r="AO27" s="62">
        <f t="shared" si="36"/>
        <v>219.50855998133855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3.9207992332998804</v>
      </c>
      <c r="AW27" s="23">
        <f>EXP(-LN(2)/2)*AW26+(1-EXP(-LN(2)/2))/(LN(2)/2)*AQ27*AT27*VLOOKUP('Données projet'!$B$10,Paramètres!$A$1:$I$89,3,0)*0.475*44/12</f>
        <v>1.3406083295632369</v>
      </c>
      <c r="AX27" s="23">
        <f t="shared" si="6"/>
        <v>5.2614075628631172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>
        <f>VLOOKUP(A27,'Données projet'!$A$87:$I$107,2,0)</f>
        <v>157</v>
      </c>
      <c r="BB27" s="13">
        <f>VLOOKUP(A27,'Données projet'!$A$87:$I$107,9,0)</f>
        <v>15</v>
      </c>
      <c r="BC27" s="13">
        <f t="array" ref="BC27">INDEX(BB:BB,MIN(IF(ISNUMBER(BB27:BB223),ROW(BB27:BB223),"")))</f>
        <v>15</v>
      </c>
      <c r="BD27" s="13">
        <f>IF('Données projet'!$A$88&gt;35,BD26+BC27-BL26,IF(A27&lt;'Données projet'!$A$88,$BA$205^A27,IF(A27='Données projet'!$A$88,'Données projet'!$B$88,BD26+BC27-BL26)))</f>
        <v>157</v>
      </c>
      <c r="BE27" s="14">
        <f>BD27*VLOOKUP('Données projet'!$B$11,Paramètres!$A$1:$I$89,3,0)*VLOOKUP('Données projet'!$B$11,Paramètres!$A$1:$I$89,5,0)</f>
        <v>180.864</v>
      </c>
      <c r="BF27" s="14">
        <f t="shared" si="37"/>
        <v>45.51435664426679</v>
      </c>
      <c r="BG27" s="22">
        <f t="shared" si="7"/>
        <v>394.27563782209796</v>
      </c>
      <c r="BH27" s="62">
        <f t="shared" si="8"/>
        <v>620.04634600571774</v>
      </c>
      <c r="BI27" s="62">
        <f ca="1">AVERAGE(OFFSET($BH$3,0,0,'Données projet'!$E$11+1,1))-AVERAGE(OFFSET($H$3,0,0,'Données projet'!$E$11+1,1))</f>
        <v>482.85256243111911</v>
      </c>
      <c r="BJ27" s="62">
        <f t="shared" si="38"/>
        <v>517.78430032567064</v>
      </c>
      <c r="BK27" s="16">
        <f>IF(ISNA(VLOOKUP(A27,'Données projet'!$A$87:$I$107,3,0)),0,VLOOKUP(A27,'Données projet'!$A$87:$I$107,3,0))</f>
        <v>3</v>
      </c>
      <c r="BL27" s="16">
        <f>IF(ISNA(VLOOKUP(A27,'Données projet'!$A$87:$I$107,4,0)),0,VLOOKUP(A27,'Données projet'!$A$87:$I$107,4,0))</f>
        <v>31</v>
      </c>
      <c r="BM27" s="17">
        <f>IF(ISNA(VLOOKUP(A27,'Données projet'!$A$87:$I$107,5,0)),0%,VLOOKUP(A27,'Données projet'!$A$87:$I$107,5,0)*VLOOKUP('Données projet'!$B$11,Paramètres!$A$1:$I$89,7,0))</f>
        <v>0.315</v>
      </c>
      <c r="BN27" s="17">
        <f>IF(ISNA(VLOOKUP(A27,'Données projet'!$A$87:$I$107,6,0)),0%,VLOOKUP(A27,'Données projet'!$A$87:$I$107,6,0)*VLOOKUP('Données projet'!$B$11,Paramètres!$A$1:$I$89,7,0))</f>
        <v>7.6500000000000012E-2</v>
      </c>
      <c r="BO27" s="17">
        <f>IF(ISNA(VLOOKUP(A27,'Données projet'!$A$87:$I$107,7,0)),0%,VLOOKUP(A27,'Données projet'!$A$87:$I$107,7,0))</f>
        <v>0.13</v>
      </c>
      <c r="BP27" s="23">
        <f>EXP(-LN(2)/35)*BP26+(1-EXP(-LN(2)/35))/(LN(2)/35)*BL27*BM27*VLOOKUP('Données projet'!$B$11,Paramètres!$A$1:$I$89,3,0)*0.475*44/12</f>
        <v>8.0832347901970767</v>
      </c>
      <c r="BQ27" s="23">
        <f>EXP(-LN(2)/25)*BQ26+(1-EXP(-LN(2)/25))/(LN(2)/25)*Calculateur!BL27*Calculateur!BN27*VLOOKUP('Données projet'!$B$11,Paramètres!$A$1:$I$89,3,0)*0.475*44/12</f>
        <v>8.5432844276129565</v>
      </c>
      <c r="BR27" s="23">
        <f>EXP(-LN(2)/2)*BR26+(1-EXP(-LN(2)/2))/(LN(2)/2)*BL27*BO27*VLOOKUP('Données projet'!$B$11,Paramètres!$A$1:$I$89,3,0)*0.475*44/12</f>
        <v>4.8484451444678331</v>
      </c>
      <c r="BS27" s="24">
        <f t="shared" si="9"/>
        <v>21.474964362277866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>
        <f>VLOOKUP(A27,'Données projet'!$A$113:$I$133,2,0)</f>
        <v>157</v>
      </c>
      <c r="BW27" s="13">
        <f>VLOOKUP(A27,'Données projet'!$A$113:$I$133,9,0)</f>
        <v>15</v>
      </c>
      <c r="BX27" s="13">
        <f t="array" ref="BX27">INDEX(BW:BW,MIN(IF(ISNUMBER(BW27:BW223),ROW(BW27:BW223),"")))</f>
        <v>15</v>
      </c>
      <c r="BY27" s="13">
        <f>IF('Données projet'!$A$114&gt;35,BY26+BX27-CG26,IF(A27&lt;'Données projet'!$A$114,$BV$205^A27,IF(A27='Données projet'!$A$114,'Données projet'!$B$114,BY26+BX27-CG26)))</f>
        <v>157</v>
      </c>
      <c r="BZ27" s="14">
        <f>BY27*VLOOKUP('Données projet'!$B$12,Paramètres!$A$1:$I$89,3,0)*VLOOKUP('Données projet'!$B$12,Paramètres!$A$1:$I$89,5,0)</f>
        <v>93.885999999999996</v>
      </c>
      <c r="CA27" s="14">
        <f t="shared" si="39"/>
        <v>25.500116461916402</v>
      </c>
      <c r="CB27" s="22">
        <f t="shared" si="10"/>
        <v>207.9308195045044</v>
      </c>
      <c r="CC27" s="62">
        <f t="shared" si="11"/>
        <v>433.7015276881242</v>
      </c>
      <c r="CD27" s="62">
        <f ca="1">AVERAGE(OFFSET($CC$3,0,0,'Données projet'!$E$12+1,1))-AVERAGE(OFFSET($H$3,0,0,'Données projet'!$E$12+1,1))</f>
        <v>275.76900776033335</v>
      </c>
      <c r="CE27" s="62">
        <f t="shared" si="40"/>
        <v>299.36898480605191</v>
      </c>
      <c r="CF27" s="16">
        <f>IF(ISNA(VLOOKUP(A27,'Données projet'!$A$113:$I$133,3,0)),0,VLOOKUP(A27,'Données projet'!$A$113:$I$133,3,0))</f>
        <v>3</v>
      </c>
      <c r="CG27" s="16">
        <f>IF(ISNA(VLOOKUP(A27,'Données projet'!$A$113:$I$133,4,0)),0,VLOOKUP(A27,'Données projet'!$A$113:$I$133,4,0))</f>
        <v>31</v>
      </c>
      <c r="CH27" s="17">
        <f>IF(ISNA(VLOOKUP(A27,'Données projet'!$A$113:$I$133,5,0)),0%,VLOOKUP(A27,'Données projet'!$A$113:$I$133,5,0)*VLOOKUP('Données projet'!$B$12,Paramètres!$A$1:$I$89,7,0))</f>
        <v>0.315</v>
      </c>
      <c r="CI27" s="17">
        <f>IF(ISNA(VLOOKUP(A27,'Données projet'!$A$113:$I$133,6,0)),0%,VLOOKUP(A27,'Données projet'!$A$113:$I$133,6,0)*VLOOKUP('Données projet'!$B$12,Paramètres!$A$1:$I$89,7,0))</f>
        <v>7.6500000000000012E-2</v>
      </c>
      <c r="CJ27" s="17">
        <f>IF(ISNA(VLOOKUP(A27,'Données projet'!$A$113:$I$133,7,0)),0%,VLOOKUP(A27,'Données projet'!$A$113:$I$133,7,0))</f>
        <v>0.13</v>
      </c>
      <c r="CK27" s="23">
        <f>EXP(-LN(2)/35)*CK26+(1-EXP(-LN(2)/35))/(LN(2)/35)*CG27*CH27*VLOOKUP('Données projet'!$B$12,Paramètres!$A$1:$I$89,3,0)*0.475*44/12</f>
        <v>7.7464333406055319</v>
      </c>
      <c r="CL27" s="23">
        <f>EXP(-LN(2)/25)*CL26+(1-EXP(-LN(2)/25))/(LN(2)/25)*Calculateur!CG27*Calculateur!CI27*VLOOKUP('Données projet'!$B$12,Paramètres!$A$1:$I$89,3,0)*0.475*44/12</f>
        <v>8.1873142431290837</v>
      </c>
      <c r="CM27" s="23">
        <f>EXP(-LN(2)/2)*CM26+(1-EXP(-LN(2)/2))/(LN(2)/2)*CG27*CJ27*VLOOKUP('Données projet'!$B$12,Paramètres!$A$1:$I$89,3,0)*0.475*44/12</f>
        <v>4.6464265967816729</v>
      </c>
      <c r="CN27" s="24">
        <f t="shared" si="12"/>
        <v>20.580174180516288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3.6111111111111112</v>
      </c>
      <c r="CT27" s="13">
        <f>IF('Données projet'!$A$140&gt;35,CT26+CS27-DB26,IF(A27&lt;'Données projet'!$A$140,$CQ$205^A27,IF(A27='Données projet'!$A$140,'Données projet'!$B$140,CT26+CS27-DB26)))</f>
        <v>86.666666666666714</v>
      </c>
      <c r="CU27" s="18">
        <f>CT27*VLOOKUP('Données projet'!$B$13,Paramètres!$A$1:$I$89,3,0)*VLOOKUP('Données projet'!$B$13,Paramètres!$A$1:$I$89,5,0)</f>
        <v>94.640000000000043</v>
      </c>
      <c r="CV27" s="14">
        <f t="shared" si="41"/>
        <v>25.680986215135597</v>
      </c>
      <c r="CW27" s="22">
        <f t="shared" si="13"/>
        <v>209.55905099136123</v>
      </c>
      <c r="CX27" s="62">
        <f t="shared" si="14"/>
        <v>435.32975917498106</v>
      </c>
      <c r="CY27" s="62">
        <f ca="1">AVERAGE(OFFSET($CX$3,0,0,'Données projet'!$E$13+1,1))-AVERAGE(OFFSET($H$3,0,0,'Données projet'!$E$13+1,1))</f>
        <v>482.24068797679558</v>
      </c>
      <c r="CZ27" s="62">
        <f t="shared" si="42"/>
        <v>316.28941055521693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7.9</v>
      </c>
      <c r="DO27" s="13">
        <f>IF('Données projet'!$A$166&gt;35,DO26+DN27-DW26,IF(A27&lt;'Données projet'!$A$166,$DL$205^A27,IF(A27='Données projet'!$A$166,'Données projet'!$B$166,DO26+DN27-DW26)))</f>
        <v>139.10000000000005</v>
      </c>
      <c r="DP27" s="18">
        <f>DO27*VLOOKUP('Données projet'!$B$14,Paramètres!$A$1:$I$89,3,0)*VLOOKUP('Données projet'!$B$14,Paramètres!$A$1:$I$89,5,0)</f>
        <v>112.83792000000004</v>
      </c>
      <c r="DQ27" s="14">
        <f t="shared" si="43"/>
        <v>29.998626199994757</v>
      </c>
      <c r="DR27" s="22">
        <f t="shared" si="16"/>
        <v>248.77365129832424</v>
      </c>
      <c r="DS27" s="62">
        <f t="shared" si="17"/>
        <v>474.54435948194407</v>
      </c>
      <c r="DT27" s="62">
        <f ca="1">AVERAGE(OFFSET($DS$3,0,0,'Données projet'!$E$14+1,1))-AVERAGE(OFFSET($H$3,0,0,'Données projet'!$E$14+1,1))</f>
        <v>325.58538970226539</v>
      </c>
      <c r="DU27" s="62">
        <f t="shared" si="44"/>
        <v>361.81085660423457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2.8888888888888888</v>
      </c>
      <c r="EJ27" s="13">
        <f>IF('Données projet'!$A$192&gt;35,EJ26+EI27-ER26,IF(A27&lt;'Données projet'!$A$192,$EG$205^A27,IF(A27='Données projet'!$A$192,'Données projet'!$B$192,EJ26+EI27-ER26)))</f>
        <v>69.3333333333333</v>
      </c>
      <c r="EK27" s="18">
        <f>EJ27*VLOOKUP('Données projet'!$B$15,Paramètres!$A$1:$I$89,3,0)*VLOOKUP('Données projet'!$B$15,Paramètres!$A$1:$I$89,5,0)</f>
        <v>67.059199999999962</v>
      </c>
      <c r="EL27" s="14">
        <f t="shared" si="45"/>
        <v>18.941339089281936</v>
      </c>
      <c r="EM27" s="22">
        <f t="shared" si="19"/>
        <v>149.78427224716597</v>
      </c>
      <c r="EN27" s="62">
        <f t="shared" si="20"/>
        <v>375.5549804307858</v>
      </c>
      <c r="EO27" s="62">
        <f ca="1">AVERAGE(OFFSET($EN$3,0,0,'Données projet'!$E$15+1,1))-AVERAGE(OFFSET($H$3,0,0,'Données projet'!$E$15+1,1))</f>
        <v>364.22267539944085</v>
      </c>
      <c r="EP27" s="62">
        <f t="shared" si="46"/>
        <v>241.947139538615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6.3</v>
      </c>
      <c r="FE27" s="13">
        <f>IF('Données projet'!$A$218&gt;35,FE26+FD27-FM26,IF(A27&lt;'Données projet'!$A$218,$FB$205^A27,IF(A27='Données projet'!$A$218,'Données projet'!$B$218,FE26+FD27-FM26)))</f>
        <v>110.69999999999997</v>
      </c>
      <c r="FF27" s="18">
        <f>FE27*VLOOKUP('Données projet'!$B$16,Paramètres!$A$1:$I$89,3,0)*VLOOKUP('Données projet'!$B$16,Paramètres!$A$1:$I$89,5,0)</f>
        <v>96.707519999999988</v>
      </c>
      <c r="FG27" s="14">
        <f t="shared" si="47"/>
        <v>26.176087784310344</v>
      </c>
      <c r="FH27" s="22">
        <f t="shared" si="22"/>
        <v>214.02228355767383</v>
      </c>
      <c r="FI27" s="62">
        <f t="shared" si="23"/>
        <v>439.79299174129363</v>
      </c>
      <c r="FJ27" s="62">
        <f ca="1">AVERAGE(OFFSET($FI$3,0,0,'Données projet'!$E$16+1,1))-AVERAGE(OFFSET($H$3,0,0,'Données projet'!$E$16+1,1))</f>
        <v>286.59837239471312</v>
      </c>
      <c r="FK27" s="62">
        <f t="shared" si="48"/>
        <v>319.26091328564689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7.9</v>
      </c>
      <c r="FZ27" s="13">
        <f>IF('Données projet'!$A$244&gt;35,FZ26+FY27-GH26,IF(A27&lt;'Données projet'!$A$244,$FW$205^A27,IF(A27='Données projet'!$A$244,'Données projet'!$B$244,FZ26+FY27-GH26)))</f>
        <v>139.10000000000005</v>
      </c>
      <c r="GA27" s="18">
        <f>FZ27*VLOOKUP('Données projet'!$B$17,Paramètres!$A$1:$I$89,3,0)*VLOOKUP('Données projet'!$B$17,Paramètres!$A$1:$I$89,5,0)</f>
        <v>93.308280000000039</v>
      </c>
      <c r="GB27" s="14">
        <f t="shared" si="49"/>
        <v>25.361418429521887</v>
      </c>
      <c r="GC27" s="22">
        <f t="shared" si="25"/>
        <v>206.68305809808399</v>
      </c>
      <c r="GD27" s="62">
        <f t="shared" si="26"/>
        <v>432.45376628170379</v>
      </c>
      <c r="GE27" s="62">
        <f ca="1">AVERAGE(OFFSET($GD$3,0,0,'Données projet'!$E$17+1,1))-AVERAGE(OFFSET($H$3,0,0,'Données projet'!$E$17+1,1))</f>
        <v>277.37570531842186</v>
      </c>
      <c r="GF27" s="62">
        <f t="shared" si="50"/>
        <v>310.00874200911312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projet'!$B$17,Paramètres!$A$1:$I$89,3,0)*0.475*44/12</f>
        <v>0</v>
      </c>
      <c r="GM27" s="23">
        <f>EXP(-LN(2)/25)*GM26+(1-EXP(-LN(2)/25))/(LN(2)/25)*Calculateur!GH27*Calculateur!GJ27*VLOOKUP('Données projet'!$B$17,Paramètres!$A$1:$I$89,3,0)*0.475*44/12</f>
        <v>0</v>
      </c>
      <c r="GN27" s="23">
        <f>EXP(-LN(2)/2)*GN26+(1-EXP(-LN(2)/2))/(LN(2)/2)*GH27*GK27*VLOOKUP('Données projet'!$B$17,Paramètres!$A$1:$I$89,3,0)*0.475*44/12</f>
        <v>0</v>
      </c>
      <c r="GO27" s="23">
        <f t="shared" si="27"/>
        <v>0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3.6111111111111112</v>
      </c>
      <c r="N28" s="14">
        <f>IF('Données projet'!$A$36&gt;35,N27+M28-V27,IF(A28&lt;'Données projet'!$A$36,$K$205^A28,IF(A28='Données projet'!$A$36,'Données projet'!$B$36,N27+M28-V27)))</f>
        <v>90.277777777777828</v>
      </c>
      <c r="O28" s="14">
        <f>N28*VLOOKUP('Données projet'!$B$9,Paramètres!$A$1:$I$89,3,0)*VLOOKUP('Données projet'!$B$9,Paramètres!$A$1:$I$89,5,0)</f>
        <v>78.866666666666717</v>
      </c>
      <c r="P28" s="14">
        <f t="shared" si="33"/>
        <v>21.859848549394933</v>
      </c>
      <c r="Q28" s="22">
        <f t="shared" si="2"/>
        <v>175.43201400130738</v>
      </c>
      <c r="R28" s="62">
        <f t="shared" si="0"/>
        <v>403.46978796763949</v>
      </c>
      <c r="S28" s="62">
        <f ca="1">AVERAGE(OFFSET($R$3,0,0,'Données projet'!$E$9+1,1))-AVERAGE(OFFSET($H$3,0,0,'Données projet'!$E$9+1,1))</f>
        <v>401.34220206028908</v>
      </c>
      <c r="T28" s="62">
        <f t="shared" si="34"/>
        <v>265.33314259106987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6.5</v>
      </c>
      <c r="AI28" s="14">
        <f>IF('Données projet'!$A$62&gt;35,AI27+AH28-AQ27,IF(A28&lt;'Données projet'!$A$62,$AF$205^A28,IF(A28='Données projet'!$A$62,'Données projet'!$B$62,AI27+AH28-AQ27)))</f>
        <v>124.5</v>
      </c>
      <c r="AJ28" s="14">
        <f>AI28*VLOOKUP('Données projet'!$B$10,Paramètres!$A$1:$I$89,3,0)*VLOOKUP('Données projet'!$B$10,Paramètres!$A$1:$I$89,5,0)</f>
        <v>58.266000000000005</v>
      </c>
      <c r="AK28" s="14">
        <f t="shared" si="35"/>
        <v>16.729113958144108</v>
      </c>
      <c r="AL28" s="22">
        <f t="shared" si="4"/>
        <v>130.61649014376766</v>
      </c>
      <c r="AM28" s="62">
        <f t="shared" si="5"/>
        <v>358.6542641100998</v>
      </c>
      <c r="AN28" s="62">
        <f ca="1">AVERAGE(OFFSET($AM$3,0,0,'Données projet'!$E$10+1,1))-AVERAGE(OFFSET($H$3,0,0,'Données projet'!$E$10+1,1))</f>
        <v>253.48761861464732</v>
      </c>
      <c r="AO28" s="62">
        <f t="shared" si="36"/>
        <v>219.50855998133855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3.8135847720794245</v>
      </c>
      <c r="AW28" s="23">
        <f>EXP(-LN(2)/2)*AW27+(1-EXP(-LN(2)/2))/(LN(2)/2)*AQ28*AT28*VLOOKUP('Données projet'!$B$10,Paramètres!$A$1:$I$89,3,0)*0.475*44/12</f>
        <v>0.94795324074933485</v>
      </c>
      <c r="AX28" s="23">
        <f t="shared" si="6"/>
        <v>4.7615380128287592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16</v>
      </c>
      <c r="BD28" s="13">
        <f>IF('Données projet'!$A$88&gt;35,BD27+BC28-BL27,IF(A28&lt;'Données projet'!$A$88,$BA$205^A28,IF(A28='Données projet'!$A$88,'Données projet'!$B$88,BD27+BC28-BL27)))</f>
        <v>142</v>
      </c>
      <c r="BE28" s="14">
        <f>BD28*VLOOKUP('Données projet'!$B$11,Paramètres!$A$1:$I$89,3,0)*VLOOKUP('Données projet'!$B$11,Paramètres!$A$1:$I$89,5,0)</f>
        <v>163.58399999999997</v>
      </c>
      <c r="BF28" s="14">
        <f t="shared" si="37"/>
        <v>41.649851422580824</v>
      </c>
      <c r="BG28" s="22">
        <f t="shared" si="7"/>
        <v>357.4489578943282</v>
      </c>
      <c r="BH28" s="62">
        <f t="shared" si="8"/>
        <v>585.48673186066026</v>
      </c>
      <c r="BI28" s="62">
        <f ca="1">AVERAGE(OFFSET($BH$3,0,0,'Données projet'!$E$11+1,1))-AVERAGE(OFFSET($H$3,0,0,'Données projet'!$E$11+1,1))</f>
        <v>482.85256243111911</v>
      </c>
      <c r="BJ28" s="62">
        <f t="shared" si="38"/>
        <v>517.78430032567064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7.9247274862477086</v>
      </c>
      <c r="BQ28" s="23">
        <f>EXP(-LN(2)/25)*BQ27+(1-EXP(-LN(2)/25))/(LN(2)/25)*Calculateur!BL28*Calculateur!BN28*VLOOKUP('Données projet'!$B$11,Paramètres!$A$1:$I$89,3,0)*0.475*44/12</f>
        <v>8.3096678656680787</v>
      </c>
      <c r="BR28" s="23">
        <f>EXP(-LN(2)/2)*BR27+(1-EXP(-LN(2)/2))/(LN(2)/2)*BL28*BO28*VLOOKUP('Données projet'!$B$11,Paramètres!$A$1:$I$89,3,0)*0.475*44/12</f>
        <v>3.4283684398641951</v>
      </c>
      <c r="BS28" s="24">
        <f t="shared" si="9"/>
        <v>19.66276379177998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16</v>
      </c>
      <c r="BY28" s="13">
        <f>IF('Données projet'!$A$114&gt;35,BY27+BX28-CG27,IF(A28&lt;'Données projet'!$A$114,$BV$205^A28,IF(A28='Données projet'!$A$114,'Données projet'!$B$114,BY27+BX28-CG27)))</f>
        <v>142</v>
      </c>
      <c r="BZ28" s="14">
        <f>BY28*VLOOKUP('Données projet'!$B$12,Paramètres!$A$1:$I$89,3,0)*VLOOKUP('Données projet'!$B$12,Paramètres!$A$1:$I$89,5,0)</f>
        <v>84.916000000000011</v>
      </c>
      <c r="CA28" s="14">
        <f t="shared" si="39"/>
        <v>23.33496813320572</v>
      </c>
      <c r="CB28" s="22">
        <f t="shared" si="10"/>
        <v>188.53710283199996</v>
      </c>
      <c r="CC28" s="62">
        <f t="shared" si="11"/>
        <v>416.57487679833207</v>
      </c>
      <c r="CD28" s="62">
        <f ca="1">AVERAGE(OFFSET($CC$3,0,0,'Données projet'!$E$12+1,1))-AVERAGE(OFFSET($H$3,0,0,'Données projet'!$E$12+1,1))</f>
        <v>275.76900776033335</v>
      </c>
      <c r="CE28" s="62">
        <f t="shared" si="40"/>
        <v>299.36898480605191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7.5945305076540546</v>
      </c>
      <c r="CL28" s="23">
        <f>EXP(-LN(2)/25)*CL27+(1-EXP(-LN(2)/25))/(LN(2)/25)*Calculateur!CG28*Calculateur!CI28*VLOOKUP('Données projet'!$B$12,Paramètres!$A$1:$I$89,3,0)*0.475*44/12</f>
        <v>7.963431704598575</v>
      </c>
      <c r="CM28" s="23">
        <f>EXP(-LN(2)/2)*CM27+(1-EXP(-LN(2)/2))/(LN(2)/2)*CG28*CJ28*VLOOKUP('Données projet'!$B$12,Paramètres!$A$1:$I$89,3,0)*0.475*44/12</f>
        <v>3.2855197548698531</v>
      </c>
      <c r="CN28" s="24">
        <f t="shared" si="12"/>
        <v>18.843481967122482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3.6111111111111112</v>
      </c>
      <c r="CT28" s="13">
        <f>IF('Données projet'!$A$140&gt;35,CT27+CS28-DB27,IF(A28&lt;'Données projet'!$A$140,$CQ$205^A28,IF(A28='Données projet'!$A$140,'Données projet'!$B$140,CT27+CS28-DB27)))</f>
        <v>90.277777777777828</v>
      </c>
      <c r="CU28" s="18">
        <f>CT28*VLOOKUP('Données projet'!$B$13,Paramètres!$A$1:$I$89,3,0)*VLOOKUP('Données projet'!$B$13,Paramètres!$A$1:$I$89,5,0)</f>
        <v>98.583333333333385</v>
      </c>
      <c r="CV28" s="14">
        <f t="shared" si="41"/>
        <v>26.624216502451379</v>
      </c>
      <c r="CW28" s="22">
        <f t="shared" si="13"/>
        <v>218.0698159639918</v>
      </c>
      <c r="CX28" s="62">
        <f t="shared" si="14"/>
        <v>446.10758993032391</v>
      </c>
      <c r="CY28" s="62">
        <f ca="1">AVERAGE(OFFSET($CX$3,0,0,'Données projet'!$E$13+1,1))-AVERAGE(OFFSET($H$3,0,0,'Données projet'!$E$13+1,1))</f>
        <v>482.24068797679558</v>
      </c>
      <c r="CZ28" s="62">
        <f t="shared" si="42"/>
        <v>316.28941055521693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147</v>
      </c>
      <c r="DM28" s="13">
        <f>VLOOKUP(A28,'Données projet'!$A$165:$I$185,9,0)</f>
        <v>7.9</v>
      </c>
      <c r="DN28" s="13">
        <f t="array" ref="DN28">INDEX(DM:DM,MIN(IF(ISNUMBER(DM28:DM224),ROW(DM28:DM224),"")))</f>
        <v>7.9</v>
      </c>
      <c r="DO28" s="13">
        <f>IF('Données projet'!$A$166&gt;35,DO27+DN28-DW27,IF(A28&lt;'Données projet'!$A$166,$DL$205^A28,IF(A28='Données projet'!$A$166,'Données projet'!$B$166,DO27+DN28-DW27)))</f>
        <v>147.00000000000006</v>
      </c>
      <c r="DP28" s="18">
        <f>DO28*VLOOKUP('Données projet'!$B$14,Paramètres!$A$1:$I$89,3,0)*VLOOKUP('Données projet'!$B$14,Paramètres!$A$1:$I$89,5,0)</f>
        <v>119.24640000000005</v>
      </c>
      <c r="DQ28" s="14">
        <f t="shared" si="43"/>
        <v>31.499170077667042</v>
      </c>
      <c r="DR28" s="22">
        <f t="shared" si="16"/>
        <v>262.54853455193683</v>
      </c>
      <c r="DS28" s="62">
        <f t="shared" si="17"/>
        <v>490.58630851826894</v>
      </c>
      <c r="DT28" s="62">
        <f ca="1">AVERAGE(OFFSET($DS$3,0,0,'Données projet'!$E$14+1,1))-AVERAGE(OFFSET($H$3,0,0,'Données projet'!$E$14+1,1))</f>
        <v>325.58538970226539</v>
      </c>
      <c r="DU28" s="62">
        <f t="shared" si="44"/>
        <v>361.81085660423457</v>
      </c>
      <c r="DV28" s="16">
        <f>IF(ISNA(VLOOKUP(A28,'Données projet'!$A$165:$I$185,3,0)),0,VLOOKUP(A28,'Données projet'!$A$165:$I$185,3,0))</f>
        <v>2</v>
      </c>
      <c r="DW28" s="16">
        <f>IF(ISNA(VLOOKUP(A28,'Données projet'!$A$165:$I$185,4,0)),0,VLOOKUP(A28,'Données projet'!$A$165:$I$185,4,0))</f>
        <v>25</v>
      </c>
      <c r="DX28" s="17">
        <f>IF(ISNA(VLOOKUP(A28,'Données projet'!$A$165:$I$185,5,0)),0%,VLOOKUP(A28,'Données projet'!$A$165:$I$185,5,0)*VLOOKUP('Données projet'!$B$14,Paramètres!$A$1:$I$89,7,0))</f>
        <v>0.30099999999999999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6.7481007283753973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6.7481007283753973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2.8888888888888888</v>
      </c>
      <c r="EJ28" s="13">
        <f>IF('Données projet'!$A$192&gt;35,EJ27+EI28-ER27,IF(A28&lt;'Données projet'!$A$192,$EG$205^A28,IF(A28='Données projet'!$A$192,'Données projet'!$B$192,EJ27+EI28-ER27)))</f>
        <v>72.222222222222186</v>
      </c>
      <c r="EK28" s="18">
        <f>EJ28*VLOOKUP('Données projet'!$B$15,Paramètres!$A$1:$I$89,3,0)*VLOOKUP('Données projet'!$B$15,Paramètres!$A$1:$I$89,5,0)</f>
        <v>69.85333333333331</v>
      </c>
      <c r="EL28" s="14">
        <f t="shared" si="45"/>
        <v>19.637030623931768</v>
      </c>
      <c r="EM28" s="22">
        <f t="shared" si="19"/>
        <v>155.86238389223666</v>
      </c>
      <c r="EN28" s="62">
        <f t="shared" si="20"/>
        <v>383.90015785856878</v>
      </c>
      <c r="EO28" s="62">
        <f ca="1">AVERAGE(OFFSET($EN$3,0,0,'Données projet'!$E$15+1,1))-AVERAGE(OFFSET($H$3,0,0,'Données projet'!$E$15+1,1))</f>
        <v>364.22267539944085</v>
      </c>
      <c r="EP28" s="62">
        <f t="shared" si="46"/>
        <v>241.947139538615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>
        <f>VLOOKUP(A28,'Données projet'!$A$217:$I$237,2,0)</f>
        <v>117</v>
      </c>
      <c r="FC28" s="13">
        <f>VLOOKUP(A28,'Données projet'!$A$217:$I$237,9,0)</f>
        <v>6.3</v>
      </c>
      <c r="FD28" s="13">
        <f t="array" ref="FD28">INDEX(FC:FC,MIN(IF(ISNUMBER(FC28:FC224),ROW(FC28:FC224),"")))</f>
        <v>6.3</v>
      </c>
      <c r="FE28" s="13">
        <f>IF('Données projet'!$A$218&gt;35,FE27+FD28-FM27,IF(A28&lt;'Données projet'!$A$218,$FB$205^A28,IF(A28='Données projet'!$A$218,'Données projet'!$B$218,FE27+FD28-FM27)))</f>
        <v>116.99999999999997</v>
      </c>
      <c r="FF28" s="18">
        <f>FE28*VLOOKUP('Données projet'!$B$16,Paramètres!$A$1:$I$89,3,0)*VLOOKUP('Données projet'!$B$16,Paramètres!$A$1:$I$89,5,0)</f>
        <v>102.21119999999999</v>
      </c>
      <c r="FG28" s="14">
        <f t="shared" si="47"/>
        <v>27.488113037666018</v>
      </c>
      <c r="FH28" s="22">
        <f t="shared" si="22"/>
        <v>225.89297020726829</v>
      </c>
      <c r="FI28" s="62">
        <f t="shared" si="23"/>
        <v>453.93074417360037</v>
      </c>
      <c r="FJ28" s="62">
        <f ca="1">AVERAGE(OFFSET($FI$3,0,0,'Données projet'!$E$16+1,1))-AVERAGE(OFFSET($H$3,0,0,'Données projet'!$E$16+1,1))</f>
        <v>286.59837239471312</v>
      </c>
      <c r="FK28" s="62">
        <f t="shared" si="48"/>
        <v>319.26091328564689</v>
      </c>
      <c r="FL28" s="16">
        <f>IF(ISNA(VLOOKUP(A28,'Données projet'!$A$217:$I$237,3,0)),0,VLOOKUP(A28,'Données projet'!$A$217:$I$237,3,0))</f>
        <v>2</v>
      </c>
      <c r="FM28" s="16">
        <f>IF(ISNA(VLOOKUP(A28,'Données projet'!$A$217:$I$237,4,0)),0,VLOOKUP(A28,'Données projet'!$A$217:$I$237,4,0))</f>
        <v>20</v>
      </c>
      <c r="FN28" s="17">
        <f>IF(ISNA(VLOOKUP(A28,'Données projet'!$A$217:$I$237,5,0)),0%,VLOOKUP(A28,'Données projet'!$A$217:$I$237,5,0)*VLOOKUP('Données projet'!$B$16,Paramètres!$A$1:$I$89,7,0))</f>
        <v>0.371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7.1657828128150909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7.1657828128150909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>
        <f>VLOOKUP(A28,'Données projet'!$A$243:$I$263,2,0)</f>
        <v>147</v>
      </c>
      <c r="FX28" s="13">
        <f>VLOOKUP(A28,'Données projet'!$A$243:$I$263,9,0)</f>
        <v>7.9</v>
      </c>
      <c r="FY28" s="13">
        <f t="array" ref="FY28">INDEX(FX:FX,MIN(IF(ISNUMBER(FX28:FX224),ROW(FX28:FX224),"")))</f>
        <v>7.9</v>
      </c>
      <c r="FZ28" s="13">
        <f>IF('Données projet'!$A$244&gt;35,FZ27+FY28-GH27,IF(A28&lt;'Données projet'!$A$244,$FW$205^A28,IF(A28='Données projet'!$A$244,'Données projet'!$B$244,FZ27+FY28-GH27)))</f>
        <v>147.00000000000006</v>
      </c>
      <c r="GA28" s="18">
        <f>FZ28*VLOOKUP('Données projet'!$B$17,Paramètres!$A$1:$I$89,3,0)*VLOOKUP('Données projet'!$B$17,Paramètres!$A$1:$I$89,5,0)</f>
        <v>98.607600000000033</v>
      </c>
      <c r="GB28" s="14">
        <f t="shared" si="49"/>
        <v>26.630007227548578</v>
      </c>
      <c r="GC28" s="22">
        <f t="shared" si="25"/>
        <v>218.12216592131381</v>
      </c>
      <c r="GD28" s="62">
        <f t="shared" si="26"/>
        <v>446.15993988764592</v>
      </c>
      <c r="GE28" s="62">
        <f ca="1">AVERAGE(OFFSET($GD$3,0,0,'Données projet'!$E$17+1,1))-AVERAGE(OFFSET($H$3,0,0,'Données projet'!$E$17+1,1))</f>
        <v>277.37570531842186</v>
      </c>
      <c r="GF28" s="62">
        <f t="shared" si="50"/>
        <v>310.00874200911312</v>
      </c>
      <c r="GG28" s="16">
        <f>IF(ISNA(VLOOKUP(A28,'Données projet'!$A$243:$I$263,3,0)),0,VLOOKUP(A28,'Données projet'!$A$243:$I$263,3,0))</f>
        <v>2</v>
      </c>
      <c r="GH28" s="16">
        <f>IF(ISNA(VLOOKUP(A28,'Données projet'!$A$243:$I$263,4,0)),0,VLOOKUP(A28,'Données projet'!$A$243:$I$263,4,0))</f>
        <v>25</v>
      </c>
      <c r="GI28" s="17">
        <f>IF(ISNA(VLOOKUP(A28,'Données projet'!$A$243:$I$263,5,0)),0%,VLOOKUP(A28,'Données projet'!$A$243:$I$263,5,0)*VLOOKUP('Données projet'!$B$17,Paramètres!$A$1:$I$89,7,0))</f>
        <v>0.371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projet'!$B$17,Paramètres!$A$1:$I$89,3,0)*0.475*44/12</f>
        <v>6.877871896228771</v>
      </c>
      <c r="GM28" s="23">
        <f>EXP(-LN(2)/25)*GM27+(1-EXP(-LN(2)/25))/(LN(2)/25)*Calculateur!GH28*Calculateur!GJ28*VLOOKUP('Données projet'!$B$17,Paramètres!$A$1:$I$89,3,0)*0.475*44/12</f>
        <v>0</v>
      </c>
      <c r="GN28" s="23">
        <f>EXP(-LN(2)/2)*GN27+(1-EXP(-LN(2)/2))/(LN(2)/2)*GH28*GK28*VLOOKUP('Données projet'!$B$17,Paramètres!$A$1:$I$89,3,0)*0.475*44/12</f>
        <v>0</v>
      </c>
      <c r="GO28" s="23">
        <f t="shared" si="27"/>
        <v>6.877871896228771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3.6111111111111112</v>
      </c>
      <c r="N29" s="14">
        <f>IF('Données projet'!$A$36&gt;35,N28+M29-V28,IF(A29&lt;'Données projet'!$A$36,$K$205^A29,IF(A29='Données projet'!$A$36,'Données projet'!$B$36,N28+M29-V28)))</f>
        <v>93.888888888888943</v>
      </c>
      <c r="O29" s="14">
        <f>N29*VLOOKUP('Données projet'!$B$9,Paramètres!$A$1:$I$89,3,0)*VLOOKUP('Données projet'!$B$9,Paramètres!$A$1:$I$89,5,0)</f>
        <v>82.021333333333388</v>
      </c>
      <c r="P29" s="14">
        <f t="shared" si="33"/>
        <v>22.630690610568617</v>
      </c>
      <c r="Q29" s="22">
        <f t="shared" si="2"/>
        <v>182.26894170229596</v>
      </c>
      <c r="R29" s="62">
        <f t="shared" si="0"/>
        <v>412.55565575148614</v>
      </c>
      <c r="S29" s="62">
        <f ca="1">AVERAGE(OFFSET($R$3,0,0,'Données projet'!$E$9+1,1))-AVERAGE(OFFSET($H$3,0,0,'Données projet'!$E$9+1,1))</f>
        <v>401.34220206028908</v>
      </c>
      <c r="T29" s="62">
        <f t="shared" si="34"/>
        <v>265.33314259106987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6.5</v>
      </c>
      <c r="AI29" s="14">
        <f>IF('Données projet'!$A$62&gt;35,AI28+AH29-AQ28,IF(A29&lt;'Données projet'!$A$62,$AF$205^A29,IF(A29='Données projet'!$A$62,'Données projet'!$B$62,AI28+AH29-AQ28)))</f>
        <v>131</v>
      </c>
      <c r="AJ29" s="14">
        <f>AI29*VLOOKUP('Données projet'!$B$10,Paramètres!$A$1:$I$89,3,0)*VLOOKUP('Données projet'!$B$10,Paramètres!$A$1:$I$89,5,0)</f>
        <v>61.308</v>
      </c>
      <c r="AK29" s="14">
        <f t="shared" si="35"/>
        <v>17.498556232826882</v>
      </c>
      <c r="AL29" s="22">
        <f t="shared" si="4"/>
        <v>137.25475210550681</v>
      </c>
      <c r="AM29" s="62">
        <f t="shared" si="5"/>
        <v>367.54146615469699</v>
      </c>
      <c r="AN29" s="62">
        <f ca="1">AVERAGE(OFFSET($AM$3,0,0,'Données projet'!$E$10+1,1))-AVERAGE(OFFSET($H$3,0,0,'Données projet'!$E$10+1,1))</f>
        <v>253.48761861464732</v>
      </c>
      <c r="AO29" s="62">
        <f t="shared" si="36"/>
        <v>219.50855998133855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3.7093020959392056</v>
      </c>
      <c r="AW29" s="23">
        <f>EXP(-LN(2)/2)*AW28+(1-EXP(-LN(2)/2))/(LN(2)/2)*AQ29*AT29*VLOOKUP('Données projet'!$B$10,Paramètres!$A$1:$I$89,3,0)*0.475*44/12</f>
        <v>0.67030416478161858</v>
      </c>
      <c r="AX29" s="23">
        <f t="shared" si="6"/>
        <v>4.3796062607208244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16</v>
      </c>
      <c r="BD29" s="13">
        <f>IF('Données projet'!$A$88&gt;35,BD28+BC29-BL28,IF(A29&lt;'Données projet'!$A$88,$BA$205^A29,IF(A29='Données projet'!$A$88,'Données projet'!$B$88,BD28+BC29-BL28)))</f>
        <v>158</v>
      </c>
      <c r="BE29" s="14">
        <f>BD29*VLOOKUP('Données projet'!$B$11,Paramètres!$A$1:$I$89,3,0)*VLOOKUP('Données projet'!$B$11,Paramètres!$A$1:$I$89,5,0)</f>
        <v>182.01599999999999</v>
      </c>
      <c r="BF29" s="14">
        <f t="shared" si="37"/>
        <v>45.77041787020427</v>
      </c>
      <c r="BG29" s="22">
        <f t="shared" si="7"/>
        <v>396.7280111239391</v>
      </c>
      <c r="BH29" s="62">
        <f t="shared" si="8"/>
        <v>627.01472517312925</v>
      </c>
      <c r="BI29" s="62">
        <f ca="1">AVERAGE(OFFSET($BH$3,0,0,'Données projet'!$E$11+1,1))-AVERAGE(OFFSET($H$3,0,0,'Données projet'!$E$11+1,1))</f>
        <v>482.85256243111911</v>
      </c>
      <c r="BJ29" s="62">
        <f t="shared" si="38"/>
        <v>517.78430032567064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7.7693284138488785</v>
      </c>
      <c r="BQ29" s="23">
        <f>EXP(-LN(2)/25)*BQ28+(1-EXP(-LN(2)/25))/(LN(2)/25)*Calculateur!BL29*Calculateur!BN29*VLOOKUP('Données projet'!$B$11,Paramètres!$A$1:$I$89,3,0)*0.475*44/12</f>
        <v>8.0824395608949438</v>
      </c>
      <c r="BR29" s="23">
        <f>EXP(-LN(2)/2)*BR28+(1-EXP(-LN(2)/2))/(LN(2)/2)*BL29*BO29*VLOOKUP('Données projet'!$B$11,Paramètres!$A$1:$I$89,3,0)*0.475*44/12</f>
        <v>2.424222572233917</v>
      </c>
      <c r="BS29" s="24">
        <f t="shared" si="9"/>
        <v>18.275990546977738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16</v>
      </c>
      <c r="BY29" s="13">
        <f>IF('Données projet'!$A$114&gt;35,BY28+BX29-CG28,IF(A29&lt;'Données projet'!$A$114,$BV$205^A29,IF(A29='Données projet'!$A$114,'Données projet'!$B$114,BY28+BX29-CG28)))</f>
        <v>158</v>
      </c>
      <c r="BZ29" s="14">
        <f>BY29*VLOOKUP('Données projet'!$B$12,Paramètres!$A$1:$I$89,3,0)*VLOOKUP('Données projet'!$B$12,Paramètres!$A$1:$I$89,5,0)</f>
        <v>94.484000000000009</v>
      </c>
      <c r="CA29" s="14">
        <f t="shared" si="39"/>
        <v>25.643578691511802</v>
      </c>
      <c r="CB29" s="22">
        <f t="shared" si="10"/>
        <v>209.22219955438308</v>
      </c>
      <c r="CC29" s="62">
        <f t="shared" si="11"/>
        <v>439.50891360357326</v>
      </c>
      <c r="CD29" s="62">
        <f ca="1">AVERAGE(OFFSET($CC$3,0,0,'Données projet'!$E$12+1,1))-AVERAGE(OFFSET($H$3,0,0,'Données projet'!$E$12+1,1))</f>
        <v>275.76900776033335</v>
      </c>
      <c r="CE29" s="62">
        <f t="shared" si="40"/>
        <v>299.36898480605191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7.445606396605176</v>
      </c>
      <c r="CL29" s="23">
        <f>EXP(-LN(2)/25)*CL28+(1-EXP(-LN(2)/25))/(LN(2)/25)*Calculateur!CG29*Calculateur!CI29*VLOOKUP('Données projet'!$B$12,Paramètres!$A$1:$I$89,3,0)*0.475*44/12</f>
        <v>7.745671245857654</v>
      </c>
      <c r="CM29" s="23">
        <f>EXP(-LN(2)/2)*CM28+(1-EXP(-LN(2)/2))/(LN(2)/2)*CG29*CJ29*VLOOKUP('Données projet'!$B$12,Paramètres!$A$1:$I$89,3,0)*0.475*44/12</f>
        <v>2.3232132983908365</v>
      </c>
      <c r="CN29" s="24">
        <f t="shared" si="12"/>
        <v>17.514490940853666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3.6111111111111112</v>
      </c>
      <c r="CT29" s="13">
        <f>IF('Données projet'!$A$140&gt;35,CT28+CS29-DB28,IF(A29&lt;'Données projet'!$A$140,$CQ$205^A29,IF(A29='Données projet'!$A$140,'Données projet'!$B$140,CT28+CS29-DB28)))</f>
        <v>93.888888888888943</v>
      </c>
      <c r="CU29" s="18">
        <f>CT29*VLOOKUP('Données projet'!$B$13,Paramètres!$A$1:$I$89,3,0)*VLOOKUP('Données projet'!$B$13,Paramètres!$A$1:$I$89,5,0)</f>
        <v>102.52666666666673</v>
      </c>
      <c r="CV29" s="14">
        <f t="shared" si="41"/>
        <v>27.563064083188703</v>
      </c>
      <c r="CW29" s="22">
        <f t="shared" si="13"/>
        <v>226.57294772266482</v>
      </c>
      <c r="CX29" s="62">
        <f t="shared" si="14"/>
        <v>456.85966177185503</v>
      </c>
      <c r="CY29" s="62">
        <f ca="1">AVERAGE(OFFSET($CX$3,0,0,'Données projet'!$E$13+1,1))-AVERAGE(OFFSET($H$3,0,0,'Données projet'!$E$13+1,1))</f>
        <v>482.24068797679558</v>
      </c>
      <c r="CZ29" s="62">
        <f t="shared" si="42"/>
        <v>316.28941055521693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10</v>
      </c>
      <c r="DO29" s="13">
        <f>IF('Données projet'!$A$166&gt;35,DO28+DN29-DW28,IF(A29&lt;'Données projet'!$A$166,$DL$205^A29,IF(A29='Données projet'!$A$166,'Données projet'!$B$166,DO28+DN29-DW28)))</f>
        <v>132.00000000000006</v>
      </c>
      <c r="DP29" s="18">
        <f>DO29*VLOOKUP('Données projet'!$B$14,Paramètres!$A$1:$I$89,3,0)*VLOOKUP('Données projet'!$B$14,Paramètres!$A$1:$I$89,5,0)</f>
        <v>107.07840000000004</v>
      </c>
      <c r="DQ29" s="14">
        <f t="shared" si="43"/>
        <v>28.641558109101805</v>
      </c>
      <c r="DR29" s="22">
        <f t="shared" si="16"/>
        <v>236.37892704001902</v>
      </c>
      <c r="DS29" s="62">
        <f t="shared" si="17"/>
        <v>466.6656410892092</v>
      </c>
      <c r="DT29" s="62">
        <f ca="1">AVERAGE(OFFSET($DS$3,0,0,'Données projet'!$E$14+1,1))-AVERAGE(OFFSET($H$3,0,0,'Données projet'!$E$14+1,1))</f>
        <v>325.58538970226539</v>
      </c>
      <c r="DU29" s="62">
        <f t="shared" si="44"/>
        <v>361.81085660423457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6.6157745890269855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6.6157745890269855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2.8888888888888888</v>
      </c>
      <c r="EJ29" s="13">
        <f>IF('Données projet'!$A$192&gt;35,EJ28+EI29-ER28,IF(A29&lt;'Données projet'!$A$192,$EG$205^A29,IF(A29='Données projet'!$A$192,'Données projet'!$B$192,EJ28+EI29-ER28)))</f>
        <v>75.111111111111072</v>
      </c>
      <c r="EK29" s="18">
        <f>EJ29*VLOOKUP('Données projet'!$B$15,Paramètres!$A$1:$I$89,3,0)*VLOOKUP('Données projet'!$B$15,Paramètres!$A$1:$I$89,5,0)</f>
        <v>72.647466666666631</v>
      </c>
      <c r="EL29" s="14">
        <f t="shared" si="45"/>
        <v>20.329489637418448</v>
      </c>
      <c r="EM29" s="22">
        <f t="shared" si="19"/>
        <v>161.93486556294815</v>
      </c>
      <c r="EN29" s="62">
        <f t="shared" si="20"/>
        <v>392.22157961213833</v>
      </c>
      <c r="EO29" s="62">
        <f ca="1">AVERAGE(OFFSET($EN$3,0,0,'Données projet'!$E$15+1,1))-AVERAGE(OFFSET($H$3,0,0,'Données projet'!$E$15+1,1))</f>
        <v>364.22267539944085</v>
      </c>
      <c r="EP29" s="62">
        <f t="shared" si="46"/>
        <v>241.947139538615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8</v>
      </c>
      <c r="FE29" s="13">
        <f>IF('Données projet'!$A$218&gt;35,FE28+FD29-FM28,IF(A29&lt;'Données projet'!$A$218,$FB$205^A29,IF(A29='Données projet'!$A$218,'Données projet'!$B$218,FE28+FD29-FM28)))</f>
        <v>104.99999999999997</v>
      </c>
      <c r="FF29" s="18">
        <f>FE29*VLOOKUP('Données projet'!$B$16,Paramètres!$A$1:$I$89,3,0)*VLOOKUP('Données projet'!$B$16,Paramètres!$A$1:$I$89,5,0)</f>
        <v>91.727999999999994</v>
      </c>
      <c r="FG29" s="14">
        <f t="shared" si="47"/>
        <v>24.981514582386563</v>
      </c>
      <c r="FH29" s="22">
        <f t="shared" si="22"/>
        <v>203.26907123098991</v>
      </c>
      <c r="FI29" s="62">
        <f t="shared" si="23"/>
        <v>433.55578528018009</v>
      </c>
      <c r="FJ29" s="62">
        <f ca="1">AVERAGE(OFFSET($FI$3,0,0,'Données projet'!$E$16+1,1))-AVERAGE(OFFSET($H$3,0,0,'Données projet'!$E$16+1,1))</f>
        <v>286.59837239471312</v>
      </c>
      <c r="FK29" s="62">
        <f t="shared" si="48"/>
        <v>319.26091328564689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7.0252661825517322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7.0252661825517322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10</v>
      </c>
      <c r="FZ29" s="13">
        <f>IF('Données projet'!$A$244&gt;35,FZ28+FY29-GH28,IF(A29&lt;'Données projet'!$A$244,$FW$205^A29,IF(A29='Données projet'!$A$244,'Données projet'!$B$244,FZ28+FY29-GH28)))</f>
        <v>132.00000000000006</v>
      </c>
      <c r="GA29" s="18">
        <f>FZ29*VLOOKUP('Données projet'!$B$17,Paramètres!$A$1:$I$89,3,0)*VLOOKUP('Données projet'!$B$17,Paramètres!$A$1:$I$89,5,0)</f>
        <v>88.54560000000005</v>
      </c>
      <c r="GB29" s="14">
        <f t="shared" si="49"/>
        <v>24.214126834865617</v>
      </c>
      <c r="GC29" s="22">
        <f t="shared" si="25"/>
        <v>196.38985757072433</v>
      </c>
      <c r="GD29" s="62">
        <f t="shared" si="26"/>
        <v>426.67657161991451</v>
      </c>
      <c r="GE29" s="62">
        <f ca="1">AVERAGE(OFFSET($GD$3,0,0,'Données projet'!$E$17+1,1))-AVERAGE(OFFSET($H$3,0,0,'Données projet'!$E$17+1,1))</f>
        <v>277.37570531842186</v>
      </c>
      <c r="GF29" s="62">
        <f t="shared" si="50"/>
        <v>310.00874200911312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projet'!$B$17,Paramètres!$A$1:$I$89,3,0)*0.475*44/12</f>
        <v>6.7430010234313507</v>
      </c>
      <c r="GM29" s="23">
        <f>EXP(-LN(2)/25)*GM28+(1-EXP(-LN(2)/25))/(LN(2)/25)*Calculateur!GH29*Calculateur!GJ29*VLOOKUP('Données projet'!$B$17,Paramètres!$A$1:$I$89,3,0)*0.475*44/12</f>
        <v>0</v>
      </c>
      <c r="GN29" s="23">
        <f>EXP(-LN(2)/2)*GN28+(1-EXP(-LN(2)/2))/(LN(2)/2)*GH29*GK29*VLOOKUP('Données projet'!$B$17,Paramètres!$A$1:$I$89,3,0)*0.475*44/12</f>
        <v>0</v>
      </c>
      <c r="GO29" s="23">
        <f t="shared" si="27"/>
        <v>6.7430010234313507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3.6111111111111112</v>
      </c>
      <c r="N30" s="14">
        <f>IF('Données projet'!$A$36&gt;35,N29+M30-V29,IF(A30&lt;'Données projet'!$A$36,$K$205^A30,IF(A30='Données projet'!$A$36,'Données projet'!$B$36,N29+M30-V29)))</f>
        <v>97.500000000000057</v>
      </c>
      <c r="O30" s="14">
        <f>N30*VLOOKUP('Données projet'!$B$9,Paramètres!$A$1:$I$89,3,0)*VLOOKUP('Données projet'!$B$9,Paramètres!$A$1:$I$89,5,0)</f>
        <v>85.176000000000059</v>
      </c>
      <c r="P30" s="14">
        <f t="shared" si="33"/>
        <v>23.398088487656441</v>
      </c>
      <c r="Q30" s="22">
        <f t="shared" si="2"/>
        <v>189.0998707826684</v>
      </c>
      <c r="R30" s="62">
        <f t="shared" si="0"/>
        <v>421.61771365523191</v>
      </c>
      <c r="S30" s="62">
        <f ca="1">AVERAGE(OFFSET($R$3,0,0,'Données projet'!$E$9+1,1))-AVERAGE(OFFSET($H$3,0,0,'Données projet'!$E$9+1,1))</f>
        <v>401.34220206028908</v>
      </c>
      <c r="T30" s="62">
        <f t="shared" si="34"/>
        <v>265.33314259106987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6.5</v>
      </c>
      <c r="AI30" s="14">
        <f>IF('Données projet'!$A$62&gt;35,AI29+AH30-AQ29,IF(A30&lt;'Données projet'!$A$62,$AF$205^A30,IF(A30='Données projet'!$A$62,'Données projet'!$B$62,AI29+AH30-AQ29)))</f>
        <v>137.5</v>
      </c>
      <c r="AJ30" s="14">
        <f>AI30*VLOOKUP('Données projet'!$B$10,Paramètres!$A$1:$I$89,3,0)*VLOOKUP('Données projet'!$B$10,Paramètres!$A$1:$I$89,5,0)</f>
        <v>64.350000000000009</v>
      </c>
      <c r="AK30" s="14">
        <f t="shared" si="35"/>
        <v>18.263565425931397</v>
      </c>
      <c r="AL30" s="22">
        <f t="shared" si="4"/>
        <v>143.88529311683052</v>
      </c>
      <c r="AM30" s="62">
        <f t="shared" si="5"/>
        <v>376.40313598939406</v>
      </c>
      <c r="AN30" s="62">
        <f ca="1">AVERAGE(OFFSET($AM$3,0,0,'Données projet'!$E$10+1,1))-AVERAGE(OFFSET($H$3,0,0,'Données projet'!$E$10+1,1))</f>
        <v>253.48761861464732</v>
      </c>
      <c r="AO30" s="62">
        <f t="shared" si="36"/>
        <v>219.50855998133855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3.6078710350620287</v>
      </c>
      <c r="AW30" s="23">
        <f>EXP(-LN(2)/2)*AW29+(1-EXP(-LN(2)/2))/(LN(2)/2)*AQ30*AT30*VLOOKUP('Données projet'!$B$10,Paramètres!$A$1:$I$89,3,0)*0.475*44/12</f>
        <v>0.47397662037466748</v>
      </c>
      <c r="AX30" s="23">
        <f t="shared" si="6"/>
        <v>4.0818476554366958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16</v>
      </c>
      <c r="BD30" s="13">
        <f>IF('Données projet'!$A$88&gt;35,BD29+BC30-BL29,IF(A30&lt;'Données projet'!$A$88,$BA$205^A30,IF(A30='Données projet'!$A$88,'Données projet'!$B$88,BD29+BC30-BL29)))</f>
        <v>174</v>
      </c>
      <c r="BE30" s="14">
        <f>BD30*VLOOKUP('Données projet'!$B$11,Paramètres!$A$1:$I$89,3,0)*VLOOKUP('Données projet'!$B$11,Paramètres!$A$1:$I$89,5,0)</f>
        <v>200.44799999999998</v>
      </c>
      <c r="BF30" s="14">
        <f t="shared" si="37"/>
        <v>49.842611740837434</v>
      </c>
      <c r="BG30" s="22">
        <f t="shared" si="7"/>
        <v>435.92281544862516</v>
      </c>
      <c r="BH30" s="62">
        <f t="shared" si="8"/>
        <v>668.44065832118872</v>
      </c>
      <c r="BI30" s="62">
        <f ca="1">AVERAGE(OFFSET($BH$3,0,0,'Données projet'!$E$11+1,1))-AVERAGE(OFFSET($H$3,0,0,'Données projet'!$E$11+1,1))</f>
        <v>482.85256243111911</v>
      </c>
      <c r="BJ30" s="62">
        <f t="shared" si="38"/>
        <v>517.78430032567064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7.6169766224757147</v>
      </c>
      <c r="BQ30" s="23">
        <f>EXP(-LN(2)/25)*BQ29+(1-EXP(-LN(2)/25))/(LN(2)/25)*Calculateur!BL30*Calculateur!BN30*VLOOKUP('Données projet'!$B$11,Paramètres!$A$1:$I$89,3,0)*0.475*44/12</f>
        <v>7.8614248260652477</v>
      </c>
      <c r="BR30" s="23">
        <f>EXP(-LN(2)/2)*BR29+(1-EXP(-LN(2)/2))/(LN(2)/2)*BL30*BO30*VLOOKUP('Données projet'!$B$11,Paramètres!$A$1:$I$89,3,0)*0.475*44/12</f>
        <v>1.7141842199320978</v>
      </c>
      <c r="BS30" s="24">
        <f t="shared" si="9"/>
        <v>17.192585668473061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16</v>
      </c>
      <c r="BY30" s="13">
        <f>IF('Données projet'!$A$114&gt;35,BY29+BX30-CG29,IF(A30&lt;'Données projet'!$A$114,$BV$205^A30,IF(A30='Données projet'!$A$114,'Données projet'!$B$114,BY29+BX30-CG29)))</f>
        <v>174</v>
      </c>
      <c r="BZ30" s="14">
        <f>BY30*VLOOKUP('Données projet'!$B$12,Paramètres!$A$1:$I$89,3,0)*VLOOKUP('Données projet'!$B$12,Paramètres!$A$1:$I$89,5,0)</f>
        <v>104.05200000000001</v>
      </c>
      <c r="CA30" s="14">
        <f t="shared" si="39"/>
        <v>27.925087771564417</v>
      </c>
      <c r="CB30" s="22">
        <f t="shared" si="10"/>
        <v>229.86009453547467</v>
      </c>
      <c r="CC30" s="62">
        <f t="shared" si="11"/>
        <v>462.37793740803818</v>
      </c>
      <c r="CD30" s="62">
        <f ca="1">AVERAGE(OFFSET($CC$3,0,0,'Données projet'!$E$12+1,1))-AVERAGE(OFFSET($H$3,0,0,'Données projet'!$E$12+1,1))</f>
        <v>275.76900776033335</v>
      </c>
      <c r="CE30" s="62">
        <f t="shared" si="40"/>
        <v>299.36898480605191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7.2996025965392271</v>
      </c>
      <c r="CL30" s="23">
        <f>EXP(-LN(2)/25)*CL29+(1-EXP(-LN(2)/25))/(LN(2)/25)*Calculateur!CG30*Calculateur!CI30*VLOOKUP('Données projet'!$B$12,Paramètres!$A$1:$I$89,3,0)*0.475*44/12</f>
        <v>7.5338654583125289</v>
      </c>
      <c r="CM30" s="23">
        <f>EXP(-LN(2)/2)*CM29+(1-EXP(-LN(2)/2))/(LN(2)/2)*CG30*CJ30*VLOOKUP('Données projet'!$B$12,Paramètres!$A$1:$I$89,3,0)*0.475*44/12</f>
        <v>1.6427598774349266</v>
      </c>
      <c r="CN30" s="24">
        <f t="shared" si="12"/>
        <v>16.476227932286683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3.6111111111111112</v>
      </c>
      <c r="CT30" s="13">
        <f>IF('Données projet'!$A$140&gt;35,CT29+CS30-DB29,IF(A30&lt;'Données projet'!$A$140,$CQ$205^A30,IF(A30='Données projet'!$A$140,'Données projet'!$B$140,CT29+CS30-DB29)))</f>
        <v>97.500000000000057</v>
      </c>
      <c r="CU30" s="18">
        <f>CT30*VLOOKUP('Données projet'!$B$13,Paramètres!$A$1:$I$89,3,0)*VLOOKUP('Données projet'!$B$13,Paramètres!$A$1:$I$89,5,0)</f>
        <v>106.47000000000004</v>
      </c>
      <c r="CV30" s="14">
        <f t="shared" si="41"/>
        <v>28.49771681771891</v>
      </c>
      <c r="CW30" s="22">
        <f t="shared" si="13"/>
        <v>235.06877345752716</v>
      </c>
      <c r="CX30" s="62">
        <f t="shared" si="14"/>
        <v>467.58661633009069</v>
      </c>
      <c r="CY30" s="62">
        <f ca="1">AVERAGE(OFFSET($CX$3,0,0,'Données projet'!$E$13+1,1))-AVERAGE(OFFSET($H$3,0,0,'Données projet'!$E$13+1,1))</f>
        <v>482.24068797679558</v>
      </c>
      <c r="CZ30" s="62">
        <f t="shared" si="42"/>
        <v>316.28941055521693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10</v>
      </c>
      <c r="DO30" s="13">
        <f>IF('Données projet'!$A$166&gt;35,DO29+DN30-DW29,IF(A30&lt;'Données projet'!$A$166,$DL$205^A30,IF(A30='Données projet'!$A$166,'Données projet'!$B$166,DO29+DN30-DW29)))</f>
        <v>142.00000000000006</v>
      </c>
      <c r="DP30" s="18">
        <f>DO30*VLOOKUP('Données projet'!$B$14,Paramètres!$A$1:$I$89,3,0)*VLOOKUP('Données projet'!$B$14,Paramètres!$A$1:$I$89,5,0)</f>
        <v>115.19040000000005</v>
      </c>
      <c r="DQ30" s="14">
        <f t="shared" si="43"/>
        <v>30.550582519051975</v>
      </c>
      <c r="DR30" s="22">
        <f t="shared" si="16"/>
        <v>253.8322112206823</v>
      </c>
      <c r="DS30" s="62">
        <f t="shared" si="17"/>
        <v>486.35005409324583</v>
      </c>
      <c r="DT30" s="62">
        <f ca="1">AVERAGE(OFFSET($DS$3,0,0,'Données projet'!$E$14+1,1))-AVERAGE(OFFSET($H$3,0,0,'Données projet'!$E$14+1,1))</f>
        <v>325.58538970226539</v>
      </c>
      <c r="DU30" s="62">
        <f t="shared" si="44"/>
        <v>361.81085660423457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6.4860432845602203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6.4860432845602203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2.8888888888888888</v>
      </c>
      <c r="EJ30" s="13">
        <f>IF('Données projet'!$A$192&gt;35,EJ29+EI30-ER29,IF(A30&lt;'Données projet'!$A$192,$EG$205^A30,IF(A30='Données projet'!$A$192,'Données projet'!$B$192,EJ29+EI30-ER29)))</f>
        <v>77.999999999999957</v>
      </c>
      <c r="EK30" s="18">
        <f>EJ30*VLOOKUP('Données projet'!$B$15,Paramètres!$A$1:$I$89,3,0)*VLOOKUP('Données projet'!$B$15,Paramètres!$A$1:$I$89,5,0)</f>
        <v>75.441599999999951</v>
      </c>
      <c r="EL30" s="14">
        <f t="shared" si="45"/>
        <v>21.018854688556051</v>
      </c>
      <c r="EM30" s="22">
        <f t="shared" si="19"/>
        <v>168.00195858256834</v>
      </c>
      <c r="EN30" s="62">
        <f t="shared" si="20"/>
        <v>400.51980145513187</v>
      </c>
      <c r="EO30" s="62">
        <f ca="1">AVERAGE(OFFSET($EN$3,0,0,'Données projet'!$E$15+1,1))-AVERAGE(OFFSET($H$3,0,0,'Données projet'!$E$15+1,1))</f>
        <v>364.22267539944085</v>
      </c>
      <c r="EP30" s="62">
        <f t="shared" si="46"/>
        <v>241.947139538615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8</v>
      </c>
      <c r="FE30" s="13">
        <f>IF('Données projet'!$A$218&gt;35,FE29+FD30-FM29,IF(A30&lt;'Données projet'!$A$218,$FB$205^A30,IF(A30='Données projet'!$A$218,'Données projet'!$B$218,FE29+FD30-FM29)))</f>
        <v>112.99999999999997</v>
      </c>
      <c r="FF30" s="18">
        <f>FE30*VLOOKUP('Données projet'!$B$16,Paramètres!$A$1:$I$89,3,0)*VLOOKUP('Données projet'!$B$16,Paramètres!$A$1:$I$89,5,0)</f>
        <v>98.716799999999978</v>
      </c>
      <c r="FG30" s="14">
        <f t="shared" si="47"/>
        <v>26.656063438447475</v>
      </c>
      <c r="FH30" s="22">
        <f t="shared" si="22"/>
        <v>218.35773715529595</v>
      </c>
      <c r="FI30" s="62">
        <f t="shared" si="23"/>
        <v>450.87558002785943</v>
      </c>
      <c r="FJ30" s="62">
        <f ca="1">AVERAGE(OFFSET($FI$3,0,0,'Données projet'!$E$16+1,1))-AVERAGE(OFFSET($H$3,0,0,'Données projet'!$E$16+1,1))</f>
        <v>286.59837239471312</v>
      </c>
      <c r="FK30" s="62">
        <f t="shared" si="48"/>
        <v>319.26091328564689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6.8875049977011562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6.8875049977011562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10</v>
      </c>
      <c r="FZ30" s="13">
        <f>IF('Données projet'!$A$244&gt;35,FZ29+FY30-GH29,IF(A30&lt;'Données projet'!$A$244,$FW$205^A30,IF(A30='Données projet'!$A$244,'Données projet'!$B$244,FZ29+FY30-GH29)))</f>
        <v>142.00000000000006</v>
      </c>
      <c r="GA30" s="18">
        <f>FZ30*VLOOKUP('Données projet'!$B$17,Paramètres!$A$1:$I$89,3,0)*VLOOKUP('Données projet'!$B$17,Paramètres!$A$1:$I$89,5,0)</f>
        <v>95.253600000000034</v>
      </c>
      <c r="GB30" s="14">
        <f t="shared" si="49"/>
        <v>25.828052970353976</v>
      </c>
      <c r="GC30" s="22">
        <f t="shared" si="25"/>
        <v>210.88387892336655</v>
      </c>
      <c r="GD30" s="62">
        <f t="shared" si="26"/>
        <v>443.40172179593003</v>
      </c>
      <c r="GE30" s="62">
        <f ca="1">AVERAGE(OFFSET($GD$3,0,0,'Données projet'!$E$17+1,1))-AVERAGE(OFFSET($H$3,0,0,'Données projet'!$E$17+1,1))</f>
        <v>277.37570531842186</v>
      </c>
      <c r="GF30" s="62">
        <f t="shared" si="50"/>
        <v>310.00874200911312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projet'!$B$17,Paramètres!$A$1:$I$89,3,0)*0.475*44/12</f>
        <v>6.6107748861863787</v>
      </c>
      <c r="GM30" s="23">
        <f>EXP(-LN(2)/25)*GM29+(1-EXP(-LN(2)/25))/(LN(2)/25)*Calculateur!GH30*Calculateur!GJ30*VLOOKUP('Données projet'!$B$17,Paramètres!$A$1:$I$89,3,0)*0.475*44/12</f>
        <v>0</v>
      </c>
      <c r="GN30" s="23">
        <f>EXP(-LN(2)/2)*GN29+(1-EXP(-LN(2)/2))/(LN(2)/2)*GH30*GK30*VLOOKUP('Données projet'!$B$17,Paramètres!$A$1:$I$89,3,0)*0.475*44/12</f>
        <v>0</v>
      </c>
      <c r="GO30" s="23">
        <f t="shared" si="27"/>
        <v>6.6107748861863787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3.6111111111111112</v>
      </c>
      <c r="N31" s="14">
        <f>IF('Données projet'!$A$36&gt;35,N30+M31-V30,IF(A31&lt;'Données projet'!$A$36,$K$205^A31,IF(A31='Données projet'!$A$36,'Données projet'!$B$36,N30+M31-V30)))</f>
        <v>101.11111111111117</v>
      </c>
      <c r="O31" s="14">
        <f>N31*VLOOKUP('Données projet'!$B$9,Paramètres!$A$1:$I$89,3,0)*VLOOKUP('Données projet'!$B$9,Paramètres!$A$1:$I$89,5,0)</f>
        <v>88.33066666666673</v>
      </c>
      <c r="P31" s="14">
        <f t="shared" si="33"/>
        <v>24.162184350898826</v>
      </c>
      <c r="Q31" s="22">
        <f t="shared" si="2"/>
        <v>195.92504885559333</v>
      </c>
      <c r="R31" s="62">
        <f t="shared" si="0"/>
        <v>430.65651827757745</v>
      </c>
      <c r="S31" s="62">
        <f ca="1">AVERAGE(OFFSET($R$3,0,0,'Données projet'!$E$9+1,1))-AVERAGE(OFFSET($H$3,0,0,'Données projet'!$E$9+1,1))</f>
        <v>401.34220206028908</v>
      </c>
      <c r="T31" s="62">
        <f t="shared" si="34"/>
        <v>265.33314259106987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6.5</v>
      </c>
      <c r="AI31" s="14">
        <f>IF('Données projet'!$A$62&gt;35,AI30+AH31-AQ30,IF(A31&lt;'Données projet'!$A$62,$AF$205^A31,IF(A31='Données projet'!$A$62,'Données projet'!$B$62,AI30+AH31-AQ30)))</f>
        <v>144</v>
      </c>
      <c r="AJ31" s="14">
        <f>AI31*VLOOKUP('Données projet'!$B$10,Paramètres!$A$1:$I$89,3,0)*VLOOKUP('Données projet'!$B$10,Paramètres!$A$1:$I$89,5,0)</f>
        <v>67.391999999999996</v>
      </c>
      <c r="AK31" s="14">
        <f t="shared" si="35"/>
        <v>19.02437502991798</v>
      </c>
      <c r="AL31" s="22">
        <f t="shared" si="4"/>
        <v>150.5085198437738</v>
      </c>
      <c r="AM31" s="62">
        <f t="shared" si="5"/>
        <v>385.23998926575791</v>
      </c>
      <c r="AN31" s="62">
        <f ca="1">AVERAGE(OFFSET($AM$3,0,0,'Données projet'!$E$10+1,1))-AVERAGE(OFFSET($H$3,0,0,'Données projet'!$E$10+1,1))</f>
        <v>253.48761861464732</v>
      </c>
      <c r="AO31" s="62">
        <f t="shared" si="36"/>
        <v>219.50855998133855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3.5092136118785655</v>
      </c>
      <c r="AW31" s="23">
        <f>EXP(-LN(2)/2)*AW30+(1-EXP(-LN(2)/2))/(LN(2)/2)*AQ31*AT31*VLOOKUP('Données projet'!$B$10,Paramètres!$A$1:$I$89,3,0)*0.475*44/12</f>
        <v>0.33515208239080935</v>
      </c>
      <c r="AX31" s="23">
        <f t="shared" si="6"/>
        <v>3.8443656942693747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>
        <f>VLOOKUP(A31,'Données projet'!$A$87:$I$107,2,0)</f>
        <v>190</v>
      </c>
      <c r="BB31" s="13">
        <f>VLOOKUP(A31,'Données projet'!$A$87:$I$107,9,0)</f>
        <v>16</v>
      </c>
      <c r="BC31" s="13">
        <f t="array" ref="BC31">INDEX(BB:BB,MIN(IF(ISNUMBER(BB31:BB227),ROW(BB31:BB227),"")))</f>
        <v>16</v>
      </c>
      <c r="BD31" s="13">
        <f>IF('Données projet'!$A$88&gt;35,BD30+BC31-BL30,IF(A31&lt;'Données projet'!$A$88,$BA$205^A31,IF(A31='Données projet'!$A$88,'Données projet'!$B$88,BD30+BC31-BL30)))</f>
        <v>190</v>
      </c>
      <c r="BE31" s="14">
        <f>BD31*VLOOKUP('Données projet'!$B$11,Paramètres!$A$1:$I$89,3,0)*VLOOKUP('Données projet'!$B$11,Paramètres!$A$1:$I$89,5,0)</f>
        <v>218.88</v>
      </c>
      <c r="BF31" s="14">
        <f t="shared" si="37"/>
        <v>53.871386992239572</v>
      </c>
      <c r="BG31" s="22">
        <f t="shared" si="7"/>
        <v>475.04199901148399</v>
      </c>
      <c r="BH31" s="62">
        <f t="shared" si="8"/>
        <v>709.77346843346811</v>
      </c>
      <c r="BI31" s="62">
        <f ca="1">AVERAGE(OFFSET($BH$3,0,0,'Données projet'!$E$11+1,1))-AVERAGE(OFFSET($H$3,0,0,'Données projet'!$E$11+1,1))</f>
        <v>482.85256243111911</v>
      </c>
      <c r="BJ31" s="62">
        <f t="shared" si="38"/>
        <v>517.78430032567064</v>
      </c>
      <c r="BK31" s="16">
        <f>IF(ISNA(VLOOKUP(A31,'Données projet'!$A$87:$I$107,3,0)),0,VLOOKUP(A31,'Données projet'!$A$87:$I$107,3,0))</f>
        <v>4</v>
      </c>
      <c r="BL31" s="16">
        <f>IF(ISNA(VLOOKUP(A31,'Données projet'!$A$87:$I$107,4,0)),0,VLOOKUP(A31,'Données projet'!$A$87:$I$107,4,0))</f>
        <v>35</v>
      </c>
      <c r="BM31" s="17">
        <f>IF(ISNA(VLOOKUP(A31,'Données projet'!$A$87:$I$107,5,0)),0%,VLOOKUP(A31,'Données projet'!$A$87:$I$107,5,0)*VLOOKUP('Données projet'!$B$11,Paramètres!$A$1:$I$89,7,0))</f>
        <v>0.315</v>
      </c>
      <c r="BN31" s="17">
        <f>IF(ISNA(VLOOKUP(A31,'Données projet'!$A$87:$I$107,6,0)),0%,VLOOKUP(A31,'Données projet'!$A$87:$I$107,6,0)*VLOOKUP('Données projet'!$B$11,Paramètres!$A$1:$I$89,7,0))</f>
        <v>7.6500000000000012E-2</v>
      </c>
      <c r="BO31" s="17">
        <f>IF(ISNA(VLOOKUP(A31,'Données projet'!$A$87:$I$107,7,0)),0%,VLOOKUP(A31,'Données projet'!$A$87:$I$107,7,0))</f>
        <v>0.13</v>
      </c>
      <c r="BP31" s="23">
        <f>EXP(-LN(2)/35)*BP30+(1-EXP(-LN(2)/35))/(LN(2)/35)*BL31*BM31*VLOOKUP('Données projet'!$B$11,Paramètres!$A$1:$I$89,3,0)*0.475*44/12</f>
        <v>16.593845184447822</v>
      </c>
      <c r="BQ31" s="23">
        <f>EXP(-LN(2)/25)*BQ30+(1-EXP(-LN(2)/25))/(LN(2)/25)*Calculateur!BL31*Calculateur!BN31*VLOOKUP('Données projet'!$B$11,Paramètres!$A$1:$I$89,3,0)*0.475*44/12</f>
        <v>9.8540978838927842</v>
      </c>
      <c r="BR31" s="23">
        <f>EXP(-LN(2)/2)*BR30+(1-EXP(-LN(2)/2))/(LN(2)/2)*BL31*BO31*VLOOKUP('Données projet'!$B$11,Paramètres!$A$1:$I$89,3,0)*0.475*44/12</f>
        <v>4.4267452252541002</v>
      </c>
      <c r="BS31" s="24">
        <f t="shared" si="9"/>
        <v>30.874688293594708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>
        <f>VLOOKUP(A31,'Données projet'!$A$113:$I$133,2,0)</f>
        <v>190</v>
      </c>
      <c r="BW31" s="13">
        <f>VLOOKUP(A31,'Données projet'!$A$113:$I$133,9,0)</f>
        <v>16</v>
      </c>
      <c r="BX31" s="13">
        <f t="array" ref="BX31">INDEX(BW:BW,MIN(IF(ISNUMBER(BW31:BW227),ROW(BW31:BW227),"")))</f>
        <v>16</v>
      </c>
      <c r="BY31" s="13">
        <f>IF('Données projet'!$A$114&gt;35,BY30+BX31-CG30,IF(A31&lt;'Données projet'!$A$114,$BV$205^A31,IF(A31='Données projet'!$A$114,'Données projet'!$B$114,BY30+BX31-CG30)))</f>
        <v>190</v>
      </c>
      <c r="BZ31" s="14">
        <f>BY31*VLOOKUP('Données projet'!$B$12,Paramètres!$A$1:$I$89,3,0)*VLOOKUP('Données projet'!$B$12,Paramètres!$A$1:$I$89,5,0)</f>
        <v>113.62</v>
      </c>
      <c r="CA31" s="14">
        <f t="shared" si="39"/>
        <v>30.182270904187739</v>
      </c>
      <c r="CB31" s="22">
        <f t="shared" si="10"/>
        <v>250.45562182479364</v>
      </c>
      <c r="CC31" s="62">
        <f t="shared" si="11"/>
        <v>485.18709124677775</v>
      </c>
      <c r="CD31" s="62">
        <f ca="1">AVERAGE(OFFSET($CC$3,0,0,'Données projet'!$E$12+1,1))-AVERAGE(OFFSET($H$3,0,0,'Données projet'!$E$12+1,1))</f>
        <v>275.76900776033335</v>
      </c>
      <c r="CE31" s="62">
        <f t="shared" si="40"/>
        <v>299.36898480605191</v>
      </c>
      <c r="CF31" s="16">
        <f>IF(ISNA(VLOOKUP(A31,'Données projet'!$A$113:$I$133,3,0)),0,VLOOKUP(A31,'Données projet'!$A$113:$I$133,3,0))</f>
        <v>4</v>
      </c>
      <c r="CG31" s="16">
        <f>IF(ISNA(VLOOKUP(A31,'Données projet'!$A$113:$I$133,4,0)),0,VLOOKUP(A31,'Données projet'!$A$113:$I$133,4,0))</f>
        <v>35</v>
      </c>
      <c r="CH31" s="17">
        <f>IF(ISNA(VLOOKUP(A31,'Données projet'!$A$113:$I$133,5,0)),0%,VLOOKUP(A31,'Données projet'!$A$113:$I$133,5,0)*VLOOKUP('Données projet'!$B$12,Paramètres!$A$1:$I$89,7,0))</f>
        <v>0.315</v>
      </c>
      <c r="CI31" s="17">
        <f>IF(ISNA(VLOOKUP(A31,'Données projet'!$A$113:$I$133,6,0)),0%,VLOOKUP(A31,'Données projet'!$A$113:$I$133,6,0)*VLOOKUP('Données projet'!$B$12,Paramètres!$A$1:$I$89,7,0))</f>
        <v>7.6500000000000012E-2</v>
      </c>
      <c r="CJ31" s="17">
        <f>IF(ISNA(VLOOKUP(A31,'Données projet'!$A$113:$I$133,7,0)),0%,VLOOKUP(A31,'Données projet'!$A$113:$I$133,7,0))</f>
        <v>0.13</v>
      </c>
      <c r="CK31" s="23">
        <f>EXP(-LN(2)/35)*CK30+(1-EXP(-LN(2)/35))/(LN(2)/35)*CG31*CH31*VLOOKUP('Données projet'!$B$12,Paramètres!$A$1:$I$89,3,0)*0.475*44/12</f>
        <v>15.902434968429164</v>
      </c>
      <c r="CL31" s="23">
        <f>EXP(-LN(2)/25)*CL30+(1-EXP(-LN(2)/25))/(LN(2)/25)*Calculateur!CG31*Calculateur!CI31*VLOOKUP('Données projet'!$B$12,Paramètres!$A$1:$I$89,3,0)*0.475*44/12</f>
        <v>9.4435104720639185</v>
      </c>
      <c r="CM31" s="23">
        <f>EXP(-LN(2)/2)*CM30+(1-EXP(-LN(2)/2))/(LN(2)/2)*CG31*CJ31*VLOOKUP('Données projet'!$B$12,Paramètres!$A$1:$I$89,3,0)*0.475*44/12</f>
        <v>4.242297507535179</v>
      </c>
      <c r="CN31" s="24">
        <f t="shared" si="12"/>
        <v>29.58824294802826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3.6111111111111112</v>
      </c>
      <c r="CT31" s="13">
        <f>IF('Données projet'!$A$140&gt;35,CT30+CS31-DB30,IF(A31&lt;'Données projet'!$A$140,$CQ$205^A31,IF(A31='Données projet'!$A$140,'Données projet'!$B$140,CT30+CS31-DB30)))</f>
        <v>101.11111111111117</v>
      </c>
      <c r="CU31" s="18">
        <f>CT31*VLOOKUP('Données projet'!$B$13,Paramètres!$A$1:$I$89,3,0)*VLOOKUP('Données projet'!$B$13,Paramètres!$A$1:$I$89,5,0)</f>
        <v>110.4133333333334</v>
      </c>
      <c r="CV31" s="14">
        <f t="shared" si="41"/>
        <v>29.428347862377077</v>
      </c>
      <c r="CW31" s="22">
        <f t="shared" si="13"/>
        <v>243.55759474919572</v>
      </c>
      <c r="CX31" s="62">
        <f t="shared" si="14"/>
        <v>478.2890641711798</v>
      </c>
      <c r="CY31" s="62">
        <f ca="1">AVERAGE(OFFSET($CX$3,0,0,'Données projet'!$E$13+1,1))-AVERAGE(OFFSET($H$3,0,0,'Données projet'!$E$13+1,1))</f>
        <v>482.24068797679558</v>
      </c>
      <c r="CZ31" s="62">
        <f t="shared" si="42"/>
        <v>316.28941055521693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10</v>
      </c>
      <c r="DO31" s="13">
        <f>IF('Données projet'!$A$166&gt;35,DO30+DN31-DW30,IF(A31&lt;'Données projet'!$A$166,$DL$205^A31,IF(A31='Données projet'!$A$166,'Données projet'!$B$166,DO30+DN31-DW30)))</f>
        <v>152.00000000000006</v>
      </c>
      <c r="DP31" s="18">
        <f>DO31*VLOOKUP('Données projet'!$B$14,Paramètres!$A$1:$I$89,3,0)*VLOOKUP('Données projet'!$B$14,Paramètres!$A$1:$I$89,5,0)</f>
        <v>123.30240000000006</v>
      </c>
      <c r="DQ31" s="14">
        <f t="shared" si="43"/>
        <v>32.444008665071919</v>
      </c>
      <c r="DR31" s="22">
        <f t="shared" si="16"/>
        <v>271.25832842500034</v>
      </c>
      <c r="DS31" s="62">
        <f t="shared" si="17"/>
        <v>505.9897978469844</v>
      </c>
      <c r="DT31" s="62">
        <f ca="1">AVERAGE(OFFSET($DS$3,0,0,'Données projet'!$E$14+1,1))-AVERAGE(OFFSET($H$3,0,0,'Données projet'!$E$14+1,1))</f>
        <v>325.58538970226539</v>
      </c>
      <c r="DU31" s="62">
        <f t="shared" si="44"/>
        <v>361.81085660423457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6.358855931845766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6.358855931845766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2.8888888888888888</v>
      </c>
      <c r="EJ31" s="13">
        <f>IF('Données projet'!$A$192&gt;35,EJ30+EI31-ER30,IF(A31&lt;'Données projet'!$A$192,$EG$205^A31,IF(A31='Données projet'!$A$192,'Données projet'!$B$192,EJ30+EI31-ER30)))</f>
        <v>80.888888888888843</v>
      </c>
      <c r="EK31" s="18">
        <f>EJ31*VLOOKUP('Données projet'!$B$15,Paramètres!$A$1:$I$89,3,0)*VLOOKUP('Données projet'!$B$15,Paramètres!$A$1:$I$89,5,0)</f>
        <v>78.2357333333333</v>
      </c>
      <c r="EL31" s="14">
        <f t="shared" si="45"/>
        <v>21.705253491009127</v>
      </c>
      <c r="EM31" s="22">
        <f t="shared" si="19"/>
        <v>174.06388538572972</v>
      </c>
      <c r="EN31" s="62">
        <f t="shared" si="20"/>
        <v>408.79535480771381</v>
      </c>
      <c r="EO31" s="62">
        <f ca="1">AVERAGE(OFFSET($EN$3,0,0,'Données projet'!$E$15+1,1))-AVERAGE(OFFSET($H$3,0,0,'Données projet'!$E$15+1,1))</f>
        <v>364.22267539944085</v>
      </c>
      <c r="EP31" s="62">
        <f t="shared" si="46"/>
        <v>241.947139538615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8</v>
      </c>
      <c r="FE31" s="13">
        <f>IF('Données projet'!$A$218&gt;35,FE30+FD31-FM30,IF(A31&lt;'Données projet'!$A$218,$FB$205^A31,IF(A31='Données projet'!$A$218,'Données projet'!$B$218,FE30+FD31-FM30)))</f>
        <v>120.99999999999997</v>
      </c>
      <c r="FF31" s="18">
        <f>FE31*VLOOKUP('Données projet'!$B$16,Paramètres!$A$1:$I$89,3,0)*VLOOKUP('Données projet'!$B$16,Paramètres!$A$1:$I$89,5,0)</f>
        <v>105.70559999999999</v>
      </c>
      <c r="FG31" s="14">
        <f t="shared" si="47"/>
        <v>28.316857405559993</v>
      </c>
      <c r="FH31" s="22">
        <f t="shared" si="22"/>
        <v>233.42244664801694</v>
      </c>
      <c r="FI31" s="62">
        <f t="shared" si="23"/>
        <v>468.15391607000106</v>
      </c>
      <c r="FJ31" s="62">
        <f ca="1">AVERAGE(OFFSET($FI$3,0,0,'Données projet'!$E$16+1,1))-AVERAGE(OFFSET($H$3,0,0,'Données projet'!$E$16+1,1))</f>
        <v>286.59837239471312</v>
      </c>
      <c r="FK31" s="62">
        <f t="shared" si="48"/>
        <v>319.26091328564689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6.752445225659474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6.752445225659474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10</v>
      </c>
      <c r="FZ31" s="13">
        <f>IF('Données projet'!$A$244&gt;35,FZ30+FY31-GH30,IF(A31&lt;'Données projet'!$A$244,$FW$205^A31,IF(A31='Données projet'!$A$244,'Données projet'!$B$244,FZ30+FY31-GH30)))</f>
        <v>152.00000000000006</v>
      </c>
      <c r="GA31" s="18">
        <f>FZ31*VLOOKUP('Données projet'!$B$17,Paramètres!$A$1:$I$89,3,0)*VLOOKUP('Données projet'!$B$17,Paramètres!$A$1:$I$89,5,0)</f>
        <v>101.96160000000005</v>
      </c>
      <c r="GB31" s="14">
        <f t="shared" si="49"/>
        <v>27.428792032018649</v>
      </c>
      <c r="GC31" s="22">
        <f t="shared" si="25"/>
        <v>225.35493278909925</v>
      </c>
      <c r="GD31" s="62">
        <f t="shared" si="26"/>
        <v>460.08640221108334</v>
      </c>
      <c r="GE31" s="62">
        <f ca="1">AVERAGE(OFFSET($GD$3,0,0,'Données projet'!$E$17+1,1))-AVERAGE(OFFSET($H$3,0,0,'Données projet'!$E$17+1,1))</f>
        <v>277.37570531842186</v>
      </c>
      <c r="GF31" s="62">
        <f t="shared" si="50"/>
        <v>310.00874200911312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projet'!$B$17,Paramètres!$A$1:$I$89,3,0)*0.475*44/12</f>
        <v>6.4811416228428005</v>
      </c>
      <c r="GM31" s="23">
        <f>EXP(-LN(2)/25)*GM30+(1-EXP(-LN(2)/25))/(LN(2)/25)*Calculateur!GH31*Calculateur!GJ31*VLOOKUP('Données projet'!$B$17,Paramètres!$A$1:$I$89,3,0)*0.475*44/12</f>
        <v>0</v>
      </c>
      <c r="GN31" s="23">
        <f>EXP(-LN(2)/2)*GN30+(1-EXP(-LN(2)/2))/(LN(2)/2)*GH31*GK31*VLOOKUP('Données projet'!$B$17,Paramètres!$A$1:$I$89,3,0)*0.475*44/12</f>
        <v>0</v>
      </c>
      <c r="GO31" s="23">
        <f t="shared" si="27"/>
        <v>6.4811416228428005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3.6111111111111112</v>
      </c>
      <c r="N32" s="14">
        <f>IF('Données projet'!$A$36&gt;35,N31+M32-V31,IF(A32&lt;'Données projet'!$A$36,$K$205^A32,IF(A32='Données projet'!$A$36,'Données projet'!$B$36,N31+M32-V31)))</f>
        <v>104.72222222222229</v>
      </c>
      <c r="O32" s="14">
        <f>N32*VLOOKUP('Données projet'!$B$9,Paramètres!$A$1:$I$89,3,0)*VLOOKUP('Données projet'!$B$9,Paramètres!$A$1:$I$89,5,0)</f>
        <v>91.485333333333401</v>
      </c>
      <c r="P32" s="14">
        <f t="shared" si="33"/>
        <v>24.923109639848377</v>
      </c>
      <c r="Q32" s="22">
        <f t="shared" si="2"/>
        <v>202.74470484495828</v>
      </c>
      <c r="R32" s="62">
        <f t="shared" si="0"/>
        <v>439.67260216773411</v>
      </c>
      <c r="S32" s="62">
        <f ca="1">AVERAGE(OFFSET($R$3,0,0,'Données projet'!$E$9+1,1))-AVERAGE(OFFSET($H$3,0,0,'Données projet'!$E$9+1,1))</f>
        <v>401.34220206028908</v>
      </c>
      <c r="T32" s="62">
        <f t="shared" si="34"/>
        <v>265.33314259106987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6.5</v>
      </c>
      <c r="AI32" s="14">
        <f>IF('Données projet'!$A$62&gt;35,AI31+AH32-AQ31,IF(A32&lt;'Données projet'!$A$62,$AF$205^A32,IF(A32='Données projet'!$A$62,'Données projet'!$B$62,AI31+AH32-AQ31)))</f>
        <v>150.5</v>
      </c>
      <c r="AJ32" s="14">
        <f>AI32*VLOOKUP('Données projet'!$B$10,Paramètres!$A$1:$I$89,3,0)*VLOOKUP('Données projet'!$B$10,Paramètres!$A$1:$I$89,5,0)</f>
        <v>70.433999999999997</v>
      </c>
      <c r="AK32" s="14">
        <f t="shared" si="35"/>
        <v>19.78119626646561</v>
      </c>
      <c r="AL32" s="22">
        <f t="shared" si="4"/>
        <v>157.12480016409424</v>
      </c>
      <c r="AM32" s="62">
        <f t="shared" si="5"/>
        <v>394.0526974868701</v>
      </c>
      <c r="AN32" s="62">
        <f ca="1">AVERAGE(OFFSET($AM$3,0,0,'Données projet'!$E$10+1,1))-AVERAGE(OFFSET($H$3,0,0,'Données projet'!$E$10+1,1))</f>
        <v>253.48761861464732</v>
      </c>
      <c r="AO32" s="62">
        <f t="shared" si="36"/>
        <v>219.50855998133855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3.4132539811202225</v>
      </c>
      <c r="AW32" s="23">
        <f>EXP(-LN(2)/2)*AW31+(1-EXP(-LN(2)/2))/(LN(2)/2)*AQ32*AT32*VLOOKUP('Données projet'!$B$10,Paramètres!$A$1:$I$89,3,0)*0.475*44/12</f>
        <v>0.23698831018733379</v>
      </c>
      <c r="AX32" s="23">
        <f t="shared" si="6"/>
        <v>3.6502422913075563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14.833333333333334</v>
      </c>
      <c r="BD32" s="13">
        <f>IF('Données projet'!$A$88&gt;35,BD31+BC32-BL31,IF(A32&lt;'Données projet'!$A$88,$BA$205^A32,IF(A32='Données projet'!$A$88,'Données projet'!$B$88,BD31+BC32-BL31)))</f>
        <v>169.83333333333334</v>
      </c>
      <c r="BE32" s="14">
        <f>BD32*VLOOKUP('Données projet'!$B$11,Paramètres!$A$1:$I$89,3,0)*VLOOKUP('Données projet'!$B$11,Paramètres!$A$1:$I$89,5,0)</f>
        <v>195.648</v>
      </c>
      <c r="BF32" s="14">
        <f t="shared" si="37"/>
        <v>48.786508660951711</v>
      </c>
      <c r="BG32" s="22">
        <f t="shared" si="7"/>
        <v>425.72343591782419</v>
      </c>
      <c r="BH32" s="62">
        <f t="shared" si="8"/>
        <v>662.65133324060002</v>
      </c>
      <c r="BI32" s="62">
        <f ca="1">AVERAGE(OFFSET($BH$3,0,0,'Données projet'!$E$11+1,1))-AVERAGE(OFFSET($H$3,0,0,'Données projet'!$E$11+1,1))</f>
        <v>482.85256243111911</v>
      </c>
      <c r="BJ32" s="62">
        <f t="shared" si="38"/>
        <v>517.78430032567064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16.268450001626974</v>
      </c>
      <c r="BQ32" s="23">
        <f>EXP(-LN(2)/25)*BQ31+(1-EXP(-LN(2)/25))/(LN(2)/25)*Calculateur!BL32*Calculateur!BN32*VLOOKUP('Données projet'!$B$11,Paramètres!$A$1:$I$89,3,0)*0.475*44/12</f>
        <v>9.5846370590532501</v>
      </c>
      <c r="BR32" s="23">
        <f>EXP(-LN(2)/2)*BR31+(1-EXP(-LN(2)/2))/(LN(2)/2)*BL32*BO32*VLOOKUP('Données projet'!$B$11,Paramètres!$A$1:$I$89,3,0)*0.475*44/12</f>
        <v>3.1301815673623454</v>
      </c>
      <c r="BS32" s="24">
        <f t="shared" si="9"/>
        <v>28.98326862804257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14.833333333333334</v>
      </c>
      <c r="BY32" s="13">
        <f>IF('Données projet'!$A$114&gt;35,BY31+BX32-CG31,IF(A32&lt;'Données projet'!$A$114,$BV$205^A32,IF(A32='Données projet'!$A$114,'Données projet'!$B$114,BY31+BX32-CG31)))</f>
        <v>169.83333333333334</v>
      </c>
      <c r="BZ32" s="14">
        <f>BY32*VLOOKUP('Données projet'!$B$12,Paramètres!$A$1:$I$89,3,0)*VLOOKUP('Données projet'!$B$12,Paramètres!$A$1:$I$89,5,0)</f>
        <v>101.56033333333333</v>
      </c>
      <c r="CA32" s="14">
        <f t="shared" si="39"/>
        <v>27.333389821325063</v>
      </c>
      <c r="CB32" s="22">
        <f t="shared" si="10"/>
        <v>224.48990116103005</v>
      </c>
      <c r="CC32" s="62">
        <f t="shared" si="11"/>
        <v>461.41779848380588</v>
      </c>
      <c r="CD32" s="62">
        <f ca="1">AVERAGE(OFFSET($CC$3,0,0,'Données projet'!$E$12+1,1))-AVERAGE(OFFSET($H$3,0,0,'Données projet'!$E$12+1,1))</f>
        <v>275.76900776033335</v>
      </c>
      <c r="CE32" s="62">
        <f t="shared" si="40"/>
        <v>299.36898480605191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15.59059791822585</v>
      </c>
      <c r="CL32" s="23">
        <f>EXP(-LN(2)/25)*CL31+(1-EXP(-LN(2)/25))/(LN(2)/25)*Calculateur!CG32*Calculateur!CI32*VLOOKUP('Données projet'!$B$12,Paramètres!$A$1:$I$89,3,0)*0.475*44/12</f>
        <v>9.1852771815926975</v>
      </c>
      <c r="CM32" s="23">
        <f>EXP(-LN(2)/2)*CM31+(1-EXP(-LN(2)/2))/(LN(2)/2)*CG32*CJ32*VLOOKUP('Données projet'!$B$12,Paramètres!$A$1:$I$89,3,0)*0.475*44/12</f>
        <v>2.9997573353889138</v>
      </c>
      <c r="CN32" s="24">
        <f t="shared" si="12"/>
        <v>27.775632435207463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3.6111111111111112</v>
      </c>
      <c r="CT32" s="13">
        <f>IF('Données projet'!$A$140&gt;35,CT31+CS32-DB31,IF(A32&lt;'Données projet'!$A$140,$CQ$205^A32,IF(A32='Données projet'!$A$140,'Données projet'!$B$140,CT31+CS32-DB31)))</f>
        <v>104.72222222222229</v>
      </c>
      <c r="CU32" s="18">
        <f>CT32*VLOOKUP('Données projet'!$B$13,Paramètres!$A$1:$I$89,3,0)*VLOOKUP('Données projet'!$B$13,Paramètres!$A$1:$I$89,5,0)</f>
        <v>114.35666666666674</v>
      </c>
      <c r="CV32" s="14">
        <f t="shared" si="41"/>
        <v>30.355117304050264</v>
      </c>
      <c r="CW32" s="22">
        <f t="shared" si="13"/>
        <v>252.03969041566543</v>
      </c>
      <c r="CX32" s="62">
        <f t="shared" si="14"/>
        <v>488.96758773844124</v>
      </c>
      <c r="CY32" s="62">
        <f ca="1">AVERAGE(OFFSET($CX$3,0,0,'Données projet'!$E$13+1,1))-AVERAGE(OFFSET($H$3,0,0,'Données projet'!$E$13+1,1))</f>
        <v>482.24068797679558</v>
      </c>
      <c r="CZ32" s="62">
        <f t="shared" si="42"/>
        <v>316.28941055521693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10</v>
      </c>
      <c r="DO32" s="13">
        <f>IF('Données projet'!$A$166&gt;35,DO31+DN32-DW31,IF(A32&lt;'Données projet'!$A$166,$DL$205^A32,IF(A32='Données projet'!$A$166,'Données projet'!$B$166,DO31+DN32-DW31)))</f>
        <v>162.00000000000006</v>
      </c>
      <c r="DP32" s="18">
        <f>DO32*VLOOKUP('Données projet'!$B$14,Paramètres!$A$1:$I$89,3,0)*VLOOKUP('Données projet'!$B$14,Paramètres!$A$1:$I$89,5,0)</f>
        <v>131.41440000000006</v>
      </c>
      <c r="DQ32" s="14">
        <f t="shared" si="43"/>
        <v>34.32297952601067</v>
      </c>
      <c r="DR32" s="22">
        <f t="shared" si="16"/>
        <v>288.65926934113531</v>
      </c>
      <c r="DS32" s="62">
        <f t="shared" si="17"/>
        <v>525.58716666391115</v>
      </c>
      <c r="DT32" s="62">
        <f ca="1">AVERAGE(OFFSET($DS$3,0,0,'Données projet'!$E$14+1,1))-AVERAGE(OFFSET($H$3,0,0,'Données projet'!$E$14+1,1))</f>
        <v>325.58538970226539</v>
      </c>
      <c r="DU32" s="62">
        <f t="shared" si="44"/>
        <v>361.81085660423457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6.2341626455414172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6.2341626455414172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2.8888888888888888</v>
      </c>
      <c r="EJ32" s="13">
        <f>IF('Données projet'!$A$192&gt;35,EJ31+EI32-ER31,IF(A32&lt;'Données projet'!$A$192,$EG$205^A32,IF(A32='Données projet'!$A$192,'Données projet'!$B$192,EJ31+EI32-ER31)))</f>
        <v>83.777777777777729</v>
      </c>
      <c r="EK32" s="18">
        <f>EJ32*VLOOKUP('Données projet'!$B$15,Paramètres!$A$1:$I$89,3,0)*VLOOKUP('Données projet'!$B$15,Paramètres!$A$1:$I$89,5,0)</f>
        <v>81.029866666666621</v>
      </c>
      <c r="EL32" s="14">
        <f t="shared" si="45"/>
        <v>22.388804118904034</v>
      </c>
      <c r="EM32" s="22">
        <f t="shared" si="19"/>
        <v>180.12085161820221</v>
      </c>
      <c r="EN32" s="62">
        <f t="shared" si="20"/>
        <v>417.04874894097804</v>
      </c>
      <c r="EO32" s="62">
        <f ca="1">AVERAGE(OFFSET($EN$3,0,0,'Données projet'!$E$15+1,1))-AVERAGE(OFFSET($H$3,0,0,'Données projet'!$E$15+1,1))</f>
        <v>364.22267539944085</v>
      </c>
      <c r="EP32" s="62">
        <f t="shared" si="46"/>
        <v>241.947139538615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8</v>
      </c>
      <c r="FE32" s="13">
        <f>IF('Données projet'!$A$218&gt;35,FE31+FD32-FM31,IF(A32&lt;'Données projet'!$A$218,$FB$205^A32,IF(A32='Données projet'!$A$218,'Données projet'!$B$218,FE31+FD32-FM31)))</f>
        <v>128.99999999999997</v>
      </c>
      <c r="FF32" s="18">
        <f>FE32*VLOOKUP('Données projet'!$B$16,Paramètres!$A$1:$I$89,3,0)*VLOOKUP('Données projet'!$B$16,Paramètres!$A$1:$I$89,5,0)</f>
        <v>112.6944</v>
      </c>
      <c r="FG32" s="14">
        <f t="shared" si="47"/>
        <v>29.964909381330632</v>
      </c>
      <c r="FH32" s="22">
        <f t="shared" si="22"/>
        <v>248.46496383915087</v>
      </c>
      <c r="FI32" s="62">
        <f t="shared" si="23"/>
        <v>485.3928611619267</v>
      </c>
      <c r="FJ32" s="62">
        <f ca="1">AVERAGE(OFFSET($FI$3,0,0,'Données projet'!$E$16+1,1))-AVERAGE(OFFSET($H$3,0,0,'Données projet'!$E$16+1,1))</f>
        <v>286.59837239471312</v>
      </c>
      <c r="FK32" s="62">
        <f t="shared" si="48"/>
        <v>319.26091328564689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6.6200338933692029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6.6200338933692029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10</v>
      </c>
      <c r="FZ32" s="13">
        <f>IF('Données projet'!$A$244&gt;35,FZ31+FY32-GH31,IF(A32&lt;'Données projet'!$A$244,$FW$205^A32,IF(A32='Données projet'!$A$244,'Données projet'!$B$244,FZ31+FY32-GH31)))</f>
        <v>162.00000000000006</v>
      </c>
      <c r="GA32" s="18">
        <f>FZ32*VLOOKUP('Données projet'!$B$17,Paramètres!$A$1:$I$89,3,0)*VLOOKUP('Données projet'!$B$17,Paramètres!$A$1:$I$89,5,0)</f>
        <v>108.66960000000005</v>
      </c>
      <c r="GB32" s="14">
        <f t="shared" si="49"/>
        <v>29.017310316271104</v>
      </c>
      <c r="GC32" s="22">
        <f t="shared" si="25"/>
        <v>239.80470213417223</v>
      </c>
      <c r="GD32" s="62">
        <f t="shared" si="26"/>
        <v>476.73259945694804</v>
      </c>
      <c r="GE32" s="62">
        <f ca="1">AVERAGE(OFFSET($GD$3,0,0,'Données projet'!$E$17+1,1))-AVERAGE(OFFSET($H$3,0,0,'Données projet'!$E$17+1,1))</f>
        <v>277.37570531842186</v>
      </c>
      <c r="GF32" s="62">
        <f t="shared" si="50"/>
        <v>310.00874200911312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projet'!$B$17,Paramètres!$A$1:$I$89,3,0)*0.475*44/12</f>
        <v>6.3540503887249065</v>
      </c>
      <c r="GM32" s="23">
        <f>EXP(-LN(2)/25)*GM31+(1-EXP(-LN(2)/25))/(LN(2)/25)*Calculateur!GH32*Calculateur!GJ32*VLOOKUP('Données projet'!$B$17,Paramètres!$A$1:$I$89,3,0)*0.475*44/12</f>
        <v>0</v>
      </c>
      <c r="GN32" s="23">
        <f>EXP(-LN(2)/2)*GN31+(1-EXP(-LN(2)/2))/(LN(2)/2)*GH32*GK32*VLOOKUP('Données projet'!$B$17,Paramètres!$A$1:$I$89,3,0)*0.475*44/12</f>
        <v>0</v>
      </c>
      <c r="GO32" s="23">
        <f t="shared" si="27"/>
        <v>6.3540503887249065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3.6111111111111112</v>
      </c>
      <c r="N33" s="14">
        <f>IF('Données projet'!$A$36&gt;35,N32+M33-V32,IF(A33&lt;'Données projet'!$A$36,$K$205^A33,IF(A33='Données projet'!$A$36,'Données projet'!$B$36,N32+M33-V32)))</f>
        <v>108.3333333333334</v>
      </c>
      <c r="O33" s="14">
        <f>N33*VLOOKUP('Données projet'!$B$9,Paramètres!$A$1:$I$89,3,0)*VLOOKUP('Données projet'!$B$9,Paramètres!$A$1:$I$89,5,0)</f>
        <v>94.640000000000072</v>
      </c>
      <c r="P33" s="14">
        <f t="shared" si="33"/>
        <v>25.680986215135597</v>
      </c>
      <c r="Q33" s="22">
        <f t="shared" si="2"/>
        <v>209.55905099136126</v>
      </c>
      <c r="R33" s="62">
        <f t="shared" si="0"/>
        <v>448.66647592440324</v>
      </c>
      <c r="S33" s="62">
        <f ca="1">AVERAGE(OFFSET($R$3,0,0,'Données projet'!$E$9+1,1))-AVERAGE(OFFSET($H$3,0,0,'Données projet'!$E$9+1,1))</f>
        <v>401.34220206028908</v>
      </c>
      <c r="T33" s="62">
        <f t="shared" si="34"/>
        <v>265.33314259106987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157</v>
      </c>
      <c r="AG33" s="13">
        <f>VLOOKUP(A33,'Données projet'!$A$61:$I$81,9,0)</f>
        <v>6.5</v>
      </c>
      <c r="AH33" s="13">
        <f t="array" ref="AH33">INDEX(AG:AG,MIN(IF(ISNUMBER(AG33:AG229),ROW(AG33:AG229),"")))</f>
        <v>6.5</v>
      </c>
      <c r="AI33" s="14">
        <f>IF('Données projet'!$A$62&gt;35,AI32+AH33-AQ32,IF(A33&lt;'Données projet'!$A$62,$AF$205^A33,IF(A33='Données projet'!$A$62,'Données projet'!$B$62,AI32+AH33-AQ32)))</f>
        <v>157</v>
      </c>
      <c r="AJ33" s="14">
        <f>AI33*VLOOKUP('Données projet'!$B$10,Paramètres!$A$1:$I$89,3,0)*VLOOKUP('Données projet'!$B$10,Paramètres!$A$1:$I$89,5,0)</f>
        <v>73.475999999999999</v>
      </c>
      <c r="AK33" s="14">
        <f t="shared" si="35"/>
        <v>20.534221080361672</v>
      </c>
      <c r="AL33" s="22">
        <f t="shared" si="4"/>
        <v>163.73446838162991</v>
      </c>
      <c r="AM33" s="62">
        <f t="shared" si="5"/>
        <v>402.84189331467189</v>
      </c>
      <c r="AN33" s="62">
        <f ca="1">AVERAGE(OFFSET($AM$3,0,0,'Données projet'!$E$10+1,1))-AVERAGE(OFFSET($H$3,0,0,'Données projet'!$E$10+1,1))</f>
        <v>253.48761861464732</v>
      </c>
      <c r="AO33" s="62">
        <f t="shared" si="36"/>
        <v>219.50855998133855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31</v>
      </c>
      <c r="AR33" s="17">
        <f>IF(ISNA(VLOOKUP(A33,'Données projet'!$A$61:$I$81,5,0)),0%,VLOOKUP(A33,'Données projet'!$A$61:$I$81,5,0)*VLOOKUP('Données projet'!$B$10,Paramètres!$A$1:$I$89,7,0))</f>
        <v>0.38500000000000001</v>
      </c>
      <c r="AS33" s="17">
        <f>IF(ISNA(VLOOKUP(A33,'Données projet'!$A$61:$I$81,6,0)),0%,VLOOKUP(A33,'Données projet'!$A$61:$I$81,6,0)*VLOOKUP('Données projet'!$B$10,Paramètres!$A$1:$I$89,7,0))</f>
        <v>9.3500000000000014E-2</v>
      </c>
      <c r="AT33" s="17">
        <f>IF(ISNA(VLOOKUP(A33,'Données projet'!$A$61:$I$81,7,0)),0%,VLOOKUP(A33,'Données projet'!$A$61:$I$81,7,0))</f>
        <v>0.13</v>
      </c>
      <c r="AU33" s="23">
        <f>EXP(-LN(2)/35)*AU32+(1-EXP(-LN(2)/35))/(LN(2)/35)*AQ33*AR33*VLOOKUP('Données projet'!$B$10,Paramètres!$A$1:$I$89,3,0)*0.475*44/12</f>
        <v>7.4096318910139871</v>
      </c>
      <c r="AV33" s="23">
        <f>EXP(-LN(2)/25)*AV32+(1-EXP(-LN(2)/25))/(LN(2)/25)*Calculateur!AQ33*Calculateur!AS33*VLOOKUP('Données projet'!$B$10,Paramètres!$A$1:$I$89,3,0)*0.475*44/12</f>
        <v>5.1123151557749145</v>
      </c>
      <c r="AW33" s="23">
        <f>EXP(-LN(2)/2)*AW32+(1-EXP(-LN(2)/2))/(LN(2)/2)*AQ33*AT33*VLOOKUP('Données projet'!$B$10,Paramètres!$A$1:$I$89,3,0)*0.475*44/12</f>
        <v>2.3030114436222204</v>
      </c>
      <c r="AX33" s="23">
        <f t="shared" si="6"/>
        <v>14.824958490411124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14.833333333333334</v>
      </c>
      <c r="BD33" s="13">
        <f>IF('Données projet'!$A$88&gt;35,BD32+BC33-BL32,IF(A33&lt;'Données projet'!$A$88,$BA$205^A33,IF(A33='Données projet'!$A$88,'Données projet'!$B$88,BD32+BC33-BL32)))</f>
        <v>184.66666666666669</v>
      </c>
      <c r="BE33" s="14">
        <f>BD33*VLOOKUP('Données projet'!$B$11,Paramètres!$A$1:$I$89,3,0)*VLOOKUP('Données projet'!$B$11,Paramètres!$A$1:$I$89,5,0)</f>
        <v>212.73599999999999</v>
      </c>
      <c r="BF33" s="14">
        <f t="shared" si="37"/>
        <v>52.533019364188782</v>
      </c>
      <c r="BG33" s="22">
        <f t="shared" si="7"/>
        <v>462.01020872596206</v>
      </c>
      <c r="BH33" s="62">
        <f t="shared" si="8"/>
        <v>701.11763365900401</v>
      </c>
      <c r="BI33" s="62">
        <f ca="1">AVERAGE(OFFSET($BH$3,0,0,'Données projet'!$E$11+1,1))-AVERAGE(OFFSET($H$3,0,0,'Données projet'!$E$11+1,1))</f>
        <v>482.85256243111911</v>
      </c>
      <c r="BJ33" s="62">
        <f t="shared" si="38"/>
        <v>517.78430032567064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15.949435619869778</v>
      </c>
      <c r="BQ33" s="23">
        <f>EXP(-LN(2)/25)*BQ32+(1-EXP(-LN(2)/25))/(LN(2)/25)*Calculateur!BL33*Calculateur!BN33*VLOOKUP('Données projet'!$B$11,Paramètres!$A$1:$I$89,3,0)*0.475*44/12</f>
        <v>9.3225446546392821</v>
      </c>
      <c r="BR33" s="23">
        <f>EXP(-LN(2)/2)*BR32+(1-EXP(-LN(2)/2))/(LN(2)/2)*BL33*BO33*VLOOKUP('Données projet'!$B$11,Paramètres!$A$1:$I$89,3,0)*0.475*44/12</f>
        <v>2.2133726126270505</v>
      </c>
      <c r="BS33" s="24">
        <f t="shared" si="9"/>
        <v>27.485352887136113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14.833333333333334</v>
      </c>
      <c r="BY33" s="13">
        <f>IF('Données projet'!$A$114&gt;35,BY32+BX33-CG32,IF(A33&lt;'Données projet'!$A$114,$BV$205^A33,IF(A33='Données projet'!$A$114,'Données projet'!$B$114,BY32+BX33-CG32)))</f>
        <v>184.66666666666669</v>
      </c>
      <c r="BZ33" s="14">
        <f>BY33*VLOOKUP('Données projet'!$B$12,Paramètres!$A$1:$I$89,3,0)*VLOOKUP('Données projet'!$B$12,Paramètres!$A$1:$I$89,5,0)</f>
        <v>110.43066666666668</v>
      </c>
      <c r="CA33" s="14">
        <f t="shared" si="39"/>
        <v>29.43242991113809</v>
      </c>
      <c r="CB33" s="22">
        <f t="shared" si="10"/>
        <v>243.5948932063433</v>
      </c>
      <c r="CC33" s="62">
        <f t="shared" si="11"/>
        <v>482.70231813938528</v>
      </c>
      <c r="CD33" s="62">
        <f ca="1">AVERAGE(OFFSET($CC$3,0,0,'Données projet'!$E$12+1,1))-AVERAGE(OFFSET($H$3,0,0,'Données projet'!$E$12+1,1))</f>
        <v>275.76900776033335</v>
      </c>
      <c r="CE33" s="62">
        <f t="shared" si="40"/>
        <v>299.36898480605191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15.284875802375202</v>
      </c>
      <c r="CL33" s="23">
        <f>EXP(-LN(2)/25)*CL32+(1-EXP(-LN(2)/25))/(LN(2)/25)*Calculateur!CG33*Calculateur!CI33*VLOOKUP('Données projet'!$B$12,Paramètres!$A$1:$I$89,3,0)*0.475*44/12</f>
        <v>8.9341052940293118</v>
      </c>
      <c r="CM33" s="23">
        <f>EXP(-LN(2)/2)*CM32+(1-EXP(-LN(2)/2))/(LN(2)/2)*CG33*CJ33*VLOOKUP('Données projet'!$B$12,Paramètres!$A$1:$I$89,3,0)*0.475*44/12</f>
        <v>2.1211487537675895</v>
      </c>
      <c r="CN33" s="24">
        <f t="shared" si="12"/>
        <v>26.340129850172101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3.6111111111111112</v>
      </c>
      <c r="CT33" s="13">
        <f>IF('Données projet'!$A$140&gt;35,CT32+CS33-DB32,IF(A33&lt;'Données projet'!$A$140,$CQ$205^A33,IF(A33='Données projet'!$A$140,'Données projet'!$B$140,CT32+CS33-DB32)))</f>
        <v>108.3333333333334</v>
      </c>
      <c r="CU33" s="18">
        <f>CT33*VLOOKUP('Données projet'!$B$13,Paramètres!$A$1:$I$89,3,0)*VLOOKUP('Données projet'!$B$13,Paramètres!$A$1:$I$89,5,0)</f>
        <v>118.30000000000007</v>
      </c>
      <c r="CV33" s="14">
        <f t="shared" si="41"/>
        <v>31.278173562971229</v>
      </c>
      <c r="CW33" s="22">
        <f t="shared" si="13"/>
        <v>260.51531895550835</v>
      </c>
      <c r="CX33" s="62">
        <f t="shared" si="14"/>
        <v>499.6227438885503</v>
      </c>
      <c r="CY33" s="62">
        <f ca="1">AVERAGE(OFFSET($CX$3,0,0,'Données projet'!$E$13+1,1))-AVERAGE(OFFSET($H$3,0,0,'Données projet'!$E$13+1,1))</f>
        <v>482.24068797679558</v>
      </c>
      <c r="CZ33" s="62">
        <f t="shared" si="42"/>
        <v>316.28941055521693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10</v>
      </c>
      <c r="DO33" s="13">
        <f>IF('Données projet'!$A$166&gt;35,DO32+DN33-DW32,IF(A33&lt;'Données projet'!$A$166,$DL$205^A33,IF(A33='Données projet'!$A$166,'Données projet'!$B$166,DO32+DN33-DW32)))</f>
        <v>172.00000000000006</v>
      </c>
      <c r="DP33" s="18">
        <f>DO33*VLOOKUP('Données projet'!$B$14,Paramètres!$A$1:$I$89,3,0)*VLOOKUP('Données projet'!$B$14,Paramètres!$A$1:$I$89,5,0)</f>
        <v>139.52640000000005</v>
      </c>
      <c r="DQ33" s="14">
        <f t="shared" si="43"/>
        <v>36.188488997813884</v>
      </c>
      <c r="DR33" s="22">
        <f t="shared" si="16"/>
        <v>306.03676500452593</v>
      </c>
      <c r="DS33" s="62">
        <f t="shared" si="17"/>
        <v>545.14418993756794</v>
      </c>
      <c r="DT33" s="62">
        <f ca="1">AVERAGE(OFFSET($DS$3,0,0,'Données projet'!$E$14+1,1))-AVERAGE(OFFSET($H$3,0,0,'Données projet'!$E$14+1,1))</f>
        <v>325.58538970226539</v>
      </c>
      <c r="DU33" s="62">
        <f t="shared" si="44"/>
        <v>361.81085660423457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6.1119145185261017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6.1119145185261017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2.8888888888888888</v>
      </c>
      <c r="EJ33" s="13">
        <f>IF('Données projet'!$A$192&gt;35,EJ32+EI33-ER32,IF(A33&lt;'Données projet'!$A$192,$EG$205^A33,IF(A33='Données projet'!$A$192,'Données projet'!$B$192,EJ32+EI33-ER32)))</f>
        <v>86.666666666666615</v>
      </c>
      <c r="EK33" s="18">
        <f>EJ33*VLOOKUP('Données projet'!$B$15,Paramètres!$A$1:$I$89,3,0)*VLOOKUP('Données projet'!$B$15,Paramètres!$A$1:$I$89,5,0)</f>
        <v>83.823999999999955</v>
      </c>
      <c r="EL33" s="14">
        <f t="shared" si="45"/>
        <v>23.069616041477374</v>
      </c>
      <c r="EM33" s="22">
        <f t="shared" si="19"/>
        <v>186.17304793890636</v>
      </c>
      <c r="EN33" s="62">
        <f t="shared" si="20"/>
        <v>425.28047287194835</v>
      </c>
      <c r="EO33" s="62">
        <f ca="1">AVERAGE(OFFSET($EN$3,0,0,'Données projet'!$E$15+1,1))-AVERAGE(OFFSET($H$3,0,0,'Données projet'!$E$15+1,1))</f>
        <v>364.22267539944085</v>
      </c>
      <c r="EP33" s="62">
        <f t="shared" si="46"/>
        <v>241.947139538615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8</v>
      </c>
      <c r="FE33" s="13">
        <f>IF('Données projet'!$A$218&gt;35,FE32+FD33-FM32,IF(A33&lt;'Données projet'!$A$218,$FB$205^A33,IF(A33='Données projet'!$A$218,'Données projet'!$B$218,FE32+FD33-FM32)))</f>
        <v>136.99999999999997</v>
      </c>
      <c r="FF33" s="18">
        <f>FE33*VLOOKUP('Données projet'!$B$16,Paramètres!$A$1:$I$89,3,0)*VLOOKUP('Données projet'!$B$16,Paramètres!$A$1:$I$89,5,0)</f>
        <v>119.68319999999999</v>
      </c>
      <c r="FG33" s="14">
        <f t="shared" si="47"/>
        <v>31.601099532596166</v>
      </c>
      <c r="FH33" s="22">
        <f t="shared" si="22"/>
        <v>263.48682168593831</v>
      </c>
      <c r="FI33" s="62">
        <f t="shared" si="23"/>
        <v>502.59424661898026</v>
      </c>
      <c r="FJ33" s="62">
        <f ca="1">AVERAGE(OFFSET($FI$3,0,0,'Données projet'!$E$16+1,1))-AVERAGE(OFFSET($H$3,0,0,'Données projet'!$E$16+1,1))</f>
        <v>286.59837239471312</v>
      </c>
      <c r="FK33" s="62">
        <f t="shared" si="48"/>
        <v>319.26091328564689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6.4902190665422061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6.4902190665422061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10</v>
      </c>
      <c r="FZ33" s="13">
        <f>IF('Données projet'!$A$244&gt;35,FZ32+FY33-GH32,IF(A33&lt;'Données projet'!$A$244,$FW$205^A33,IF(A33='Données projet'!$A$244,'Données projet'!$B$244,FZ32+FY33-GH32)))</f>
        <v>172.00000000000006</v>
      </c>
      <c r="GA33" s="18">
        <f>FZ33*VLOOKUP('Données projet'!$B$17,Paramètres!$A$1:$I$89,3,0)*VLOOKUP('Données projet'!$B$17,Paramètres!$A$1:$I$89,5,0)</f>
        <v>115.37760000000004</v>
      </c>
      <c r="GB33" s="14">
        <f t="shared" si="49"/>
        <v>30.59444808195472</v>
      </c>
      <c r="GC33" s="22">
        <f t="shared" si="25"/>
        <v>254.23465040940451</v>
      </c>
      <c r="GD33" s="62">
        <f t="shared" si="26"/>
        <v>493.34207534244649</v>
      </c>
      <c r="GE33" s="62">
        <f ca="1">AVERAGE(OFFSET($GD$3,0,0,'Données projet'!$E$17+1,1))-AVERAGE(OFFSET($H$3,0,0,'Données projet'!$E$17+1,1))</f>
        <v>277.37570531842186</v>
      </c>
      <c r="GF33" s="62">
        <f t="shared" si="50"/>
        <v>310.00874200911312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projet'!$B$17,Paramètres!$A$1:$I$89,3,0)*0.475*44/12</f>
        <v>6.2294513361900652</v>
      </c>
      <c r="GM33" s="23">
        <f>EXP(-LN(2)/25)*GM32+(1-EXP(-LN(2)/25))/(LN(2)/25)*Calculateur!GH33*Calculateur!GJ33*VLOOKUP('Données projet'!$B$17,Paramètres!$A$1:$I$89,3,0)*0.475*44/12</f>
        <v>0</v>
      </c>
      <c r="GN33" s="23">
        <f>EXP(-LN(2)/2)*GN32+(1-EXP(-LN(2)/2))/(LN(2)/2)*GH33*GK33*VLOOKUP('Données projet'!$B$17,Paramètres!$A$1:$I$89,3,0)*0.475*44/12</f>
        <v>0</v>
      </c>
      <c r="GO33" s="23">
        <f t="shared" si="27"/>
        <v>6.2294513361900652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3.6111111111111112</v>
      </c>
      <c r="N34" s="14">
        <f>IF('Données projet'!$A$36&gt;35,N33+M34-V33,IF(A34&lt;'Données projet'!$A$36,$K$205^A34,IF(A34='Données projet'!$A$36,'Données projet'!$B$36,N33+M34-V33)))</f>
        <v>111.94444444444451</v>
      </c>
      <c r="O34" s="14">
        <f>N34*VLOOKUP('Données projet'!$B$9,Paramètres!$A$1:$I$89,3,0)*VLOOKUP('Données projet'!$B$9,Paramètres!$A$1:$I$89,5,0)</f>
        <v>97.794666666666743</v>
      </c>
      <c r="P34" s="14">
        <f t="shared" si="33"/>
        <v>26.435927352351744</v>
      </c>
      <c r="Q34" s="22">
        <f t="shared" si="2"/>
        <v>216.36828458312382</v>
      </c>
      <c r="R34" s="62">
        <f t="shared" si="0"/>
        <v>456.41640779594138</v>
      </c>
      <c r="S34" s="62">
        <f ca="1">AVERAGE(OFFSET($R$3,0,0,'Données projet'!$E$9+1,1))-AVERAGE(OFFSET($H$3,0,0,'Données projet'!$E$9+1,1))</f>
        <v>401.34220206028908</v>
      </c>
      <c r="T34" s="62">
        <f t="shared" si="34"/>
        <v>265.33314259106987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7</v>
      </c>
      <c r="AI34" s="14">
        <f>IF('Données projet'!$A$62&gt;35,AI33+AH34-AQ33,IF(A34&lt;'Données projet'!$A$62,$AF$205^A34,IF(A34='Données projet'!$A$62,'Données projet'!$B$62,AI33+AH34-AQ33)))</f>
        <v>133</v>
      </c>
      <c r="AJ34" s="14">
        <f>AI34*VLOOKUP('Données projet'!$B$10,Paramètres!$A$1:$I$89,3,0)*VLOOKUP('Données projet'!$B$10,Paramètres!$A$1:$I$89,5,0)</f>
        <v>62.243999999999993</v>
      </c>
      <c r="AK34" s="14">
        <f t="shared" si="35"/>
        <v>17.734404526076432</v>
      </c>
      <c r="AL34" s="22">
        <f t="shared" si="4"/>
        <v>139.29572121624975</v>
      </c>
      <c r="AM34" s="62">
        <f t="shared" si="5"/>
        <v>379.3438444290673</v>
      </c>
      <c r="AN34" s="62">
        <f ca="1">AVERAGE(OFFSET($AM$3,0,0,'Données projet'!$E$10+1,1))-AVERAGE(OFFSET($H$3,0,0,'Données projet'!$E$10+1,1))</f>
        <v>253.48761861464732</v>
      </c>
      <c r="AO34" s="62">
        <f t="shared" si="36"/>
        <v>219.50855998133855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7.2643335290603996</v>
      </c>
      <c r="AV34" s="23">
        <f>EXP(-LN(2)/25)*AV33+(1-EXP(-LN(2)/25))/(LN(2)/25)*Calculateur!AQ34*Calculateur!AS34*VLOOKUP('Données projet'!$B$10,Paramètres!$A$1:$I$89,3,0)*0.475*44/12</f>
        <v>4.9725186289952799</v>
      </c>
      <c r="AW34" s="23">
        <f>EXP(-LN(2)/2)*AW33+(1-EXP(-LN(2)/2))/(LN(2)/2)*AQ34*AT34*VLOOKUP('Données projet'!$B$10,Paramètres!$A$1:$I$89,3,0)*0.475*44/12</f>
        <v>1.6284750089354925</v>
      </c>
      <c r="AX34" s="23">
        <f t="shared" si="6"/>
        <v>13.865327166991172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14.833333333333334</v>
      </c>
      <c r="BD34" s="13">
        <f>IF('Données projet'!$A$88&gt;35,BD33+BC34-BL33,IF(A34&lt;'Données projet'!$A$88,$BA$205^A34,IF(A34='Données projet'!$A$88,'Données projet'!$B$88,BD33+BC34-BL33)))</f>
        <v>199.50000000000003</v>
      </c>
      <c r="BE34" s="14">
        <f>BD34*VLOOKUP('Données projet'!$B$11,Paramètres!$A$1:$I$89,3,0)*VLOOKUP('Données projet'!$B$11,Paramètres!$A$1:$I$89,5,0)</f>
        <v>229.82400000000001</v>
      </c>
      <c r="BF34" s="14">
        <f t="shared" si="37"/>
        <v>56.244624520959221</v>
      </c>
      <c r="BG34" s="22">
        <f t="shared" si="7"/>
        <v>498.23618770733736</v>
      </c>
      <c r="BH34" s="62">
        <f t="shared" si="8"/>
        <v>738.28431092015489</v>
      </c>
      <c r="BI34" s="62">
        <f ca="1">AVERAGE(OFFSET($BH$3,0,0,'Données projet'!$E$11+1,1))-AVERAGE(OFFSET($H$3,0,0,'Données projet'!$E$11+1,1))</f>
        <v>482.85256243111911</v>
      </c>
      <c r="BJ34" s="62">
        <f t="shared" si="38"/>
        <v>517.78430032567064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15.63667691555928</v>
      </c>
      <c r="BQ34" s="23">
        <f>EXP(-LN(2)/25)*BQ33+(1-EXP(-LN(2)/25))/(LN(2)/25)*Calculateur!BL34*Calculateur!BN34*VLOOKUP('Données projet'!$B$11,Paramètres!$A$1:$I$89,3,0)*0.475*44/12</f>
        <v>9.0676191808068545</v>
      </c>
      <c r="BR34" s="23">
        <f>EXP(-LN(2)/2)*BR33+(1-EXP(-LN(2)/2))/(LN(2)/2)*BL34*BO34*VLOOKUP('Données projet'!$B$11,Paramètres!$A$1:$I$89,3,0)*0.475*44/12</f>
        <v>1.5650907836811729</v>
      </c>
      <c r="BS34" s="24">
        <f t="shared" si="9"/>
        <v>26.269386880047307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14.833333333333334</v>
      </c>
      <c r="BY34" s="13">
        <f>IF('Données projet'!$A$114&gt;35,BY33+BX34-CG33,IF(A34&lt;'Données projet'!$A$114,$BV$205^A34,IF(A34='Données projet'!$A$114,'Données projet'!$B$114,BY33+BX34-CG33)))</f>
        <v>199.50000000000003</v>
      </c>
      <c r="BZ34" s="14">
        <f>BY34*VLOOKUP('Données projet'!$B$12,Paramètres!$A$1:$I$89,3,0)*VLOOKUP('Données projet'!$B$12,Paramètres!$A$1:$I$89,5,0)</f>
        <v>119.30100000000002</v>
      </c>
      <c r="CA34" s="14">
        <f t="shared" si="39"/>
        <v>31.51191363312137</v>
      </c>
      <c r="CB34" s="22">
        <f t="shared" si="10"/>
        <v>262.66582457768635</v>
      </c>
      <c r="CC34" s="62">
        <f t="shared" si="11"/>
        <v>502.71394779050388</v>
      </c>
      <c r="CD34" s="62">
        <f ca="1">AVERAGE(OFFSET($CC$3,0,0,'Données projet'!$E$12+1,1))-AVERAGE(OFFSET($H$3,0,0,'Données projet'!$E$12+1,1))</f>
        <v>275.76900776033335</v>
      </c>
      <c r="CE34" s="62">
        <f t="shared" si="40"/>
        <v>299.36898480605191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14.985148710744308</v>
      </c>
      <c r="CL34" s="23">
        <f>EXP(-LN(2)/25)*CL33+(1-EXP(-LN(2)/25))/(LN(2)/25)*Calculateur!CG34*Calculateur!CI34*VLOOKUP('Données projet'!$B$12,Paramètres!$A$1:$I$89,3,0)*0.475*44/12</f>
        <v>8.6898017149399021</v>
      </c>
      <c r="CM34" s="23">
        <f>EXP(-LN(2)/2)*CM33+(1-EXP(-LN(2)/2))/(LN(2)/2)*CG34*CJ34*VLOOKUP('Données projet'!$B$12,Paramètres!$A$1:$I$89,3,0)*0.475*44/12</f>
        <v>1.4998786676944569</v>
      </c>
      <c r="CN34" s="24">
        <f t="shared" si="12"/>
        <v>25.174829093378666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3.6111111111111112</v>
      </c>
      <c r="CT34" s="13">
        <f>IF('Données projet'!$A$140&gt;35,CT33+CS34-DB33,IF(A34&lt;'Données projet'!$A$140,$CQ$205^A34,IF(A34='Données projet'!$A$140,'Données projet'!$B$140,CT33+CS34-DB33)))</f>
        <v>111.94444444444451</v>
      </c>
      <c r="CU34" s="18">
        <f>CT34*VLOOKUP('Données projet'!$B$13,Paramètres!$A$1:$I$89,3,0)*VLOOKUP('Données projet'!$B$13,Paramètres!$A$1:$I$89,5,0)</f>
        <v>122.24333333333341</v>
      </c>
      <c r="CV34" s="14">
        <f t="shared" si="41"/>
        <v>32.197654603218659</v>
      </c>
      <c r="CW34" s="22">
        <f t="shared" si="13"/>
        <v>268.98472065616153</v>
      </c>
      <c r="CX34" s="62">
        <f t="shared" si="14"/>
        <v>509.03284386897906</v>
      </c>
      <c r="CY34" s="62">
        <f ca="1">AVERAGE(OFFSET($CX$3,0,0,'Données projet'!$E$13+1,1))-AVERAGE(OFFSET($H$3,0,0,'Données projet'!$E$13+1,1))</f>
        <v>482.24068797679558</v>
      </c>
      <c r="CZ34" s="62">
        <f t="shared" si="42"/>
        <v>316.28941055521693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10</v>
      </c>
      <c r="DO34" s="13">
        <f>IF('Données projet'!$A$166&gt;35,DO33+DN34-DW33,IF(A34&lt;'Données projet'!$A$166,$DL$205^A34,IF(A34='Données projet'!$A$166,'Données projet'!$B$166,DO33+DN34-DW33)))</f>
        <v>182.00000000000006</v>
      </c>
      <c r="DP34" s="18">
        <f>DO34*VLOOKUP('Données projet'!$B$14,Paramètres!$A$1:$I$89,3,0)*VLOOKUP('Données projet'!$B$14,Paramètres!$A$1:$I$89,5,0)</f>
        <v>147.63840000000005</v>
      </c>
      <c r="DQ34" s="14">
        <f t="shared" si="43"/>
        <v>38.04140887895133</v>
      </c>
      <c r="DR34" s="22">
        <f t="shared" si="16"/>
        <v>323.39233379750698</v>
      </c>
      <c r="DS34" s="62">
        <f t="shared" si="17"/>
        <v>563.44045701032451</v>
      </c>
      <c r="DT34" s="62">
        <f ca="1">AVERAGE(OFFSET($DS$3,0,0,'Données projet'!$E$14+1,1))-AVERAGE(OFFSET($H$3,0,0,'Données projet'!$E$14+1,1))</f>
        <v>325.58538970226539</v>
      </c>
      <c r="DU34" s="62">
        <f t="shared" si="44"/>
        <v>361.81085660423457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5.992063602717562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5.992063602717562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2.8888888888888888</v>
      </c>
      <c r="EJ34" s="13">
        <f>IF('Données projet'!$A$192&gt;35,EJ33+EI34-ER33,IF(A34&lt;'Données projet'!$A$192,$EG$205^A34,IF(A34='Données projet'!$A$192,'Données projet'!$B$192,EJ33+EI34-ER33)))</f>
        <v>89.5555555555555</v>
      </c>
      <c r="EK34" s="18">
        <f>EJ34*VLOOKUP('Données projet'!$B$15,Paramètres!$A$1:$I$89,3,0)*VLOOKUP('Données projet'!$B$15,Paramètres!$A$1:$I$89,5,0)</f>
        <v>86.61813333333329</v>
      </c>
      <c r="EL34" s="14">
        <f t="shared" si="45"/>
        <v>23.747791015895917</v>
      </c>
      <c r="EM34" s="22">
        <f t="shared" si="19"/>
        <v>192.22065157490752</v>
      </c>
      <c r="EN34" s="62">
        <f t="shared" si="20"/>
        <v>432.26877478772508</v>
      </c>
      <c r="EO34" s="62">
        <f ca="1">AVERAGE(OFFSET($EN$3,0,0,'Données projet'!$E$15+1,1))-AVERAGE(OFFSET($H$3,0,0,'Données projet'!$E$15+1,1))</f>
        <v>364.22267539944085</v>
      </c>
      <c r="EP34" s="62">
        <f t="shared" si="46"/>
        <v>241.947139538615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8</v>
      </c>
      <c r="FE34" s="13">
        <f>IF('Données projet'!$A$218&gt;35,FE33+FD34-FM33,IF(A34&lt;'Données projet'!$A$218,$FB$205^A34,IF(A34='Données projet'!$A$218,'Données projet'!$B$218,FE33+FD34-FM33)))</f>
        <v>144.99999999999997</v>
      </c>
      <c r="FF34" s="18">
        <f>FE34*VLOOKUP('Données projet'!$B$16,Paramètres!$A$1:$I$89,3,0)*VLOOKUP('Données projet'!$B$16,Paramètres!$A$1:$I$89,5,0)</f>
        <v>126.67199999999998</v>
      </c>
      <c r="FG34" s="14">
        <f t="shared" si="47"/>
        <v>33.226199426361347</v>
      </c>
      <c r="FH34" s="22">
        <f t="shared" si="22"/>
        <v>278.48936400091264</v>
      </c>
      <c r="FI34" s="62">
        <f t="shared" si="23"/>
        <v>518.53748721373017</v>
      </c>
      <c r="FJ34" s="62">
        <f ca="1">AVERAGE(OFFSET($FI$3,0,0,'Données projet'!$E$16+1,1))-AVERAGE(OFFSET($H$3,0,0,'Données projet'!$E$16+1,1))</f>
        <v>286.59837239471312</v>
      </c>
      <c r="FK34" s="62">
        <f t="shared" si="48"/>
        <v>319.26091328564689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6.3629498292900601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6.3629498292900601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10</v>
      </c>
      <c r="FZ34" s="13">
        <f>IF('Données projet'!$A$244&gt;35,FZ33+FY34-GH33,IF(A34&lt;'Données projet'!$A$244,$FW$205^A34,IF(A34='Données projet'!$A$244,'Données projet'!$B$244,FZ33+FY34-GH33)))</f>
        <v>182.00000000000006</v>
      </c>
      <c r="GA34" s="18">
        <f>FZ34*VLOOKUP('Données projet'!$B$17,Paramètres!$A$1:$I$89,3,0)*VLOOKUP('Données projet'!$B$17,Paramètres!$A$1:$I$89,5,0)</f>
        <v>122.08560000000003</v>
      </c>
      <c r="GB34" s="14">
        <f t="shared" si="49"/>
        <v>32.160942364346717</v>
      </c>
      <c r="GC34" s="22">
        <f t="shared" si="25"/>
        <v>268.64606128457058</v>
      </c>
      <c r="GD34" s="62">
        <f t="shared" si="26"/>
        <v>508.69418449738816</v>
      </c>
      <c r="GE34" s="62">
        <f ca="1">AVERAGE(OFFSET($GD$3,0,0,'Données projet'!$E$17+1,1))-AVERAGE(OFFSET($H$3,0,0,'Données projet'!$E$17+1,1))</f>
        <v>277.37570531842186</v>
      </c>
      <c r="GF34" s="62">
        <f t="shared" si="50"/>
        <v>310.00874200911312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projet'!$B$17,Paramètres!$A$1:$I$89,3,0)*0.475*44/12</f>
        <v>6.107295595077515</v>
      </c>
      <c r="GM34" s="23">
        <f>EXP(-LN(2)/25)*GM33+(1-EXP(-LN(2)/25))/(LN(2)/25)*Calculateur!GH34*Calculateur!GJ34*VLOOKUP('Données projet'!$B$17,Paramètres!$A$1:$I$89,3,0)*0.475*44/12</f>
        <v>0</v>
      </c>
      <c r="GN34" s="23">
        <f>EXP(-LN(2)/2)*GN33+(1-EXP(-LN(2)/2))/(LN(2)/2)*GH34*GK34*VLOOKUP('Données projet'!$B$17,Paramètres!$A$1:$I$89,3,0)*0.475*44/12</f>
        <v>0</v>
      </c>
      <c r="GO34" s="23">
        <f t="shared" si="27"/>
        <v>6.107295595077515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3.6111111111111112</v>
      </c>
      <c r="N35" s="14">
        <f>IF('Données projet'!$A$36&gt;35,N34+M35-V34,IF(A35&lt;'Données projet'!$A$36,$K$205^A35,IF(A35='Données projet'!$A$36,'Données projet'!$B$36,N34+M35-V34)))</f>
        <v>115.55555555555563</v>
      </c>
      <c r="O35" s="14">
        <f>N35*VLOOKUP('Données projet'!$B$9,Paramètres!$A$1:$I$89,3,0)*VLOOKUP('Données projet'!$B$9,Paramètres!$A$1:$I$89,5,0)</f>
        <v>100.9493333333334</v>
      </c>
      <c r="P35" s="14">
        <f t="shared" si="33"/>
        <v>27.188038604086319</v>
      </c>
      <c r="Q35" s="22">
        <f t="shared" ref="Q35:Q66" si="53">(O35+P35)*0.475*44/12</f>
        <v>223.17258945767264</v>
      </c>
      <c r="R35" s="62">
        <f t="shared" si="0"/>
        <v>464.14509193819799</v>
      </c>
      <c r="S35" s="62">
        <f ca="1">AVERAGE(OFFSET($R$3,0,0,'Données projet'!$E$9+1,1))-AVERAGE(OFFSET($H$3,0,0,'Données projet'!$E$9+1,1))</f>
        <v>401.34220206028908</v>
      </c>
      <c r="T35" s="62">
        <f t="shared" si="34"/>
        <v>265.33314259106987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7</v>
      </c>
      <c r="AI35" s="14">
        <f>IF('Données projet'!$A$62&gt;35,AI34+AH35-AQ34,IF(A35&lt;'Données projet'!$A$62,$AF$205^A35,IF(A35='Données projet'!$A$62,'Données projet'!$B$62,AI34+AH35-AQ34)))</f>
        <v>140</v>
      </c>
      <c r="AJ35" s="14">
        <f>AI35*VLOOKUP('Données projet'!$B$10,Paramètres!$A$1:$I$89,3,0)*VLOOKUP('Données projet'!$B$10,Paramètres!$A$1:$I$89,5,0)</f>
        <v>65.52</v>
      </c>
      <c r="AK35" s="14">
        <f t="shared" si="35"/>
        <v>18.556669503136725</v>
      </c>
      <c r="AL35" s="22">
        <f t="shared" si="4"/>
        <v>146.43353271796309</v>
      </c>
      <c r="AM35" s="62">
        <f t="shared" si="5"/>
        <v>387.40603519848844</v>
      </c>
      <c r="AN35" s="62">
        <f ca="1">AVERAGE(OFFSET($AM$3,0,0,'Données projet'!$E$10+1,1))-AVERAGE(OFFSET($H$3,0,0,'Données projet'!$E$10+1,1))</f>
        <v>253.48761861464732</v>
      </c>
      <c r="AO35" s="62">
        <f t="shared" si="36"/>
        <v>219.50855998133855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7.1218843793614726</v>
      </c>
      <c r="AV35" s="23">
        <f>EXP(-LN(2)/25)*AV34+(1-EXP(-LN(2)/25))/(LN(2)/25)*Calculateur!AQ35*Calculateur!AS35*VLOOKUP('Données projet'!$B$10,Paramètres!$A$1:$I$89,3,0)*0.475*44/12</f>
        <v>4.8365448455920141</v>
      </c>
      <c r="AW35" s="23">
        <f>EXP(-LN(2)/2)*AW34+(1-EXP(-LN(2)/2))/(LN(2)/2)*AQ35*AT35*VLOOKUP('Données projet'!$B$10,Paramètres!$A$1:$I$89,3,0)*0.475*44/12</f>
        <v>1.1515057218111104</v>
      </c>
      <c r="AX35" s="23">
        <f t="shared" si="6"/>
        <v>13.109934946764598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14.833333333333334</v>
      </c>
      <c r="BD35" s="13">
        <f>IF('Données projet'!$A$88&gt;35,BD34+BC35-BL34,IF(A35&lt;'Données projet'!$A$88,$BA$205^A35,IF(A35='Données projet'!$A$88,'Données projet'!$B$88,BD34+BC35-BL34)))</f>
        <v>214.33333333333337</v>
      </c>
      <c r="BE35" s="14">
        <f>BD35*VLOOKUP('Données projet'!$B$11,Paramètres!$A$1:$I$89,3,0)*VLOOKUP('Données projet'!$B$11,Paramètres!$A$1:$I$89,5,0)</f>
        <v>246.91200000000001</v>
      </c>
      <c r="BF35" s="14">
        <f t="shared" si="37"/>
        <v>59.924214566603034</v>
      </c>
      <c r="BG35" s="22">
        <f t="shared" si="7"/>
        <v>534.40640703683346</v>
      </c>
      <c r="BH35" s="62">
        <f t="shared" si="8"/>
        <v>775.37890951735881</v>
      </c>
      <c r="BI35" s="62">
        <f ca="1">AVERAGE(OFFSET($BH$3,0,0,'Données projet'!$E$11+1,1))-AVERAGE(OFFSET($H$3,0,0,'Données projet'!$E$11+1,1))</f>
        <v>482.85256243111911</v>
      </c>
      <c r="BJ35" s="62">
        <f t="shared" si="38"/>
        <v>517.78430032567064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15.330051218676337</v>
      </c>
      <c r="BQ35" s="23">
        <f>EXP(-LN(2)/25)*BQ34+(1-EXP(-LN(2)/25))/(LN(2)/25)*Calculateur!BL35*Calculateur!BN35*VLOOKUP('Données projet'!$B$11,Paramètres!$A$1:$I$89,3,0)*0.475*44/12</f>
        <v>8.8196646574623223</v>
      </c>
      <c r="BR35" s="23">
        <f>EXP(-LN(2)/2)*BR34+(1-EXP(-LN(2)/2))/(LN(2)/2)*BL35*BO35*VLOOKUP('Données projet'!$B$11,Paramètres!$A$1:$I$89,3,0)*0.475*44/12</f>
        <v>1.1066863063135255</v>
      </c>
      <c r="BS35" s="24">
        <f t="shared" si="9"/>
        <v>25.256402182452184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14.833333333333334</v>
      </c>
      <c r="BY35" s="13">
        <f>IF('Données projet'!$A$114&gt;35,BY34+BX35-CG34,IF(A35&lt;'Données projet'!$A$114,$BV$205^A35,IF(A35='Données projet'!$A$114,'Données projet'!$B$114,BY34+BX35-CG34)))</f>
        <v>214.33333333333337</v>
      </c>
      <c r="BZ35" s="14">
        <f>BY35*VLOOKUP('Données projet'!$B$12,Paramètres!$A$1:$I$89,3,0)*VLOOKUP('Données projet'!$B$12,Paramètres!$A$1:$I$89,5,0)</f>
        <v>128.17133333333337</v>
      </c>
      <c r="CA35" s="14">
        <f t="shared" si="39"/>
        <v>33.5734603980111</v>
      </c>
      <c r="CB35" s="22">
        <f t="shared" si="10"/>
        <v>281.70551574875822</v>
      </c>
      <c r="CC35" s="62">
        <f t="shared" si="11"/>
        <v>522.67801822928357</v>
      </c>
      <c r="CD35" s="62">
        <f ca="1">AVERAGE(OFFSET($CC$3,0,0,'Données projet'!$E$12+1,1))-AVERAGE(OFFSET($H$3,0,0,'Données projet'!$E$12+1,1))</f>
        <v>275.76900776033335</v>
      </c>
      <c r="CE35" s="62">
        <f t="shared" si="40"/>
        <v>299.36898480605191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14.691299084564822</v>
      </c>
      <c r="CL35" s="23">
        <f>EXP(-LN(2)/25)*CL34+(1-EXP(-LN(2)/25))/(LN(2)/25)*Calculateur!CG35*Calculateur!CI35*VLOOKUP('Données projet'!$B$12,Paramètres!$A$1:$I$89,3,0)*0.475*44/12</f>
        <v>8.4521786300680599</v>
      </c>
      <c r="CM35" s="23">
        <f>EXP(-LN(2)/2)*CM34+(1-EXP(-LN(2)/2))/(LN(2)/2)*CG35*CJ35*VLOOKUP('Données projet'!$B$12,Paramètres!$A$1:$I$89,3,0)*0.475*44/12</f>
        <v>1.0605743768837947</v>
      </c>
      <c r="CN35" s="24">
        <f t="shared" si="12"/>
        <v>24.204052091516676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3.6111111111111112</v>
      </c>
      <c r="CT35" s="13">
        <f>IF('Données projet'!$A$140&gt;35,CT34+CS35-DB34,IF(A35&lt;'Données projet'!$A$140,$CQ$205^A35,IF(A35='Données projet'!$A$140,'Données projet'!$B$140,CT34+CS35-DB34)))</f>
        <v>115.55555555555563</v>
      </c>
      <c r="CU35" s="18">
        <f>CT35*VLOOKUP('Données projet'!$B$13,Paramètres!$A$1:$I$89,3,0)*VLOOKUP('Données projet'!$B$13,Paramètres!$A$1:$I$89,5,0)</f>
        <v>126.18666666666674</v>
      </c>
      <c r="CV35" s="14">
        <f t="shared" si="41"/>
        <v>33.113688982636411</v>
      </c>
      <c r="CW35" s="22">
        <f t="shared" si="13"/>
        <v>277.44811942253631</v>
      </c>
      <c r="CX35" s="62">
        <f t="shared" si="14"/>
        <v>518.4206219030616</v>
      </c>
      <c r="CY35" s="62">
        <f ca="1">AVERAGE(OFFSET($CX$3,0,0,'Données projet'!$E$13+1,1))-AVERAGE(OFFSET($H$3,0,0,'Données projet'!$E$13+1,1))</f>
        <v>482.24068797679558</v>
      </c>
      <c r="CZ35" s="62">
        <f t="shared" si="42"/>
        <v>316.28941055521693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10</v>
      </c>
      <c r="DO35" s="13">
        <f>IF('Données projet'!$A$166&gt;35,DO34+DN35-DW34,IF(A35&lt;'Données projet'!$A$166,$DL$205^A35,IF(A35='Données projet'!$A$166,'Données projet'!$B$166,DO34+DN35-DW34)))</f>
        <v>192.00000000000006</v>
      </c>
      <c r="DP35" s="18">
        <f>DO35*VLOOKUP('Données projet'!$B$14,Paramètres!$A$1:$I$89,3,0)*VLOOKUP('Données projet'!$B$14,Paramètres!$A$1:$I$89,5,0)</f>
        <v>155.75040000000004</v>
      </c>
      <c r="DQ35" s="14">
        <f t="shared" si="43"/>
        <v>39.882509755133789</v>
      </c>
      <c r="DR35" s="22">
        <f t="shared" si="16"/>
        <v>340.72731782352474</v>
      </c>
      <c r="DS35" s="62">
        <f t="shared" si="17"/>
        <v>581.69982030405004</v>
      </c>
      <c r="DT35" s="62">
        <f ca="1">AVERAGE(OFFSET($DS$3,0,0,'Données projet'!$E$14+1,1))-AVERAGE(OFFSET($H$3,0,0,'Données projet'!$E$14+1,1))</f>
        <v>325.58538970226539</v>
      </c>
      <c r="DU35" s="62">
        <f t="shared" si="44"/>
        <v>361.81085660423457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5.8745628902661871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5.8745628902661871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2.8888888888888888</v>
      </c>
      <c r="EJ35" s="13">
        <f>IF('Données projet'!$A$192&gt;35,EJ34+EI35-ER34,IF(A35&lt;'Données projet'!$A$192,$EG$205^A35,IF(A35='Données projet'!$A$192,'Données projet'!$B$192,EJ34+EI35-ER34)))</f>
        <v>92.444444444444386</v>
      </c>
      <c r="EK35" s="18">
        <f>EJ35*VLOOKUP('Données projet'!$B$15,Paramètres!$A$1:$I$89,3,0)*VLOOKUP('Données projet'!$B$15,Paramètres!$A$1:$I$89,5,0)</f>
        <v>89.412266666666611</v>
      </c>
      <c r="EL35" s="14">
        <f t="shared" si="45"/>
        <v>24.423423861637858</v>
      </c>
      <c r="EM35" s="22">
        <f t="shared" si="19"/>
        <v>198.26382767013027</v>
      </c>
      <c r="EN35" s="62">
        <f t="shared" si="20"/>
        <v>439.23633015065559</v>
      </c>
      <c r="EO35" s="62">
        <f ca="1">AVERAGE(OFFSET($EN$3,0,0,'Données projet'!$E$15+1,1))-AVERAGE(OFFSET($H$3,0,0,'Données projet'!$E$15+1,1))</f>
        <v>364.22267539944085</v>
      </c>
      <c r="EP35" s="62">
        <f t="shared" si="46"/>
        <v>241.947139538615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8</v>
      </c>
      <c r="FE35" s="13">
        <f>IF('Données projet'!$A$218&gt;35,FE34+FD35-FM34,IF(A35&lt;'Données projet'!$A$218,$FB$205^A35,IF(A35='Données projet'!$A$218,'Données projet'!$B$218,FE34+FD35-FM34)))</f>
        <v>152.99999999999997</v>
      </c>
      <c r="FF35" s="18">
        <f>FE35*VLOOKUP('Données projet'!$B$16,Paramètres!$A$1:$I$89,3,0)*VLOOKUP('Données projet'!$B$16,Paramètres!$A$1:$I$89,5,0)</f>
        <v>133.66079999999999</v>
      </c>
      <c r="FG35" s="14">
        <f t="shared" si="47"/>
        <v>34.840890682716747</v>
      </c>
      <c r="FH35" s="22">
        <f t="shared" si="22"/>
        <v>293.47377793906497</v>
      </c>
      <c r="FI35" s="62">
        <f t="shared" si="23"/>
        <v>534.44628041959027</v>
      </c>
      <c r="FJ35" s="62">
        <f ca="1">AVERAGE(OFFSET($FI$3,0,0,'Données projet'!$E$16+1,1))-AVERAGE(OFFSET($H$3,0,0,'Données projet'!$E$16+1,1))</f>
        <v>286.59837239471312</v>
      </c>
      <c r="FK35" s="62">
        <f t="shared" si="48"/>
        <v>319.26091328564689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6.2381762641538598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6.2381762641538598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10</v>
      </c>
      <c r="FZ35" s="13">
        <f>IF('Données projet'!$A$244&gt;35,FZ34+FY35-GH34,IF(A35&lt;'Données projet'!$A$244,$FW$205^A35,IF(A35='Données projet'!$A$244,'Données projet'!$B$244,FZ34+FY35-GH34)))</f>
        <v>192.00000000000006</v>
      </c>
      <c r="GA35" s="18">
        <f>FZ35*VLOOKUP('Données projet'!$B$17,Paramètres!$A$1:$I$89,3,0)*VLOOKUP('Données projet'!$B$17,Paramètres!$A$1:$I$89,5,0)</f>
        <v>128.79360000000003</v>
      </c>
      <c r="GB35" s="14">
        <f t="shared" si="49"/>
        <v>33.717444631501564</v>
      </c>
      <c r="GC35" s="22">
        <f t="shared" si="25"/>
        <v>283.04006939986527</v>
      </c>
      <c r="GD35" s="62">
        <f t="shared" si="26"/>
        <v>524.01257188039062</v>
      </c>
      <c r="GE35" s="62">
        <f ca="1">AVERAGE(OFFSET($GD$3,0,0,'Données projet'!$E$17+1,1))-AVERAGE(OFFSET($H$3,0,0,'Données projet'!$E$17+1,1))</f>
        <v>277.37570531842186</v>
      </c>
      <c r="GF35" s="62">
        <f t="shared" si="50"/>
        <v>310.00874200911312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projet'!$B$17,Paramètres!$A$1:$I$89,3,0)*0.475*44/12</f>
        <v>5.9875352535405364</v>
      </c>
      <c r="GM35" s="23">
        <f>EXP(-LN(2)/25)*GM34+(1-EXP(-LN(2)/25))/(LN(2)/25)*Calculateur!GH35*Calculateur!GJ35*VLOOKUP('Données projet'!$B$17,Paramètres!$A$1:$I$89,3,0)*0.475*44/12</f>
        <v>0</v>
      </c>
      <c r="GN35" s="23">
        <f>EXP(-LN(2)/2)*GN34+(1-EXP(-LN(2)/2))/(LN(2)/2)*GH35*GK35*VLOOKUP('Données projet'!$B$17,Paramètres!$A$1:$I$89,3,0)*0.475*44/12</f>
        <v>0</v>
      </c>
      <c r="GO35" s="23">
        <f t="shared" si="27"/>
        <v>5.9875352535405364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3.6111111111111112</v>
      </c>
      <c r="N36" s="14">
        <f>IF('Données projet'!$A$36&gt;35,N35+M36-V35,IF(A36&lt;'Données projet'!$A$36,$K$205^A36,IF(A36='Données projet'!$A$36,'Données projet'!$B$36,N35+M36-V35)))</f>
        <v>119.16666666666674</v>
      </c>
      <c r="O36" s="14">
        <f>N36*VLOOKUP('Données projet'!$B$9,Paramètres!$A$1:$I$89,3,0)*VLOOKUP('Données projet'!$B$9,Paramètres!$A$1:$I$89,5,0)</f>
        <v>104.10400000000007</v>
      </c>
      <c r="P36" s="14">
        <f t="shared" si="33"/>
        <v>27.937418551182702</v>
      </c>
      <c r="Q36" s="22">
        <f t="shared" si="53"/>
        <v>229.97213730997666</v>
      </c>
      <c r="R36" s="62">
        <f t="shared" si="0"/>
        <v>471.8529831445174</v>
      </c>
      <c r="S36" s="62">
        <f ca="1">AVERAGE(OFFSET($R$3,0,0,'Données projet'!$E$9+1,1))-AVERAGE(OFFSET($H$3,0,0,'Données projet'!$E$9+1,1))</f>
        <v>401.34220206028908</v>
      </c>
      <c r="T36" s="62">
        <f t="shared" si="34"/>
        <v>265.33314259106987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7</v>
      </c>
      <c r="AI36" s="14">
        <f>IF('Données projet'!$A$62&gt;35,AI35+AH36-AQ35,IF(A36&lt;'Données projet'!$A$62,$AF$205^A36,IF(A36='Données projet'!$A$62,'Données projet'!$B$62,AI35+AH36-AQ35)))</f>
        <v>147</v>
      </c>
      <c r="AJ36" s="14">
        <f>AI36*VLOOKUP('Données projet'!$B$10,Paramètres!$A$1:$I$89,3,0)*VLOOKUP('Données projet'!$B$10,Paramètres!$A$1:$I$89,5,0)</f>
        <v>68.795999999999992</v>
      </c>
      <c r="AK36" s="14">
        <f t="shared" si="35"/>
        <v>19.374160697102734</v>
      </c>
      <c r="AL36" s="22">
        <f t="shared" si="4"/>
        <v>153.56302988078724</v>
      </c>
      <c r="AM36" s="62">
        <f t="shared" si="5"/>
        <v>395.44387571532798</v>
      </c>
      <c r="AN36" s="62">
        <f ca="1">AVERAGE(OFFSET($AM$3,0,0,'Données projet'!$E$10+1,1))-AVERAGE(OFFSET($H$3,0,0,'Données projet'!$E$10+1,1))</f>
        <v>253.48761861464732</v>
      </c>
      <c r="AO36" s="62">
        <f t="shared" si="36"/>
        <v>219.50855998133855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6.9822285706027394</v>
      </c>
      <c r="AV36" s="23">
        <f>EXP(-LN(2)/25)*AV35+(1-EXP(-LN(2)/25))/(LN(2)/25)*Calculateur!AQ36*Calculateur!AS36*VLOOKUP('Données projet'!$B$10,Paramètres!$A$1:$I$89,3,0)*0.475*44/12</f>
        <v>4.7042892724464611</v>
      </c>
      <c r="AW36" s="23">
        <f>EXP(-LN(2)/2)*AW35+(1-EXP(-LN(2)/2))/(LN(2)/2)*AQ36*AT36*VLOOKUP('Données projet'!$B$10,Paramètres!$A$1:$I$89,3,0)*0.475*44/12</f>
        <v>0.81423750446774634</v>
      </c>
      <c r="AX36" s="23">
        <f t="shared" si="6"/>
        <v>12.500755347516947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14.833333333333334</v>
      </c>
      <c r="BD36" s="13">
        <f>IF('Données projet'!$A$88&gt;35,BD35+BC36-BL35,IF(A36&lt;'Données projet'!$A$88,$BA$205^A36,IF(A36='Données projet'!$A$88,'Données projet'!$B$88,BD35+BC36-BL35)))</f>
        <v>229.16666666666671</v>
      </c>
      <c r="BE36" s="14">
        <f>BD36*VLOOKUP('Données projet'!$B$11,Paramètres!$A$1:$I$89,3,0)*VLOOKUP('Données projet'!$B$11,Paramètres!$A$1:$I$89,5,0)</f>
        <v>264</v>
      </c>
      <c r="BF36" s="14">
        <f t="shared" si="37"/>
        <v>63.574257208782434</v>
      </c>
      <c r="BG36" s="22">
        <f t="shared" si="7"/>
        <v>570.52516463862946</v>
      </c>
      <c r="BH36" s="62">
        <f t="shared" si="8"/>
        <v>812.40601047317023</v>
      </c>
      <c r="BI36" s="62">
        <f ca="1">AVERAGE(OFFSET($BH$3,0,0,'Données projet'!$E$11+1,1))-AVERAGE(OFFSET($H$3,0,0,'Données projet'!$E$11+1,1))</f>
        <v>482.85256243111911</v>
      </c>
      <c r="BJ36" s="62">
        <f t="shared" si="38"/>
        <v>517.78430032567064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15.02943826468606</v>
      </c>
      <c r="BQ36" s="23">
        <f>EXP(-LN(2)/25)*BQ35+(1-EXP(-LN(2)/25))/(LN(2)/25)*Calculateur!BL36*Calculateur!BN36*VLOOKUP('Données projet'!$B$11,Paramètres!$A$1:$I$89,3,0)*0.475*44/12</f>
        <v>8.5784904635980084</v>
      </c>
      <c r="BR36" s="23">
        <f>EXP(-LN(2)/2)*BR35+(1-EXP(-LN(2)/2))/(LN(2)/2)*BL36*BO36*VLOOKUP('Données projet'!$B$11,Paramètres!$A$1:$I$89,3,0)*0.475*44/12</f>
        <v>0.78254539184058658</v>
      </c>
      <c r="BS36" s="24">
        <f t="shared" si="9"/>
        <v>24.390474120124654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14.833333333333334</v>
      </c>
      <c r="BY36" s="13">
        <f>IF('Données projet'!$A$114&gt;35,BY35+BX36-CG35,IF(A36&lt;'Données projet'!$A$114,$BV$205^A36,IF(A36='Données projet'!$A$114,'Données projet'!$B$114,BY35+BX36-CG35)))</f>
        <v>229.16666666666671</v>
      </c>
      <c r="BZ36" s="14">
        <f>BY36*VLOOKUP('Données projet'!$B$12,Paramètres!$A$1:$I$89,3,0)*VLOOKUP('Données projet'!$B$12,Paramètres!$A$1:$I$89,5,0)</f>
        <v>137.04166666666671</v>
      </c>
      <c r="CA36" s="14">
        <f t="shared" si="39"/>
        <v>35.618452776877568</v>
      </c>
      <c r="CB36" s="22">
        <f t="shared" si="10"/>
        <v>300.7163746975063</v>
      </c>
      <c r="CC36" s="62">
        <f t="shared" si="11"/>
        <v>542.597220532047</v>
      </c>
      <c r="CD36" s="62">
        <f ca="1">AVERAGE(OFFSET($CC$3,0,0,'Données projet'!$E$12+1,1))-AVERAGE(OFFSET($H$3,0,0,'Données projet'!$E$12+1,1))</f>
        <v>275.76900776033335</v>
      </c>
      <c r="CE36" s="62">
        <f t="shared" si="40"/>
        <v>299.36898480605191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14.403211670324142</v>
      </c>
      <c r="CL36" s="23">
        <f>EXP(-LN(2)/25)*CL35+(1-EXP(-LN(2)/25))/(LN(2)/25)*Calculateur!CG36*Calculateur!CI36*VLOOKUP('Données projet'!$B$12,Paramètres!$A$1:$I$89,3,0)*0.475*44/12</f>
        <v>8.2210533609480922</v>
      </c>
      <c r="CM36" s="23">
        <f>EXP(-LN(2)/2)*CM35+(1-EXP(-LN(2)/2))/(LN(2)/2)*CG36*CJ36*VLOOKUP('Données projet'!$B$12,Paramètres!$A$1:$I$89,3,0)*0.475*44/12</f>
        <v>0.74993933384722844</v>
      </c>
      <c r="CN36" s="24">
        <f t="shared" si="12"/>
        <v>23.374204365119461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3.6111111111111112</v>
      </c>
      <c r="CT36" s="13">
        <f>IF('Données projet'!$A$140&gt;35,CT35+CS36-DB35,IF(A36&lt;'Données projet'!$A$140,$CQ$205^A36,IF(A36='Données projet'!$A$140,'Données projet'!$B$140,CT35+CS36-DB35)))</f>
        <v>119.16666666666674</v>
      </c>
      <c r="CU36" s="18">
        <f>CT36*VLOOKUP('Données projet'!$B$13,Paramètres!$A$1:$I$89,3,0)*VLOOKUP('Données projet'!$B$13,Paramètres!$A$1:$I$89,5,0)</f>
        <v>130.13000000000008</v>
      </c>
      <c r="CV36" s="14">
        <f t="shared" si="41"/>
        <v>34.026396767825638</v>
      </c>
      <c r="CW36" s="22">
        <f t="shared" si="13"/>
        <v>285.9057243706298</v>
      </c>
      <c r="CX36" s="62">
        <f t="shared" si="14"/>
        <v>527.78657020517051</v>
      </c>
      <c r="CY36" s="62">
        <f ca="1">AVERAGE(OFFSET($CX$3,0,0,'Données projet'!$E$13+1,1))-AVERAGE(OFFSET($H$3,0,0,'Données projet'!$E$13+1,1))</f>
        <v>482.24068797679558</v>
      </c>
      <c r="CZ36" s="62">
        <f t="shared" si="42"/>
        <v>316.28941055521693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10</v>
      </c>
      <c r="DO36" s="13">
        <f>IF('Données projet'!$A$166&gt;35,DO35+DN36-DW35,IF(A36&lt;'Données projet'!$A$166,$DL$205^A36,IF(A36='Données projet'!$A$166,'Données projet'!$B$166,DO35+DN36-DW35)))</f>
        <v>202.00000000000006</v>
      </c>
      <c r="DP36" s="18">
        <f>DO36*VLOOKUP('Données projet'!$B$14,Paramètres!$A$1:$I$89,3,0)*VLOOKUP('Données projet'!$B$14,Paramètres!$A$1:$I$89,5,0)</f>
        <v>163.86240000000006</v>
      </c>
      <c r="DQ36" s="14">
        <f t="shared" si="43"/>
        <v>41.712477409029084</v>
      </c>
      <c r="DR36" s="22">
        <f t="shared" si="16"/>
        <v>358.04291148739236</v>
      </c>
      <c r="DS36" s="62">
        <f t="shared" si="17"/>
        <v>599.92375732193307</v>
      </c>
      <c r="DT36" s="62">
        <f ca="1">AVERAGE(OFFSET($DS$3,0,0,'Données projet'!$E$14+1,1))-AVERAGE(OFFSET($H$3,0,0,'Données projet'!$E$14+1,1))</f>
        <v>325.58538970226539</v>
      </c>
      <c r="DU36" s="62">
        <f t="shared" si="44"/>
        <v>361.81085660423457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5.7593662951176254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5.7593662951176254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2.8888888888888888</v>
      </c>
      <c r="EJ36" s="13">
        <f>IF('Données projet'!$A$192&gt;35,EJ35+EI36-ER35,IF(A36&lt;'Données projet'!$A$192,$EG$205^A36,IF(A36='Données projet'!$A$192,'Données projet'!$B$192,EJ35+EI36-ER35)))</f>
        <v>95.333333333333272</v>
      </c>
      <c r="EK36" s="18">
        <f>EJ36*VLOOKUP('Données projet'!$B$15,Paramètres!$A$1:$I$89,3,0)*VLOOKUP('Données projet'!$B$15,Paramètres!$A$1:$I$89,5,0)</f>
        <v>92.206399999999945</v>
      </c>
      <c r="EL36" s="14">
        <f t="shared" si="45"/>
        <v>25.096603135357018</v>
      </c>
      <c r="EM36" s="22">
        <f t="shared" si="19"/>
        <v>204.30273046074669</v>
      </c>
      <c r="EN36" s="62">
        <f t="shared" si="20"/>
        <v>446.18357629528742</v>
      </c>
      <c r="EO36" s="62">
        <f ca="1">AVERAGE(OFFSET($EN$3,0,0,'Données projet'!$E$15+1,1))-AVERAGE(OFFSET($H$3,0,0,'Données projet'!$E$15+1,1))</f>
        <v>364.22267539944085</v>
      </c>
      <c r="EP36" s="62">
        <f t="shared" si="46"/>
        <v>241.947139538615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8</v>
      </c>
      <c r="FE36" s="13">
        <f>IF('Données projet'!$A$218&gt;35,FE35+FD36-FM35,IF(A36&lt;'Données projet'!$A$218,$FB$205^A36,IF(A36='Données projet'!$A$218,'Données projet'!$B$218,FE35+FD36-FM35)))</f>
        <v>160.99999999999997</v>
      </c>
      <c r="FF36" s="18">
        <f>FE36*VLOOKUP('Données projet'!$B$16,Paramètres!$A$1:$I$89,3,0)*VLOOKUP('Données projet'!$B$16,Paramètres!$A$1:$I$89,5,0)</f>
        <v>140.64959999999999</v>
      </c>
      <c r="FG36" s="14">
        <f t="shared" si="47"/>
        <v>36.445779615258601</v>
      </c>
      <c r="FH36" s="22">
        <f t="shared" si="22"/>
        <v>308.44111949657537</v>
      </c>
      <c r="FI36" s="62">
        <f t="shared" si="23"/>
        <v>550.32196533111608</v>
      </c>
      <c r="FJ36" s="62">
        <f ca="1">AVERAGE(OFFSET($FI$3,0,0,'Données projet'!$E$16+1,1))-AVERAGE(OFFSET($H$3,0,0,'Données projet'!$E$16+1,1))</f>
        <v>286.59837239471312</v>
      </c>
      <c r="FK36" s="62">
        <f t="shared" si="48"/>
        <v>319.26091328564689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6.1158494325256196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6.1158494325256196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10</v>
      </c>
      <c r="FZ36" s="13">
        <f>IF('Données projet'!$A$244&gt;35,FZ35+FY36-GH35,IF(A36&lt;'Données projet'!$A$244,$FW$205^A36,IF(A36='Données projet'!$A$244,'Données projet'!$B$244,FZ35+FY36-GH35)))</f>
        <v>202.00000000000006</v>
      </c>
      <c r="GA36" s="18">
        <f>FZ36*VLOOKUP('Données projet'!$B$17,Paramètres!$A$1:$I$89,3,0)*VLOOKUP('Données projet'!$B$17,Paramètres!$A$1:$I$89,5,0)</f>
        <v>135.50160000000005</v>
      </c>
      <c r="GB36" s="14">
        <f t="shared" si="49"/>
        <v>35.264534657342089</v>
      </c>
      <c r="GC36" s="22">
        <f t="shared" si="25"/>
        <v>297.41768452820423</v>
      </c>
      <c r="GD36" s="62">
        <f t="shared" si="26"/>
        <v>539.29853036274494</v>
      </c>
      <c r="GE36" s="62">
        <f ca="1">AVERAGE(OFFSET($GD$3,0,0,'Données projet'!$E$17+1,1))-AVERAGE(OFFSET($H$3,0,0,'Données projet'!$E$17+1,1))</f>
        <v>277.37570531842186</v>
      </c>
      <c r="GF36" s="62">
        <f t="shared" si="50"/>
        <v>310.00874200911312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projet'!$B$17,Paramètres!$A$1:$I$89,3,0)*0.475*44/12</f>
        <v>5.8701233392545022</v>
      </c>
      <c r="GM36" s="23">
        <f>EXP(-LN(2)/25)*GM35+(1-EXP(-LN(2)/25))/(LN(2)/25)*Calculateur!GH36*Calculateur!GJ36*VLOOKUP('Données projet'!$B$17,Paramètres!$A$1:$I$89,3,0)*0.475*44/12</f>
        <v>0</v>
      </c>
      <c r="GN36" s="23">
        <f>EXP(-LN(2)/2)*GN35+(1-EXP(-LN(2)/2))/(LN(2)/2)*GH36*GK36*VLOOKUP('Données projet'!$B$17,Paramètres!$A$1:$I$89,3,0)*0.475*44/12</f>
        <v>0</v>
      </c>
      <c r="GO36" s="23">
        <f t="shared" si="27"/>
        <v>5.8701233392545022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3.6111111111111112</v>
      </c>
      <c r="N37" s="14">
        <f>IF('Données projet'!$A$36&gt;35,N36+M37-V36,IF(A37&lt;'Données projet'!$A$36,$K$205^A37,IF(A37='Données projet'!$A$36,'Données projet'!$B$36,N36+M37-V36)))</f>
        <v>122.77777777777786</v>
      </c>
      <c r="O37" s="14">
        <f>N37*VLOOKUP('Données projet'!$B$9,Paramètres!$A$1:$I$89,3,0)*VLOOKUP('Données projet'!$B$9,Paramètres!$A$1:$I$89,5,0)</f>
        <v>107.25866666666674</v>
      </c>
      <c r="P37" s="14">
        <f t="shared" si="33"/>
        <v>28.68415946037425</v>
      </c>
      <c r="Q37" s="22">
        <f t="shared" si="53"/>
        <v>236.76708883792978</v>
      </c>
      <c r="R37" s="62">
        <f t="shared" si="0"/>
        <v>479.54052030004539</v>
      </c>
      <c r="S37" s="62">
        <f ca="1">AVERAGE(OFFSET($R$3,0,0,'Données projet'!$E$9+1,1))-AVERAGE(OFFSET($H$3,0,0,'Données projet'!$E$9+1,1))</f>
        <v>401.34220206028908</v>
      </c>
      <c r="T37" s="62">
        <f t="shared" si="34"/>
        <v>265.33314259106987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7</v>
      </c>
      <c r="AI37" s="14">
        <f>IF('Données projet'!$A$62&gt;35,AI36+AH37-AQ36,IF(A37&lt;'Données projet'!$A$62,$AF$205^A37,IF(A37='Données projet'!$A$62,'Données projet'!$B$62,AI36+AH37-AQ36)))</f>
        <v>154</v>
      </c>
      <c r="AJ37" s="14">
        <f>AI37*VLOOKUP('Données projet'!$B$10,Paramètres!$A$1:$I$89,3,0)*VLOOKUP('Données projet'!$B$10,Paramètres!$A$1:$I$89,5,0)</f>
        <v>72.072000000000003</v>
      </c>
      <c r="AK37" s="14">
        <f t="shared" si="35"/>
        <v>20.187131385147271</v>
      </c>
      <c r="AL37" s="22">
        <f t="shared" si="4"/>
        <v>160.68465382913149</v>
      </c>
      <c r="AM37" s="62">
        <f t="shared" si="5"/>
        <v>403.45808529124707</v>
      </c>
      <c r="AN37" s="62">
        <f ca="1">AVERAGE(OFFSET($AM$3,0,0,'Données projet'!$E$10+1,1))-AVERAGE(OFFSET($H$3,0,0,'Données projet'!$E$10+1,1))</f>
        <v>253.48761861464732</v>
      </c>
      <c r="AO37" s="62">
        <f t="shared" si="36"/>
        <v>219.50855998133855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6.8453113270721317</v>
      </c>
      <c r="AV37" s="23">
        <f>EXP(-LN(2)/25)*AV36+(1-EXP(-LN(2)/25))/(LN(2)/25)*Calculateur!AQ37*Calculateur!AS37*VLOOKUP('Données projet'!$B$10,Paramètres!$A$1:$I$89,3,0)*0.475*44/12</f>
        <v>4.5756502349035912</v>
      </c>
      <c r="AW37" s="23">
        <f>EXP(-LN(2)/2)*AW36+(1-EXP(-LN(2)/2))/(LN(2)/2)*AQ37*AT37*VLOOKUP('Données projet'!$B$10,Paramètres!$A$1:$I$89,3,0)*0.475*44/12</f>
        <v>0.57575286090555522</v>
      </c>
      <c r="AX37" s="23">
        <f t="shared" si="6"/>
        <v>11.996714422881277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>
        <f>VLOOKUP(A37,'Données projet'!$A$87:$I$107,2,0)</f>
        <v>244</v>
      </c>
      <c r="BB37" s="13">
        <f>VLOOKUP(A37,'Données projet'!$A$87:$I$107,9,0)</f>
        <v>14.833333333333334</v>
      </c>
      <c r="BC37" s="13">
        <f t="array" ref="BC37">INDEX(BB:BB,MIN(IF(ISNUMBER(BB37:BB233),ROW(BB37:BB233),"")))</f>
        <v>14.833333333333334</v>
      </c>
      <c r="BD37" s="13">
        <f>IF('Données projet'!$A$88&gt;35,BD36+BC37-BL36,IF(A37&lt;'Données projet'!$A$88,$BA$205^A37,IF(A37='Données projet'!$A$88,'Données projet'!$B$88,BD36+BC37-BL36)))</f>
        <v>244.00000000000006</v>
      </c>
      <c r="BE37" s="14">
        <f>BD37*VLOOKUP('Données projet'!$B$11,Paramètres!$A$1:$I$89,3,0)*VLOOKUP('Données projet'!$B$11,Paramètres!$A$1:$I$89,5,0)</f>
        <v>281.08800000000002</v>
      </c>
      <c r="BF37" s="14">
        <f t="shared" si="37"/>
        <v>67.196882635077216</v>
      </c>
      <c r="BG37" s="22">
        <f t="shared" si="7"/>
        <v>606.59617058942615</v>
      </c>
      <c r="BH37" s="62">
        <f t="shared" si="8"/>
        <v>849.36960205154173</v>
      </c>
      <c r="BI37" s="62">
        <f ca="1">AVERAGE(OFFSET($BH$3,0,0,'Données projet'!$E$11+1,1))-AVERAGE(OFFSET($H$3,0,0,'Données projet'!$E$11+1,1))</f>
        <v>482.85256243111911</v>
      </c>
      <c r="BJ37" s="62">
        <f t="shared" si="38"/>
        <v>517.78430032567064</v>
      </c>
      <c r="BK37" s="16">
        <f>IF(ISNA(VLOOKUP(A37,'Données projet'!$A$87:$I$107,3,0)),0,VLOOKUP(A37,'Données projet'!$A$87:$I$107,3,0))</f>
        <v>5</v>
      </c>
      <c r="BL37" s="16">
        <f>IF(ISNA(VLOOKUP(A37,'Données projet'!$A$87:$I$107,4,0)),0,VLOOKUP(A37,'Données projet'!$A$87:$I$107,4,0))</f>
        <v>46</v>
      </c>
      <c r="BM37" s="17">
        <f>IF(ISNA(VLOOKUP(A37,'Données projet'!$A$87:$I$107,5,0)),0%,VLOOKUP(A37,'Données projet'!$A$87:$I$107,5,0)*VLOOKUP('Données projet'!$B$11,Paramètres!$A$1:$I$89,7,0))</f>
        <v>0.315</v>
      </c>
      <c r="BN37" s="17">
        <f>IF(ISNA(VLOOKUP(A37,'Données projet'!$A$87:$I$107,6,0)),0%,VLOOKUP(A37,'Données projet'!$A$87:$I$107,6,0)*VLOOKUP('Données projet'!$B$11,Paramètres!$A$1:$I$89,7,0))</f>
        <v>7.6500000000000012E-2</v>
      </c>
      <c r="BO37" s="17">
        <f>IF(ISNA(VLOOKUP(A37,'Données projet'!$A$87:$I$107,7,0)),0%,VLOOKUP(A37,'Données projet'!$A$87:$I$107,7,0))</f>
        <v>0.13</v>
      </c>
      <c r="BP37" s="23">
        <f>EXP(-LN(2)/35)*BP36+(1-EXP(-LN(2)/35))/(LN(2)/35)*BL37*BM37*VLOOKUP('Données projet'!$B$11,Paramètres!$A$1:$I$89,3,0)*0.475*44/12</f>
        <v>26.729197577982756</v>
      </c>
      <c r="BQ37" s="23">
        <f>EXP(-LN(2)/25)*BQ36+(1-EXP(-LN(2)/25))/(LN(2)/25)*Calculateur!BL37*Calculateur!BN37*VLOOKUP('Données projet'!$B$11,Paramètres!$A$1:$I$89,3,0)*0.475*44/12</f>
        <v>11.245386337121717</v>
      </c>
      <c r="BR37" s="23">
        <f>EXP(-LN(2)/2)*BR36+(1-EXP(-LN(2)/2))/(LN(2)/2)*BL37*BO37*VLOOKUP('Données projet'!$B$11,Paramètres!$A$1:$I$89,3,0)*0.475*44/12</f>
        <v>4.7782906160227201</v>
      </c>
      <c r="BS37" s="24">
        <f t="shared" si="9"/>
        <v>42.752874531127198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>
        <f>VLOOKUP(A37,'Données projet'!$A$113:$I$133,2,0)</f>
        <v>244</v>
      </c>
      <c r="BW37" s="13">
        <f>VLOOKUP(A37,'Données projet'!$A$113:$I$133,9,0)</f>
        <v>14.833333333333334</v>
      </c>
      <c r="BX37" s="13">
        <f t="array" ref="BX37">INDEX(BW:BW,MIN(IF(ISNUMBER(BW37:BW233),ROW(BW37:BW233),"")))</f>
        <v>14.833333333333334</v>
      </c>
      <c r="BY37" s="13">
        <f>IF('Données projet'!$A$114&gt;35,BY36+BX37-CG36,IF(A37&lt;'Données projet'!$A$114,$BV$205^A37,IF(A37='Données projet'!$A$114,'Données projet'!$B$114,BY36+BX37-CG36)))</f>
        <v>244.00000000000006</v>
      </c>
      <c r="BZ37" s="14">
        <f>BY37*VLOOKUP('Données projet'!$B$12,Paramètres!$A$1:$I$89,3,0)*VLOOKUP('Données projet'!$B$12,Paramètres!$A$1:$I$89,5,0)</f>
        <v>145.91200000000006</v>
      </c>
      <c r="CA37" s="14">
        <f t="shared" si="39"/>
        <v>37.648084239987625</v>
      </c>
      <c r="CB37" s="22">
        <f t="shared" si="10"/>
        <v>319.7004800513119</v>
      </c>
      <c r="CC37" s="62">
        <f t="shared" si="11"/>
        <v>562.47391151342754</v>
      </c>
      <c r="CD37" s="62">
        <f ca="1">AVERAGE(OFFSET($CC$3,0,0,'Données projet'!$E$12+1,1))-AVERAGE(OFFSET($H$3,0,0,'Données projet'!$E$12+1,1))</f>
        <v>275.76900776033335</v>
      </c>
      <c r="CE37" s="62">
        <f t="shared" si="40"/>
        <v>299.36898480605191</v>
      </c>
      <c r="CF37" s="16">
        <f>IF(ISNA(VLOOKUP(A37,'Données projet'!$A$113:$I$133,3,0)),0,VLOOKUP(A37,'Données projet'!$A$113:$I$133,3,0))</f>
        <v>5</v>
      </c>
      <c r="CG37" s="16">
        <f>IF(ISNA(VLOOKUP(A37,'Données projet'!$A$113:$I$133,4,0)),0,VLOOKUP(A37,'Données projet'!$A$113:$I$133,4,0))</f>
        <v>46</v>
      </c>
      <c r="CH37" s="17">
        <f>IF(ISNA(VLOOKUP(A37,'Données projet'!$A$113:$I$133,5,0)),0%,VLOOKUP(A37,'Données projet'!$A$113:$I$133,5,0)*VLOOKUP('Données projet'!$B$12,Paramètres!$A$1:$I$89,7,0))</f>
        <v>0.315</v>
      </c>
      <c r="CI37" s="17">
        <f>IF(ISNA(VLOOKUP(A37,'Données projet'!$A$113:$I$133,6,0)),0%,VLOOKUP(A37,'Données projet'!$A$113:$I$133,6,0)*VLOOKUP('Données projet'!$B$12,Paramètres!$A$1:$I$89,7,0))</f>
        <v>7.6500000000000012E-2</v>
      </c>
      <c r="CJ37" s="17">
        <f>IF(ISNA(VLOOKUP(A37,'Données projet'!$A$113:$I$133,7,0)),0%,VLOOKUP(A37,'Données projet'!$A$113:$I$133,7,0))</f>
        <v>0.13</v>
      </c>
      <c r="CK37" s="23">
        <f>EXP(-LN(2)/35)*CK36+(1-EXP(-LN(2)/35))/(LN(2)/35)*CG37*CH37*VLOOKUP('Données projet'!$B$12,Paramètres!$A$1:$I$89,3,0)*0.475*44/12</f>
        <v>25.615481012233474</v>
      </c>
      <c r="CL37" s="23">
        <f>EXP(-LN(2)/25)*CL36+(1-EXP(-LN(2)/25))/(LN(2)/25)*Calculateur!CG37*Calculateur!CI37*VLOOKUP('Données projet'!$B$12,Paramètres!$A$1:$I$89,3,0)*0.475*44/12</f>
        <v>10.77682857307498</v>
      </c>
      <c r="CM37" s="23">
        <f>EXP(-LN(2)/2)*CM36+(1-EXP(-LN(2)/2))/(LN(2)/2)*CG37*CJ37*VLOOKUP('Données projet'!$B$12,Paramètres!$A$1:$I$89,3,0)*0.475*44/12</f>
        <v>4.57919517368844</v>
      </c>
      <c r="CN37" s="24">
        <f t="shared" si="12"/>
        <v>40.971504758996893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3.6111111111111112</v>
      </c>
      <c r="CT37" s="13">
        <f>IF('Données projet'!$A$140&gt;35,CT36+CS37-DB36,IF(A37&lt;'Données projet'!$A$140,$CQ$205^A37,IF(A37='Données projet'!$A$140,'Données projet'!$B$140,CT36+CS37-DB36)))</f>
        <v>122.77777777777786</v>
      </c>
      <c r="CU37" s="18">
        <f>CT37*VLOOKUP('Données projet'!$B$13,Paramètres!$A$1:$I$89,3,0)*VLOOKUP('Données projet'!$B$13,Paramètres!$A$1:$I$89,5,0)</f>
        <v>134.07333333333344</v>
      </c>
      <c r="CV37" s="14">
        <f t="shared" si="41"/>
        <v>34.935890335113115</v>
      </c>
      <c r="CW37" s="22">
        <f t="shared" si="13"/>
        <v>294.35773122254443</v>
      </c>
      <c r="CX37" s="62">
        <f t="shared" si="14"/>
        <v>537.13116268466001</v>
      </c>
      <c r="CY37" s="62">
        <f ca="1">AVERAGE(OFFSET($CX$3,0,0,'Données projet'!$E$13+1,1))-AVERAGE(OFFSET($H$3,0,0,'Données projet'!$E$13+1,1))</f>
        <v>482.24068797679558</v>
      </c>
      <c r="CZ37" s="62">
        <f t="shared" si="42"/>
        <v>316.28941055521693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10</v>
      </c>
      <c r="DO37" s="13">
        <f>IF('Données projet'!$A$166&gt;35,DO36+DN37-DW36,IF(A37&lt;'Données projet'!$A$166,$DL$205^A37,IF(A37='Données projet'!$A$166,'Données projet'!$B$166,DO36+DN37-DW36)))</f>
        <v>212.00000000000006</v>
      </c>
      <c r="DP37" s="18">
        <f>DO37*VLOOKUP('Données projet'!$B$14,Paramètres!$A$1:$I$89,3,0)*VLOOKUP('Données projet'!$B$14,Paramètres!$A$1:$I$89,5,0)</f>
        <v>171.97440000000006</v>
      </c>
      <c r="DQ37" s="14">
        <f t="shared" si="43"/>
        <v>43.531925888246164</v>
      </c>
      <c r="DR37" s="22">
        <f t="shared" si="16"/>
        <v>375.34018425536215</v>
      </c>
      <c r="DS37" s="62">
        <f t="shared" si="17"/>
        <v>618.11361571747773</v>
      </c>
      <c r="DT37" s="62">
        <f ca="1">AVERAGE(OFFSET($DS$3,0,0,'Données projet'!$E$14+1,1))-AVERAGE(OFFSET($H$3,0,0,'Données projet'!$E$14+1,1))</f>
        <v>325.58538970226539</v>
      </c>
      <c r="DU37" s="62">
        <f t="shared" si="44"/>
        <v>361.81085660423457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5.6464286349369424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5.6464286349369424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2.8888888888888888</v>
      </c>
      <c r="EJ37" s="13">
        <f>IF('Données projet'!$A$192&gt;35,EJ36+EI37-ER36,IF(A37&lt;'Données projet'!$A$192,$EG$205^A37,IF(A37='Données projet'!$A$192,'Données projet'!$B$192,EJ36+EI37-ER36)))</f>
        <v>98.222222222222157</v>
      </c>
      <c r="EK37" s="18">
        <f>EJ37*VLOOKUP('Données projet'!$B$15,Paramètres!$A$1:$I$89,3,0)*VLOOKUP('Données projet'!$B$15,Paramètres!$A$1:$I$89,5,0)</f>
        <v>95.00053333333328</v>
      </c>
      <c r="EL37" s="14">
        <f t="shared" si="45"/>
        <v>25.767411721647186</v>
      </c>
      <c r="EM37" s="22">
        <f t="shared" si="19"/>
        <v>210.33750430409097</v>
      </c>
      <c r="EN37" s="62">
        <f t="shared" si="20"/>
        <v>453.11093576620658</v>
      </c>
      <c r="EO37" s="62">
        <f ca="1">AVERAGE(OFFSET($EN$3,0,0,'Données projet'!$E$15+1,1))-AVERAGE(OFFSET($H$3,0,0,'Données projet'!$E$15+1,1))</f>
        <v>364.22267539944085</v>
      </c>
      <c r="EP37" s="62">
        <f t="shared" si="46"/>
        <v>241.947139538615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8</v>
      </c>
      <c r="FE37" s="13">
        <f>IF('Données projet'!$A$218&gt;35,FE36+FD37-FM36,IF(A37&lt;'Données projet'!$A$218,$FB$205^A37,IF(A37='Données projet'!$A$218,'Données projet'!$B$218,FE36+FD37-FM36)))</f>
        <v>168.99999999999997</v>
      </c>
      <c r="FF37" s="18">
        <f>FE37*VLOOKUP('Données projet'!$B$16,Paramètres!$A$1:$I$89,3,0)*VLOOKUP('Données projet'!$B$16,Paramètres!$A$1:$I$89,5,0)</f>
        <v>147.63839999999999</v>
      </c>
      <c r="FG37" s="14">
        <f t="shared" si="47"/>
        <v>38.041408878951295</v>
      </c>
      <c r="FH37" s="22">
        <f t="shared" si="22"/>
        <v>323.39233379750681</v>
      </c>
      <c r="FI37" s="62">
        <f t="shared" si="23"/>
        <v>566.16576525962239</v>
      </c>
      <c r="FJ37" s="62">
        <f ca="1">AVERAGE(OFFSET($FI$3,0,0,'Données projet'!$E$16+1,1))-AVERAGE(OFFSET($H$3,0,0,'Données projet'!$E$16+1,1))</f>
        <v>286.59837239471312</v>
      </c>
      <c r="FK37" s="62">
        <f t="shared" si="48"/>
        <v>319.26091328564689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5.9959213554536097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5.9959213554536097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10</v>
      </c>
      <c r="FZ37" s="13">
        <f>IF('Données projet'!$A$244&gt;35,FZ36+FY37-GH36,IF(A37&lt;'Données projet'!$A$244,$FW$205^A37,IF(A37='Données projet'!$A$244,'Données projet'!$B$244,FZ36+FY37-GH36)))</f>
        <v>212.00000000000006</v>
      </c>
      <c r="GA37" s="18">
        <f>FZ37*VLOOKUP('Données projet'!$B$17,Paramètres!$A$1:$I$89,3,0)*VLOOKUP('Données projet'!$B$17,Paramètres!$A$1:$I$89,5,0)</f>
        <v>142.20960000000005</v>
      </c>
      <c r="GB37" s="14">
        <f t="shared" si="49"/>
        <v>36.802731569585646</v>
      </c>
      <c r="GC37" s="22">
        <f t="shared" si="25"/>
        <v>311.77981081702836</v>
      </c>
      <c r="GD37" s="62">
        <f t="shared" si="26"/>
        <v>554.55324227914389</v>
      </c>
      <c r="GE37" s="62">
        <f ca="1">AVERAGE(OFFSET($GD$3,0,0,'Données projet'!$E$17+1,1))-AVERAGE(OFFSET($H$3,0,0,'Données projet'!$E$17+1,1))</f>
        <v>277.37570531842186</v>
      </c>
      <c r="GF37" s="62">
        <f t="shared" si="50"/>
        <v>310.00874200911312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projet'!$B$17,Paramètres!$A$1:$I$89,3,0)*0.475*44/12</f>
        <v>5.7550138009934209</v>
      </c>
      <c r="GM37" s="23">
        <f>EXP(-LN(2)/25)*GM36+(1-EXP(-LN(2)/25))/(LN(2)/25)*Calculateur!GH37*Calculateur!GJ37*VLOOKUP('Données projet'!$B$17,Paramètres!$A$1:$I$89,3,0)*0.475*44/12</f>
        <v>0</v>
      </c>
      <c r="GN37" s="23">
        <f>EXP(-LN(2)/2)*GN36+(1-EXP(-LN(2)/2))/(LN(2)/2)*GH37*GK37*VLOOKUP('Données projet'!$B$17,Paramètres!$A$1:$I$89,3,0)*0.475*44/12</f>
        <v>0</v>
      </c>
      <c r="GO37" s="23">
        <f t="shared" si="27"/>
        <v>5.7550138009934209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3.6111111111111112</v>
      </c>
      <c r="N38" s="14">
        <f>IF('Données projet'!$A$36&gt;35,N37+M38-V37,IF(A38&lt;'Données projet'!$A$36,$K$205^A38,IF(A38='Données projet'!$A$36,'Données projet'!$B$36,N37+M38-V37)))</f>
        <v>126.38888888888897</v>
      </c>
      <c r="O38" s="14">
        <f>N38*VLOOKUP('Données projet'!$B$9,Paramètres!$A$1:$I$89,3,0)*VLOOKUP('Données projet'!$B$9,Paramètres!$A$1:$I$89,5,0)</f>
        <v>110.41333333333341</v>
      </c>
      <c r="P38" s="14">
        <f t="shared" si="33"/>
        <v>29.428347862377077</v>
      </c>
      <c r="Q38" s="22">
        <f t="shared" si="53"/>
        <v>243.55759474919577</v>
      </c>
      <c r="R38" s="62">
        <f t="shared" si="0"/>
        <v>487.20812747377028</v>
      </c>
      <c r="S38" s="62">
        <f ca="1">AVERAGE(OFFSET($R$3,0,0,'Données projet'!$E$9+1,1))-AVERAGE(OFFSET($H$3,0,0,'Données projet'!$E$9+1,1))</f>
        <v>401.34220206028908</v>
      </c>
      <c r="T38" s="62">
        <f t="shared" si="34"/>
        <v>265.33314259106987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7</v>
      </c>
      <c r="AI38" s="14">
        <f>IF('Données projet'!$A$62&gt;35,AI37+AH38-AQ37,IF(A38&lt;'Données projet'!$A$62,$AF$205^A38,IF(A38='Données projet'!$A$62,'Données projet'!$B$62,AI37+AH38-AQ37)))</f>
        <v>161</v>
      </c>
      <c r="AJ38" s="14">
        <f>AI38*VLOOKUP('Données projet'!$B$10,Paramètres!$A$1:$I$89,3,0)*VLOOKUP('Données projet'!$B$10,Paramètres!$A$1:$I$89,5,0)</f>
        <v>75.347999999999999</v>
      </c>
      <c r="AK38" s="14">
        <f t="shared" si="35"/>
        <v>20.99581051771704</v>
      </c>
      <c r="AL38" s="22">
        <f t="shared" si="4"/>
        <v>167.79880331835713</v>
      </c>
      <c r="AM38" s="62">
        <f t="shared" si="5"/>
        <v>411.44933604293163</v>
      </c>
      <c r="AN38" s="62">
        <f ca="1">AVERAGE(OFFSET($AM$3,0,0,'Données projet'!$E$10+1,1))-AVERAGE(OFFSET($H$3,0,0,'Données projet'!$E$10+1,1))</f>
        <v>253.48761861464732</v>
      </c>
      <c r="AO38" s="62">
        <f t="shared" si="36"/>
        <v>219.50855998133855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6.7110789471758876</v>
      </c>
      <c r="AV38" s="23">
        <f>EXP(-LN(2)/25)*AV37+(1-EXP(-LN(2)/25))/(LN(2)/25)*Calculateur!AQ38*Calculateur!AS38*VLOOKUP('Données projet'!$B$10,Paramètres!$A$1:$I$89,3,0)*0.475*44/12</f>
        <v>4.4505288386071644</v>
      </c>
      <c r="AW38" s="23">
        <f>EXP(-LN(2)/2)*AW37+(1-EXP(-LN(2)/2))/(LN(2)/2)*AQ38*AT38*VLOOKUP('Données projet'!$B$10,Paramètres!$A$1:$I$89,3,0)*0.475*44/12</f>
        <v>0.40711875223387317</v>
      </c>
      <c r="AX38" s="23">
        <f t="shared" si="6"/>
        <v>11.568726538016925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12.833333333333334</v>
      </c>
      <c r="BD38" s="13">
        <f>IF('Données projet'!$A$88&gt;35,BD37+BC38-BL37,IF(A38&lt;'Données projet'!$A$88,$BA$205^A38,IF(A38='Données projet'!$A$88,'Données projet'!$B$88,BD37+BC38-BL37)))</f>
        <v>210.83333333333337</v>
      </c>
      <c r="BE38" s="14">
        <f>BD38*VLOOKUP('Données projet'!$B$11,Paramètres!$A$1:$I$89,3,0)*VLOOKUP('Données projet'!$B$11,Paramètres!$A$1:$I$89,5,0)</f>
        <v>242.88000000000002</v>
      </c>
      <c r="BF38" s="14">
        <f t="shared" si="37"/>
        <v>59.058745671394</v>
      </c>
      <c r="BG38" s="22">
        <f t="shared" si="7"/>
        <v>525.87664871101117</v>
      </c>
      <c r="BH38" s="62">
        <f t="shared" si="8"/>
        <v>769.5271814355857</v>
      </c>
      <c r="BI38" s="62">
        <f ca="1">AVERAGE(OFFSET($BH$3,0,0,'Données projet'!$E$11+1,1))-AVERAGE(OFFSET($H$3,0,0,'Données projet'!$E$11+1,1))</f>
        <v>482.85256243111911</v>
      </c>
      <c r="BJ38" s="62">
        <f t="shared" si="38"/>
        <v>517.78430032567064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26.205054316679231</v>
      </c>
      <c r="BQ38" s="23">
        <f>EXP(-LN(2)/25)*BQ37+(1-EXP(-LN(2)/25))/(LN(2)/25)*Calculateur!BL38*Calculateur!BN38*VLOOKUP('Données projet'!$B$11,Paramètres!$A$1:$I$89,3,0)*0.475*44/12</f>
        <v>10.937880656363959</v>
      </c>
      <c r="BR38" s="23">
        <f>EXP(-LN(2)/2)*BR37+(1-EXP(-LN(2)/2))/(LN(2)/2)*BL38*BO38*VLOOKUP('Données projet'!$B$11,Paramètres!$A$1:$I$89,3,0)*0.475*44/12</f>
        <v>3.3787616970697112</v>
      </c>
      <c r="BS38" s="24">
        <f t="shared" si="9"/>
        <v>40.521696670112902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12.833333333333334</v>
      </c>
      <c r="BY38" s="13">
        <f>IF('Données projet'!$A$114&gt;35,BY37+BX38-CG37,IF(A38&lt;'Données projet'!$A$114,$BV$205^A38,IF(A38='Données projet'!$A$114,'Données projet'!$B$114,BY37+BX38-CG37)))</f>
        <v>210.83333333333337</v>
      </c>
      <c r="BZ38" s="14">
        <f>BY38*VLOOKUP('Données projet'!$B$12,Paramètres!$A$1:$I$89,3,0)*VLOOKUP('Données projet'!$B$12,Paramètres!$A$1:$I$89,5,0)</f>
        <v>126.07833333333336</v>
      </c>
      <c r="CA38" s="14">
        <f t="shared" si="39"/>
        <v>33.08856817390501</v>
      </c>
      <c r="CB38" s="22">
        <f t="shared" si="10"/>
        <v>277.21568679177352</v>
      </c>
      <c r="CC38" s="62">
        <f t="shared" si="11"/>
        <v>520.866219516348</v>
      </c>
      <c r="CD38" s="62">
        <f ca="1">AVERAGE(OFFSET($CC$3,0,0,'Données projet'!$E$12+1,1))-AVERAGE(OFFSET($H$3,0,0,'Données projet'!$E$12+1,1))</f>
        <v>275.76900776033335</v>
      </c>
      <c r="CE38" s="62">
        <f t="shared" si="40"/>
        <v>299.36898480605191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25.113177053484261</v>
      </c>
      <c r="CL38" s="23">
        <f>EXP(-LN(2)/25)*CL37+(1-EXP(-LN(2)/25))/(LN(2)/25)*Calculateur!CG38*Calculateur!CI38*VLOOKUP('Données projet'!$B$12,Paramètres!$A$1:$I$89,3,0)*0.475*44/12</f>
        <v>10.48213562901546</v>
      </c>
      <c r="CM38" s="23">
        <f>EXP(-LN(2)/2)*CM37+(1-EXP(-LN(2)/2))/(LN(2)/2)*CG38*CJ38*VLOOKUP('Données projet'!$B$12,Paramètres!$A$1:$I$89,3,0)*0.475*44/12</f>
        <v>3.2379799596918066</v>
      </c>
      <c r="CN38" s="24">
        <f t="shared" si="12"/>
        <v>38.83329264219153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3.6111111111111112</v>
      </c>
      <c r="CT38" s="13">
        <f>IF('Données projet'!$A$140&gt;35,CT37+CS38-DB37,IF(A38&lt;'Données projet'!$A$140,$CQ$205^A38,IF(A38='Données projet'!$A$140,'Données projet'!$B$140,CT37+CS38-DB37)))</f>
        <v>126.38888888888897</v>
      </c>
      <c r="CU38" s="18">
        <f>CT38*VLOOKUP('Données projet'!$B$13,Paramètres!$A$1:$I$89,3,0)*VLOOKUP('Données projet'!$B$13,Paramètres!$A$1:$I$89,5,0)</f>
        <v>138.01666666666674</v>
      </c>
      <c r="CV38" s="14">
        <f t="shared" si="41"/>
        <v>35.842275074639822</v>
      </c>
      <c r="CW38" s="22">
        <f t="shared" si="13"/>
        <v>302.80432353277553</v>
      </c>
      <c r="CX38" s="62">
        <f t="shared" si="14"/>
        <v>546.45485625735</v>
      </c>
      <c r="CY38" s="62">
        <f ca="1">AVERAGE(OFFSET($CX$3,0,0,'Données projet'!$E$13+1,1))-AVERAGE(OFFSET($H$3,0,0,'Données projet'!$E$13+1,1))</f>
        <v>482.24068797679558</v>
      </c>
      <c r="CZ38" s="62">
        <f t="shared" si="42"/>
        <v>316.28941055521693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222</v>
      </c>
      <c r="DM38" s="13">
        <f>VLOOKUP(A38,'Données projet'!$A$165:$I$185,9,0)</f>
        <v>10</v>
      </c>
      <c r="DN38" s="13">
        <f t="array" ref="DN38">INDEX(DM:DM,MIN(IF(ISNUMBER(DM38:DM234),ROW(DM38:DM234),"")))</f>
        <v>10</v>
      </c>
      <c r="DO38" s="13">
        <f>IF('Données projet'!$A$166&gt;35,DO37+DN38-DW37,IF(A38&lt;'Données projet'!$A$166,$DL$205^A38,IF(A38='Données projet'!$A$166,'Données projet'!$B$166,DO37+DN38-DW37)))</f>
        <v>222.00000000000006</v>
      </c>
      <c r="DP38" s="18">
        <f>DO38*VLOOKUP('Données projet'!$B$14,Paramètres!$A$1:$I$89,3,0)*VLOOKUP('Données projet'!$B$14,Paramètres!$A$1:$I$89,5,0)</f>
        <v>180.08640000000008</v>
      </c>
      <c r="DQ38" s="14">
        <f t="shared" si="43"/>
        <v>45.341408037837176</v>
      </c>
      <c r="DR38" s="22">
        <f t="shared" si="16"/>
        <v>392.62009899923322</v>
      </c>
      <c r="DS38" s="62">
        <f t="shared" si="17"/>
        <v>636.2706317238077</v>
      </c>
      <c r="DT38" s="62">
        <f ca="1">AVERAGE(OFFSET($DS$3,0,0,'Données projet'!$E$14+1,1))-AVERAGE(OFFSET($H$3,0,0,'Données projet'!$E$14+1,1))</f>
        <v>325.58538970226539</v>
      </c>
      <c r="DU38" s="62">
        <f t="shared" si="44"/>
        <v>361.81085660423457</v>
      </c>
      <c r="DV38" s="16">
        <f>IF(ISNA(VLOOKUP(A38,'Données projet'!$A$165:$I$185,3,0)),0,VLOOKUP(A38,'Données projet'!$A$165:$I$185,3,0))</f>
        <v>3</v>
      </c>
      <c r="DW38" s="16">
        <f>IF(ISNA(VLOOKUP(A38,'Données projet'!$A$165:$I$185,4,0)),0,VLOOKUP(A38,'Données projet'!$A$165:$I$185,4,0))</f>
        <v>37</v>
      </c>
      <c r="DX38" s="17">
        <f>IF(ISNA(VLOOKUP(A38,'Données projet'!$A$165:$I$185,5,0)),0%,VLOOKUP(A38,'Données projet'!$A$165:$I$185,5,0)*VLOOKUP('Données projet'!$B$14,Paramètres!$A$1:$I$89,7,0))</f>
        <v>0.30099999999999999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15.522894691382819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15.522894691382819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2.8888888888888888</v>
      </c>
      <c r="EJ38" s="13">
        <f>IF('Données projet'!$A$192&gt;35,EJ37+EI38-ER37,IF(A38&lt;'Données projet'!$A$192,$EG$205^A38,IF(A38='Données projet'!$A$192,'Données projet'!$B$192,EJ37+EI38-ER37)))</f>
        <v>101.11111111111104</v>
      </c>
      <c r="EK38" s="18">
        <f>EJ38*VLOOKUP('Données projet'!$B$15,Paramètres!$A$1:$I$89,3,0)*VLOOKUP('Données projet'!$B$15,Paramètres!$A$1:$I$89,5,0)</f>
        <v>97.7946666666666</v>
      </c>
      <c r="EL38" s="14">
        <f t="shared" si="45"/>
        <v>26.435927352351722</v>
      </c>
      <c r="EM38" s="22">
        <f t="shared" si="19"/>
        <v>216.36828458312357</v>
      </c>
      <c r="EN38" s="62">
        <f t="shared" si="20"/>
        <v>460.0188173076981</v>
      </c>
      <c r="EO38" s="62">
        <f ca="1">AVERAGE(OFFSET($EN$3,0,0,'Données projet'!$E$15+1,1))-AVERAGE(OFFSET($H$3,0,0,'Données projet'!$E$15+1,1))</f>
        <v>364.22267539944085</v>
      </c>
      <c r="EP38" s="62">
        <f t="shared" si="46"/>
        <v>241.947139538615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>
        <f>VLOOKUP(A38,'Données projet'!$A$217:$I$237,2,0)</f>
        <v>177</v>
      </c>
      <c r="FC38" s="13">
        <f>VLOOKUP(A38,'Données projet'!$A$217:$I$237,9,0)</f>
        <v>8</v>
      </c>
      <c r="FD38" s="13">
        <f t="array" ref="FD38">INDEX(FC:FC,MIN(IF(ISNUMBER(FC38:FC234),ROW(FC38:FC234),"")))</f>
        <v>8</v>
      </c>
      <c r="FE38" s="13">
        <f>IF('Données projet'!$A$218&gt;35,FE37+FD38-FM37,IF(A38&lt;'Données projet'!$A$218,$FB$205^A38,IF(A38='Données projet'!$A$218,'Données projet'!$B$218,FE37+FD38-FM37)))</f>
        <v>176.99999999999997</v>
      </c>
      <c r="FF38" s="18">
        <f>FE38*VLOOKUP('Données projet'!$B$16,Paramètres!$A$1:$I$89,3,0)*VLOOKUP('Données projet'!$B$16,Paramètres!$A$1:$I$89,5,0)</f>
        <v>154.62719999999999</v>
      </c>
      <c r="FG38" s="14">
        <f t="shared" si="47"/>
        <v>39.62826685000794</v>
      </c>
      <c r="FH38" s="22">
        <f t="shared" si="22"/>
        <v>338.32827143043045</v>
      </c>
      <c r="FI38" s="62">
        <f t="shared" si="23"/>
        <v>581.97880415500492</v>
      </c>
      <c r="FJ38" s="62">
        <f ca="1">AVERAGE(OFFSET($FI$3,0,0,'Données projet'!$E$16+1,1))-AVERAGE(OFFSET($H$3,0,0,'Données projet'!$E$16+1,1))</f>
        <v>286.59837239471312</v>
      </c>
      <c r="FK38" s="62">
        <f t="shared" si="48"/>
        <v>319.26091328564689</v>
      </c>
      <c r="FL38" s="16">
        <f>IF(ISNA(VLOOKUP(A38,'Données projet'!$A$217:$I$237,3,0)),0,VLOOKUP(A38,'Données projet'!$A$217:$I$237,3,0))</f>
        <v>3</v>
      </c>
      <c r="FM38" s="16">
        <f>IF(ISNA(VLOOKUP(A38,'Données projet'!$A$217:$I$237,4,0)),0,VLOOKUP(A38,'Données projet'!$A$217:$I$237,4,0))</f>
        <v>30</v>
      </c>
      <c r="FN38" s="17">
        <f>IF(ISNA(VLOOKUP(A38,'Données projet'!$A$217:$I$237,5,0)),0%,VLOOKUP(A38,'Données projet'!$A$217:$I$237,5,0)*VLOOKUP('Données projet'!$B$16,Paramètres!$A$1:$I$89,7,0))</f>
        <v>0.371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16.627019214046712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16.627019214046712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>
        <f>VLOOKUP(A38,'Données projet'!$A$243:$I$263,2,0)</f>
        <v>222</v>
      </c>
      <c r="FX38" s="13">
        <f>VLOOKUP(A38,'Données projet'!$A$243:$I$263,9,0)</f>
        <v>10</v>
      </c>
      <c r="FY38" s="13">
        <f t="array" ref="FY38">INDEX(FX:FX,MIN(IF(ISNUMBER(FX38:FX234),ROW(FX38:FX234),"")))</f>
        <v>10</v>
      </c>
      <c r="FZ38" s="13">
        <f>IF('Données projet'!$A$244&gt;35,FZ37+FY38-GH37,IF(A38&lt;'Données projet'!$A$244,$FW$205^A38,IF(A38='Données projet'!$A$244,'Données projet'!$B$244,FZ37+FY38-GH37)))</f>
        <v>222.00000000000006</v>
      </c>
      <c r="GA38" s="18">
        <f>FZ38*VLOOKUP('Données projet'!$B$17,Paramètres!$A$1:$I$89,3,0)*VLOOKUP('Données projet'!$B$17,Paramètres!$A$1:$I$89,5,0)</f>
        <v>148.91760000000005</v>
      </c>
      <c r="GB38" s="14">
        <f t="shared" si="49"/>
        <v>38.332502754125336</v>
      </c>
      <c r="GC38" s="22">
        <f t="shared" si="25"/>
        <v>326.12726229676838</v>
      </c>
      <c r="GD38" s="62">
        <f t="shared" si="26"/>
        <v>569.77779502134285</v>
      </c>
      <c r="GE38" s="62">
        <f ca="1">AVERAGE(OFFSET($GD$3,0,0,'Données projet'!$E$17+1,1))-AVERAGE(OFFSET($H$3,0,0,'Données projet'!$E$17+1,1))</f>
        <v>277.37570531842186</v>
      </c>
      <c r="GF38" s="62">
        <f t="shared" si="50"/>
        <v>310.00874200911312</v>
      </c>
      <c r="GG38" s="16">
        <f>IF(ISNA(VLOOKUP(A38,'Données projet'!$A$243:$I$263,3,0)),0,VLOOKUP(A38,'Données projet'!$A$243:$I$263,3,0))</f>
        <v>3</v>
      </c>
      <c r="GH38" s="16">
        <f>IF(ISNA(VLOOKUP(A38,'Données projet'!$A$243:$I$263,4,0)),0,VLOOKUP(A38,'Données projet'!$A$243:$I$263,4,0))</f>
        <v>37</v>
      </c>
      <c r="GI38" s="17">
        <f>IF(ISNA(VLOOKUP(A38,'Données projet'!$A$243:$I$263,5,0)),0%,VLOOKUP(A38,'Données projet'!$A$243:$I$263,5,0)*VLOOKUP('Données projet'!$B$17,Paramètres!$A$1:$I$89,7,0))</f>
        <v>0.371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projet'!$B$17,Paramètres!$A$1:$I$89,3,0)*0.475*44/12</f>
        <v>15.821411896986334</v>
      </c>
      <c r="GM38" s="23">
        <f>EXP(-LN(2)/25)*GM37+(1-EXP(-LN(2)/25))/(LN(2)/25)*Calculateur!GH38*Calculateur!GJ38*VLOOKUP('Données projet'!$B$17,Paramètres!$A$1:$I$89,3,0)*0.475*44/12</f>
        <v>0</v>
      </c>
      <c r="GN38" s="23">
        <f>EXP(-LN(2)/2)*GN37+(1-EXP(-LN(2)/2))/(LN(2)/2)*GH38*GK38*VLOOKUP('Données projet'!$B$17,Paramètres!$A$1:$I$89,3,0)*0.475*44/12</f>
        <v>0</v>
      </c>
      <c r="GO38" s="23">
        <f t="shared" si="27"/>
        <v>15.821411896986334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>
        <f>VLOOKUP(A39,'Données projet'!$A$35:$I$55,2,0)</f>
        <v>130</v>
      </c>
      <c r="L39" s="13">
        <f>VLOOKUP(A39,'Données projet'!$A$35:$I$55,9,0)</f>
        <v>3.6111111111111112</v>
      </c>
      <c r="M39" s="13">
        <f t="array" ref="M39">INDEX(L:L,MIN(IF(ISNUMBER(L39:L235),ROW(L39:L235),"")))</f>
        <v>3.6111111111111112</v>
      </c>
      <c r="N39" s="14">
        <f>IF('Données projet'!$A$36&gt;35,N38+M39-V38,IF(A39&lt;'Données projet'!$A$36,$K$205^A39,IF(A39='Données projet'!$A$36,'Données projet'!$B$36,N38+M39-V38)))</f>
        <v>130.00000000000009</v>
      </c>
      <c r="O39" s="14">
        <f>N39*VLOOKUP('Données projet'!$B$9,Paramètres!$A$1:$I$89,3,0)*VLOOKUP('Données projet'!$B$9,Paramètres!$A$1:$I$89,5,0)</f>
        <v>113.56800000000008</v>
      </c>
      <c r="P39" s="14">
        <f t="shared" si="33"/>
        <v>30.170065062058239</v>
      </c>
      <c r="Q39" s="22">
        <f t="shared" si="53"/>
        <v>250.34379664975157</v>
      </c>
      <c r="R39" s="62">
        <f t="shared" si="0"/>
        <v>494.85621489078596</v>
      </c>
      <c r="S39" s="62">
        <f ca="1">AVERAGE(OFFSET($R$3,0,0,'Données projet'!$E$9+1,1))-AVERAGE(OFFSET($H$3,0,0,'Données projet'!$E$9+1,1))</f>
        <v>401.34220206028908</v>
      </c>
      <c r="T39" s="62">
        <f t="shared" si="34"/>
        <v>265.33314259106987</v>
      </c>
      <c r="U39" s="16">
        <f>IF(ISNA(VLOOKUP(A39,'Données projet'!$A$35:$I$55,3,0)),0,VLOOKUP(A39,'Données projet'!$A$35:$I$55,3,0))</f>
        <v>1</v>
      </c>
      <c r="V39" s="16">
        <f>IF(ISNA(VLOOKUP(A39,'Données projet'!$A$35:$I$55,4,0)),0,VLOOKUP(A39,'Données projet'!$A$35:$I$55,4,0))</f>
        <v>36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7</v>
      </c>
      <c r="AI39" s="14">
        <f>IF('Données projet'!$A$62&gt;35,AI38+AH39-AQ38,IF(A39&lt;'Données projet'!$A$62,$AF$205^A39,IF(A39='Données projet'!$A$62,'Données projet'!$B$62,AI38+AH39-AQ38)))</f>
        <v>168</v>
      </c>
      <c r="AJ39" s="14">
        <f>AI39*VLOOKUP('Données projet'!$B$10,Paramètres!$A$1:$I$89,3,0)*VLOOKUP('Données projet'!$B$10,Paramètres!$A$1:$I$89,5,0)</f>
        <v>78.623999999999995</v>
      </c>
      <c r="AK39" s="14">
        <f t="shared" si="35"/>
        <v>21.800406010684444</v>
      </c>
      <c r="AL39" s="22">
        <f t="shared" si="4"/>
        <v>174.90584046860872</v>
      </c>
      <c r="AM39" s="62">
        <f t="shared" si="5"/>
        <v>419.41825870964317</v>
      </c>
      <c r="AN39" s="62">
        <f ca="1">AVERAGE(OFFSET($AM$3,0,0,'Données projet'!$E$10+1,1))-AVERAGE(OFFSET($H$3,0,0,'Données projet'!$E$10+1,1))</f>
        <v>253.48761861464732</v>
      </c>
      <c r="AO39" s="62">
        <f t="shared" si="36"/>
        <v>219.50855998133855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6.579478782375741</v>
      </c>
      <c r="AV39" s="23">
        <f>EXP(-LN(2)/25)*AV38+(1-EXP(-LN(2)/25))/(LN(2)/25)*Calculateur!AQ39*Calculateur!AS39*VLOOKUP('Données projet'!$B$10,Paramètres!$A$1:$I$89,3,0)*0.475*44/12</f>
        <v>4.3288288934723118</v>
      </c>
      <c r="AW39" s="23">
        <f>EXP(-LN(2)/2)*AW38+(1-EXP(-LN(2)/2))/(LN(2)/2)*AQ39*AT39*VLOOKUP('Données projet'!$B$10,Paramètres!$A$1:$I$89,3,0)*0.475*44/12</f>
        <v>0.28787643045277761</v>
      </c>
      <c r="AX39" s="23">
        <f t="shared" si="6"/>
        <v>11.196184106300832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12.833333333333334</v>
      </c>
      <c r="BD39" s="13">
        <f>IF('Données projet'!$A$88&gt;35,BD38+BC39-BL38,IF(A39&lt;'Données projet'!$A$88,$BA$205^A39,IF(A39='Données projet'!$A$88,'Données projet'!$B$88,BD38+BC39-BL38)))</f>
        <v>223.66666666666671</v>
      </c>
      <c r="BE39" s="14">
        <f>BD39*VLOOKUP('Données projet'!$B$11,Paramètres!$A$1:$I$89,3,0)*VLOOKUP('Données projet'!$B$11,Paramètres!$A$1:$I$89,5,0)</f>
        <v>257.66400000000004</v>
      </c>
      <c r="BF39" s="14">
        <f t="shared" si="37"/>
        <v>62.224175905797082</v>
      </c>
      <c r="BG39" s="22">
        <f t="shared" si="7"/>
        <v>557.13857303592999</v>
      </c>
      <c r="BH39" s="62">
        <f t="shared" si="8"/>
        <v>801.65099127696442</v>
      </c>
      <c r="BI39" s="62">
        <f ca="1">AVERAGE(OFFSET($BH$3,0,0,'Données projet'!$E$11+1,1))-AVERAGE(OFFSET($H$3,0,0,'Données projet'!$E$11+1,1))</f>
        <v>482.85256243111911</v>
      </c>
      <c r="BJ39" s="62">
        <f t="shared" si="38"/>
        <v>517.78430032567064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25.691189185034045</v>
      </c>
      <c r="BQ39" s="23">
        <f>EXP(-LN(2)/25)*BQ38+(1-EXP(-LN(2)/25))/(LN(2)/25)*Calculateur!BL39*Calculateur!BN39*VLOOKUP('Données projet'!$B$11,Paramètres!$A$1:$I$89,3,0)*0.475*44/12</f>
        <v>10.638783734617542</v>
      </c>
      <c r="BR39" s="23">
        <f>EXP(-LN(2)/2)*BR38+(1-EXP(-LN(2)/2))/(LN(2)/2)*BL39*BO39*VLOOKUP('Données projet'!$B$11,Paramètres!$A$1:$I$89,3,0)*0.475*44/12</f>
        <v>2.3891453080113605</v>
      </c>
      <c r="BS39" s="24">
        <f t="shared" si="9"/>
        <v>38.719118227662946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12.833333333333334</v>
      </c>
      <c r="BY39" s="13">
        <f>IF('Données projet'!$A$114&gt;35,BY38+BX39-CG38,IF(A39&lt;'Données projet'!$A$114,$BV$205^A39,IF(A39='Données projet'!$A$114,'Données projet'!$B$114,BY38+BX39-CG38)))</f>
        <v>223.66666666666671</v>
      </c>
      <c r="BZ39" s="14">
        <f>BY39*VLOOKUP('Données projet'!$B$12,Paramètres!$A$1:$I$89,3,0)*VLOOKUP('Données projet'!$B$12,Paramètres!$A$1:$I$89,5,0)</f>
        <v>133.75266666666673</v>
      </c>
      <c r="CA39" s="14">
        <f t="shared" si="39"/>
        <v>34.86204901776788</v>
      </c>
      <c r="CB39" s="22">
        <f t="shared" si="10"/>
        <v>293.67062981705698</v>
      </c>
      <c r="CC39" s="62">
        <f t="shared" si="11"/>
        <v>538.18304805809134</v>
      </c>
      <c r="CD39" s="62">
        <f ca="1">AVERAGE(OFFSET($CC$3,0,0,'Données projet'!$E$12+1,1))-AVERAGE(OFFSET($H$3,0,0,'Données projet'!$E$12+1,1))</f>
        <v>275.76900776033335</v>
      </c>
      <c r="CE39" s="62">
        <f t="shared" si="40"/>
        <v>299.36898480605191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24.620722968990957</v>
      </c>
      <c r="CL39" s="23">
        <f>EXP(-LN(2)/25)*CL38+(1-EXP(-LN(2)/25))/(LN(2)/25)*Calculateur!CG39*Calculateur!CI39*VLOOKUP('Données projet'!$B$12,Paramètres!$A$1:$I$89,3,0)*0.475*44/12</f>
        <v>10.195501079008476</v>
      </c>
      <c r="CM39" s="23">
        <f>EXP(-LN(2)/2)*CM38+(1-EXP(-LN(2)/2))/(LN(2)/2)*CG39*CJ39*VLOOKUP('Données projet'!$B$12,Paramètres!$A$1:$I$89,3,0)*0.475*44/12</f>
        <v>2.2895975868442204</v>
      </c>
      <c r="CN39" s="24">
        <f t="shared" si="12"/>
        <v>37.105821634843657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>
        <f>VLOOKUP(A39,'Données projet'!$A$139:$I$159,2,0)</f>
        <v>130</v>
      </c>
      <c r="CR39" s="13">
        <f>VLOOKUP(A39,'Données projet'!$A$139:$I$159,9,0)</f>
        <v>3.6111111111111112</v>
      </c>
      <c r="CS39" s="13">
        <f t="array" ref="CS39">INDEX(CR:CR,MIN(IF(ISNUMBER(CR39:CR235),ROW(CR39:CR235),"")))</f>
        <v>3.6111111111111112</v>
      </c>
      <c r="CT39" s="13">
        <f>IF('Données projet'!$A$140&gt;35,CT38+CS39-DB38,IF(A39&lt;'Données projet'!$A$140,$CQ$205^A39,IF(A39='Données projet'!$A$140,'Données projet'!$B$140,CT38+CS39-DB38)))</f>
        <v>130.00000000000009</v>
      </c>
      <c r="CU39" s="18">
        <f>CT39*VLOOKUP('Données projet'!$B$13,Paramètres!$A$1:$I$89,3,0)*VLOOKUP('Données projet'!$B$13,Paramètres!$A$1:$I$89,5,0)</f>
        <v>141.96000000000009</v>
      </c>
      <c r="CV39" s="14">
        <f t="shared" si="41"/>
        <v>36.745650011720521</v>
      </c>
      <c r="CW39" s="22">
        <f t="shared" si="13"/>
        <v>311.24567377041342</v>
      </c>
      <c r="CX39" s="62">
        <f t="shared" si="14"/>
        <v>555.75809201144784</v>
      </c>
      <c r="CY39" s="62">
        <f ca="1">AVERAGE(OFFSET($CX$3,0,0,'Données projet'!$E$13+1,1))-AVERAGE(OFFSET($H$3,0,0,'Données projet'!$E$13+1,1))</f>
        <v>482.24068797679558</v>
      </c>
      <c r="CZ39" s="62">
        <f t="shared" si="42"/>
        <v>316.28941055521693</v>
      </c>
      <c r="DA39" s="16">
        <f>IF(ISNA(VLOOKUP(A39,'Données projet'!$A$139:$I$159,3,0)),0,VLOOKUP(A39,'Données projet'!$A$139:$I$159,3,0))</f>
        <v>1</v>
      </c>
      <c r="DB39" s="16">
        <f>IF(ISNA(VLOOKUP(A39,'Données projet'!$A$139:$I$159,4,0)),0,VLOOKUP(A39,'Données projet'!$A$139:$I$159,4,0))</f>
        <v>36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12</v>
      </c>
      <c r="DO39" s="13">
        <f>IF('Données projet'!$A$166&gt;35,DO38+DN39-DW38,IF(A39&lt;'Données projet'!$A$166,$DL$205^A39,IF(A39='Données projet'!$A$166,'Données projet'!$B$166,DO38+DN39-DW38)))</f>
        <v>197.00000000000006</v>
      </c>
      <c r="DP39" s="18">
        <f>DO39*VLOOKUP('Données projet'!$B$14,Paramètres!$A$1:$I$89,3,0)*VLOOKUP('Données projet'!$B$14,Paramètres!$A$1:$I$89,5,0)</f>
        <v>159.80640000000005</v>
      </c>
      <c r="DQ39" s="14">
        <f t="shared" si="43"/>
        <v>40.798845309789208</v>
      </c>
      <c r="DR39" s="22">
        <f t="shared" si="16"/>
        <v>349.38746891454957</v>
      </c>
      <c r="DS39" s="62">
        <f t="shared" si="17"/>
        <v>593.899887155584</v>
      </c>
      <c r="DT39" s="62">
        <f ca="1">AVERAGE(OFFSET($DS$3,0,0,'Données projet'!$E$14+1,1))-AVERAGE(OFFSET($H$3,0,0,'Données projet'!$E$14+1,1))</f>
        <v>325.58538970226539</v>
      </c>
      <c r="DU39" s="62">
        <f t="shared" si="44"/>
        <v>361.81085660423457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15.218500194515673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15.218500194515673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>
        <f>VLOOKUP(A39,'Données projet'!$A$191:$I$211,2,0)</f>
        <v>104</v>
      </c>
      <c r="EH39" s="13">
        <f>VLOOKUP(A39,'Données projet'!$A$191:$I$211,9,0)</f>
        <v>2.8888888888888888</v>
      </c>
      <c r="EI39" s="13">
        <f t="array" ref="EI39">INDEX(EH:EH,MIN(IF(ISNUMBER(EH39:EH235),ROW(EH39:EH235),"")))</f>
        <v>2.8888888888888888</v>
      </c>
      <c r="EJ39" s="13">
        <f>IF('Données projet'!$A$192&gt;35,EJ38+EI39-ER38,IF(A39&lt;'Données projet'!$A$192,$EG$205^A39,IF(A39='Données projet'!$A$192,'Données projet'!$B$192,EJ38+EI39-ER38)))</f>
        <v>103.99999999999993</v>
      </c>
      <c r="EK39" s="18">
        <f>EJ39*VLOOKUP('Données projet'!$B$15,Paramètres!$A$1:$I$89,3,0)*VLOOKUP('Données projet'!$B$15,Paramètres!$A$1:$I$89,5,0)</f>
        <v>100.58879999999995</v>
      </c>
      <c r="EL39" s="14">
        <f t="shared" si="45"/>
        <v>27.102223064855114</v>
      </c>
      <c r="EM39" s="22">
        <f t="shared" si="19"/>
        <v>222.39519850462258</v>
      </c>
      <c r="EN39" s="62">
        <f t="shared" si="20"/>
        <v>466.90761674565704</v>
      </c>
      <c r="EO39" s="62">
        <f ca="1">AVERAGE(OFFSET($EN$3,0,0,'Données projet'!$E$15+1,1))-AVERAGE(OFFSET($H$3,0,0,'Données projet'!$E$15+1,1))</f>
        <v>364.22267539944085</v>
      </c>
      <c r="EP39" s="62">
        <f t="shared" si="46"/>
        <v>241.947139538615</v>
      </c>
      <c r="EQ39" s="16">
        <f>IF(ISNA(VLOOKUP(A39,'Données projet'!$A$191:$I$211,3,0)),0,VLOOKUP(A39,'Données projet'!$A$191:$I$211,3,0))</f>
        <v>1</v>
      </c>
      <c r="ER39" s="16">
        <f>IF(ISNA(VLOOKUP(A39,'Données projet'!$A$191:$I$211,4,0)),0,VLOOKUP(A39,'Données projet'!$A$191:$I$211,4,0))</f>
        <v>28.8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9.6</v>
      </c>
      <c r="FE39" s="13">
        <f>IF('Données projet'!$A$218&gt;35,FE38+FD39-FM38,IF(A39&lt;'Données projet'!$A$218,$FB$205^A39,IF(A39='Données projet'!$A$218,'Données projet'!$B$218,FE38+FD39-FM38)))</f>
        <v>156.59999999999997</v>
      </c>
      <c r="FF39" s="18">
        <f>FE39*VLOOKUP('Données projet'!$B$16,Paramètres!$A$1:$I$89,3,0)*VLOOKUP('Données projet'!$B$16,Paramètres!$A$1:$I$89,5,0)</f>
        <v>136.80575999999999</v>
      </c>
      <c r="FG39" s="14">
        <f t="shared" si="47"/>
        <v>35.564269922997305</v>
      </c>
      <c r="FH39" s="22">
        <f t="shared" si="22"/>
        <v>300.21113544922031</v>
      </c>
      <c r="FI39" s="62">
        <f t="shared" si="23"/>
        <v>544.72355369025468</v>
      </c>
      <c r="FJ39" s="62">
        <f ca="1">AVERAGE(OFFSET($FI$3,0,0,'Données projet'!$E$16+1,1))-AVERAGE(OFFSET($H$3,0,0,'Données projet'!$E$16+1,1))</f>
        <v>286.59837239471312</v>
      </c>
      <c r="FK39" s="62">
        <f t="shared" si="48"/>
        <v>319.26091328564689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16.300973508739588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16.300973508739588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12</v>
      </c>
      <c r="FZ39" s="13">
        <f>IF('Données projet'!$A$244&gt;35,FZ38+FY39-GH38,IF(A39&lt;'Données projet'!$A$244,$FW$205^A39,IF(A39='Données projet'!$A$244,'Données projet'!$B$244,FZ38+FY39-GH38)))</f>
        <v>197.00000000000006</v>
      </c>
      <c r="GA39" s="18">
        <f>FZ39*VLOOKUP('Données projet'!$B$17,Paramètres!$A$1:$I$89,3,0)*VLOOKUP('Données projet'!$B$17,Paramètres!$A$1:$I$89,5,0)</f>
        <v>132.14760000000004</v>
      </c>
      <c r="GB39" s="14">
        <f t="shared" si="49"/>
        <v>34.492132421153386</v>
      </c>
      <c r="GC39" s="22">
        <f t="shared" si="25"/>
        <v>290.23086730017559</v>
      </c>
      <c r="GD39" s="62">
        <f t="shared" si="26"/>
        <v>534.74328554121007</v>
      </c>
      <c r="GE39" s="62">
        <f ca="1">AVERAGE(OFFSET($GD$3,0,0,'Données projet'!$E$17+1,1))-AVERAGE(OFFSET($H$3,0,0,'Données projet'!$E$17+1,1))</f>
        <v>277.37570531842186</v>
      </c>
      <c r="GF39" s="62">
        <f t="shared" si="50"/>
        <v>310.00874200911312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projet'!$B$17,Paramètres!$A$1:$I$89,3,0)*0.475*44/12</f>
        <v>15.511163659794819</v>
      </c>
      <c r="GM39" s="23">
        <f>EXP(-LN(2)/25)*GM38+(1-EXP(-LN(2)/25))/(LN(2)/25)*Calculateur!GH39*Calculateur!GJ39*VLOOKUP('Données projet'!$B$17,Paramètres!$A$1:$I$89,3,0)*0.475*44/12</f>
        <v>0</v>
      </c>
      <c r="GN39" s="23">
        <f>EXP(-LN(2)/2)*GN38+(1-EXP(-LN(2)/2))/(LN(2)/2)*GH39*GK39*VLOOKUP('Données projet'!$B$17,Paramètres!$A$1:$I$89,3,0)*0.475*44/12</f>
        <v>0</v>
      </c>
      <c r="GO39" s="23">
        <f t="shared" si="27"/>
        <v>15.511163659794819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9</v>
      </c>
      <c r="N40" s="14">
        <f>IF('Données projet'!$A$36&gt;35,N39+M40-V39,IF(A40&lt;'Données projet'!$A$36,$K$205^A40,IF(A40='Données projet'!$A$36,'Données projet'!$B$36,N39+M40-V39)))</f>
        <v>103.00000000000009</v>
      </c>
      <c r="O40" s="14">
        <f>N40*VLOOKUP('Données projet'!$B$9,Paramètres!$A$1:$I$89,3,0)*VLOOKUP('Données projet'!$B$9,Paramètres!$A$1:$I$89,5,0)</f>
        <v>89.980800000000087</v>
      </c>
      <c r="P40" s="14">
        <f t="shared" si="33"/>
        <v>24.560594358746648</v>
      </c>
      <c r="Q40" s="22">
        <f t="shared" si="53"/>
        <v>199.49292850815058</v>
      </c>
      <c r="R40" s="62">
        <f t="shared" si="0"/>
        <v>444.85228047882168</v>
      </c>
      <c r="S40" s="62">
        <f ca="1">AVERAGE(OFFSET($R$3,0,0,'Données projet'!$E$9+1,1))-AVERAGE(OFFSET($H$3,0,0,'Données projet'!$E$9+1,1))</f>
        <v>401.34220206028908</v>
      </c>
      <c r="T40" s="62">
        <f t="shared" si="34"/>
        <v>265.33314259106987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7</v>
      </c>
      <c r="AI40" s="14">
        <f>IF('Données projet'!$A$62&gt;35,AI39+AH40-AQ39,IF(A40&lt;'Données projet'!$A$62,$AF$205^A40,IF(A40='Données projet'!$A$62,'Données projet'!$B$62,AI39+AH40-AQ39)))</f>
        <v>175</v>
      </c>
      <c r="AJ40" s="14">
        <f>AI40*VLOOKUP('Données projet'!$B$10,Paramètres!$A$1:$I$89,3,0)*VLOOKUP('Données projet'!$B$10,Paramètres!$A$1:$I$89,5,0)</f>
        <v>81.900000000000006</v>
      </c>
      <c r="AK40" s="14">
        <f t="shared" si="35"/>
        <v>22.601107473346342</v>
      </c>
      <c r="AL40" s="22">
        <f t="shared" si="4"/>
        <v>182.0060955160782</v>
      </c>
      <c r="AM40" s="62">
        <f t="shared" si="5"/>
        <v>427.3654474867493</v>
      </c>
      <c r="AN40" s="62">
        <f ca="1">AVERAGE(OFFSET($AM$3,0,0,'Données projet'!$E$10+1,1))-AVERAGE(OFFSET($H$3,0,0,'Données projet'!$E$10+1,1))</f>
        <v>253.48761861464732</v>
      </c>
      <c r="AO40" s="62">
        <f t="shared" si="36"/>
        <v>219.50855998133855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6.4504592165391506</v>
      </c>
      <c r="AV40" s="23">
        <f>EXP(-LN(2)/25)*AV39+(1-EXP(-LN(2)/25))/(LN(2)/25)*Calculateur!AQ40*Calculateur!AS40*VLOOKUP('Données projet'!$B$10,Paramètres!$A$1:$I$89,3,0)*0.475*44/12</f>
        <v>4.2104568397370938</v>
      </c>
      <c r="AW40" s="23">
        <f>EXP(-LN(2)/2)*AW39+(1-EXP(-LN(2)/2))/(LN(2)/2)*AQ40*AT40*VLOOKUP('Données projet'!$B$10,Paramètres!$A$1:$I$89,3,0)*0.475*44/12</f>
        <v>0.20355937611693659</v>
      </c>
      <c r="AX40" s="23">
        <f t="shared" si="6"/>
        <v>10.864475432393181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12.833333333333334</v>
      </c>
      <c r="BD40" s="13">
        <f>IF('Données projet'!$A$88&gt;35,BD39+BC40-BL39,IF(A40&lt;'Données projet'!$A$88,$BA$205^A40,IF(A40='Données projet'!$A$88,'Données projet'!$B$88,BD39+BC40-BL39)))</f>
        <v>236.50000000000006</v>
      </c>
      <c r="BE40" s="14">
        <f>BD40*VLOOKUP('Données projet'!$B$11,Paramètres!$A$1:$I$89,3,0)*VLOOKUP('Données projet'!$B$11,Paramètres!$A$1:$I$89,5,0)</f>
        <v>272.44800000000004</v>
      </c>
      <c r="BF40" s="14">
        <f t="shared" si="37"/>
        <v>65.368523447555901</v>
      </c>
      <c r="BG40" s="22">
        <f t="shared" si="7"/>
        <v>588.3637783378266</v>
      </c>
      <c r="BH40" s="62">
        <f t="shared" si="8"/>
        <v>833.72313030849773</v>
      </c>
      <c r="BI40" s="62">
        <f ca="1">AVERAGE(OFFSET($BH$3,0,0,'Données projet'!$E$11+1,1))-AVERAGE(OFFSET($H$3,0,0,'Données projet'!$E$11+1,1))</f>
        <v>482.85256243111911</v>
      </c>
      <c r="BJ40" s="62">
        <f t="shared" si="38"/>
        <v>517.78430032567064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25.187400635193637</v>
      </c>
      <c r="BQ40" s="23">
        <f>EXP(-LN(2)/25)*BQ39+(1-EXP(-LN(2)/25))/(LN(2)/25)*Calculateur!BL40*Calculateur!BN40*VLOOKUP('Données projet'!$B$11,Paramètres!$A$1:$I$89,3,0)*0.475*44/12</f>
        <v>10.347865633925103</v>
      </c>
      <c r="BR40" s="23">
        <f>EXP(-LN(2)/2)*BR39+(1-EXP(-LN(2)/2))/(LN(2)/2)*BL40*BO40*VLOOKUP('Données projet'!$B$11,Paramètres!$A$1:$I$89,3,0)*0.475*44/12</f>
        <v>1.6893808485348558</v>
      </c>
      <c r="BS40" s="24">
        <f t="shared" si="9"/>
        <v>37.224647117653589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12.833333333333334</v>
      </c>
      <c r="BY40" s="13">
        <f>IF('Données projet'!$A$114&gt;35,BY39+BX40-CG39,IF(A40&lt;'Données projet'!$A$114,$BV$205^A40,IF(A40='Données projet'!$A$114,'Données projet'!$B$114,BY39+BX40-CG39)))</f>
        <v>236.50000000000006</v>
      </c>
      <c r="BZ40" s="14">
        <f>BY40*VLOOKUP('Données projet'!$B$12,Paramètres!$A$1:$I$89,3,0)*VLOOKUP('Données projet'!$B$12,Paramètres!$A$1:$I$89,5,0)</f>
        <v>141.42700000000005</v>
      </c>
      <c r="CA40" s="14">
        <f t="shared" si="39"/>
        <v>36.623717959686019</v>
      </c>
      <c r="CB40" s="22">
        <f t="shared" si="10"/>
        <v>310.10500044645323</v>
      </c>
      <c r="CC40" s="62">
        <f t="shared" si="11"/>
        <v>555.46435241712436</v>
      </c>
      <c r="CD40" s="62">
        <f ca="1">AVERAGE(OFFSET($CC$3,0,0,'Données projet'!$E$12+1,1))-AVERAGE(OFFSET($H$3,0,0,'Données projet'!$E$12+1,1))</f>
        <v>275.76900776033335</v>
      </c>
      <c r="CE40" s="62">
        <f t="shared" si="40"/>
        <v>299.36898480605191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24.137925608727233</v>
      </c>
      <c r="CL40" s="23">
        <f>EXP(-LN(2)/25)*CL39+(1-EXP(-LN(2)/25))/(LN(2)/25)*Calculateur!CG40*Calculateur!CI40*VLOOKUP('Données projet'!$B$12,Paramètres!$A$1:$I$89,3,0)*0.475*44/12</f>
        <v>9.9167045658448902</v>
      </c>
      <c r="CM40" s="23">
        <f>EXP(-LN(2)/2)*CM39+(1-EXP(-LN(2)/2))/(LN(2)/2)*CG40*CJ40*VLOOKUP('Données projet'!$B$12,Paramètres!$A$1:$I$89,3,0)*0.475*44/12</f>
        <v>1.6189899798459035</v>
      </c>
      <c r="CN40" s="24">
        <f t="shared" si="12"/>
        <v>35.673620154418032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9</v>
      </c>
      <c r="CT40" s="13">
        <f>IF('Données projet'!$A$140&gt;35,CT39+CS40-DB39,IF(A40&lt;'Données projet'!$A$140,$CQ$205^A40,IF(A40='Données projet'!$A$140,'Données projet'!$B$140,CT39+CS40-DB39)))</f>
        <v>103.00000000000009</v>
      </c>
      <c r="CU40" s="18">
        <f>CT40*VLOOKUP('Données projet'!$B$13,Paramètres!$A$1:$I$89,3,0)*VLOOKUP('Données projet'!$B$13,Paramètres!$A$1:$I$89,5,0)</f>
        <v>112.47600000000008</v>
      </c>
      <c r="CV40" s="14">
        <f t="shared" si="41"/>
        <v>29.913591585896704</v>
      </c>
      <c r="CW40" s="22">
        <f t="shared" si="13"/>
        <v>247.99520534543691</v>
      </c>
      <c r="CX40" s="62">
        <f t="shared" si="14"/>
        <v>493.35455731610801</v>
      </c>
      <c r="CY40" s="62">
        <f ca="1">AVERAGE(OFFSET($CX$3,0,0,'Données projet'!$E$13+1,1))-AVERAGE(OFFSET($H$3,0,0,'Données projet'!$E$13+1,1))</f>
        <v>482.24068797679558</v>
      </c>
      <c r="CZ40" s="62">
        <f t="shared" si="42"/>
        <v>316.28941055521693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12</v>
      </c>
      <c r="DO40" s="13">
        <f>IF('Données projet'!$A$166&gt;35,DO39+DN40-DW39,IF(A40&lt;'Données projet'!$A$166,$DL$205^A40,IF(A40='Données projet'!$A$166,'Données projet'!$B$166,DO39+DN40-DW39)))</f>
        <v>209.00000000000006</v>
      </c>
      <c r="DP40" s="18">
        <f>DO40*VLOOKUP('Données projet'!$B$14,Paramètres!$A$1:$I$89,3,0)*VLOOKUP('Données projet'!$B$14,Paramètres!$A$1:$I$89,5,0)</f>
        <v>169.54080000000005</v>
      </c>
      <c r="DQ40" s="14">
        <f t="shared" si="43"/>
        <v>42.98716187643425</v>
      </c>
      <c r="DR40" s="22">
        <f t="shared" si="16"/>
        <v>370.1528669347897</v>
      </c>
      <c r="DS40" s="62">
        <f t="shared" si="17"/>
        <v>615.51221890546083</v>
      </c>
      <c r="DT40" s="62">
        <f ca="1">AVERAGE(OFFSET($DS$3,0,0,'Données projet'!$E$14+1,1))-AVERAGE(OFFSET($H$3,0,0,'Données projet'!$E$14+1,1))</f>
        <v>325.58538970226539</v>
      </c>
      <c r="DU40" s="62">
        <f t="shared" si="44"/>
        <v>361.81085660423457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14.920074688069782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14.920074688069782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7.2</v>
      </c>
      <c r="EJ40" s="13">
        <f>IF('Données projet'!$A$192&gt;35,EJ39+EI40-ER39,IF(A40&lt;'Données projet'!$A$192,$EG$205^A40,IF(A40='Données projet'!$A$192,'Données projet'!$B$192,EJ39+EI40-ER39)))</f>
        <v>82.399999999999935</v>
      </c>
      <c r="EK40" s="18">
        <f>EJ40*VLOOKUP('Données projet'!$B$15,Paramètres!$A$1:$I$89,3,0)*VLOOKUP('Données projet'!$B$15,Paramètres!$A$1:$I$89,5,0)</f>
        <v>79.697279999999935</v>
      </c>
      <c r="EL40" s="14">
        <f t="shared" si="45"/>
        <v>22.063151191320738</v>
      </c>
      <c r="EM40" s="22">
        <f t="shared" si="19"/>
        <v>177.23275099155015</v>
      </c>
      <c r="EN40" s="62">
        <f t="shared" si="20"/>
        <v>422.59210296222125</v>
      </c>
      <c r="EO40" s="62">
        <f ca="1">AVERAGE(OFFSET($EN$3,0,0,'Données projet'!$E$15+1,1))-AVERAGE(OFFSET($H$3,0,0,'Données projet'!$E$15+1,1))</f>
        <v>364.22267539944085</v>
      </c>
      <c r="EP40" s="62">
        <f t="shared" si="46"/>
        <v>241.947139538615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9.6</v>
      </c>
      <c r="FE40" s="13">
        <f>IF('Données projet'!$A$218&gt;35,FE39+FD40-FM39,IF(A40&lt;'Données projet'!$A$218,$FB$205^A40,IF(A40='Données projet'!$A$218,'Données projet'!$B$218,FE39+FD40-FM39)))</f>
        <v>166.19999999999996</v>
      </c>
      <c r="FF40" s="18">
        <f>FE40*VLOOKUP('Données projet'!$B$16,Paramètres!$A$1:$I$89,3,0)*VLOOKUP('Données projet'!$B$16,Paramètres!$A$1:$I$89,5,0)</f>
        <v>145.19232</v>
      </c>
      <c r="FG40" s="14">
        <f t="shared" si="47"/>
        <v>37.48396031597408</v>
      </c>
      <c r="FH40" s="22">
        <f t="shared" si="22"/>
        <v>318.16118821698814</v>
      </c>
      <c r="FI40" s="62">
        <f t="shared" si="23"/>
        <v>563.52054018765921</v>
      </c>
      <c r="FJ40" s="62">
        <f ca="1">AVERAGE(OFFSET($FI$3,0,0,'Données projet'!$E$16+1,1))-AVERAGE(OFFSET($H$3,0,0,'Données projet'!$E$16+1,1))</f>
        <v>286.59837239471312</v>
      </c>
      <c r="FK40" s="62">
        <f t="shared" si="48"/>
        <v>319.26091328564689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15.981321360845294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15.981321360845294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12</v>
      </c>
      <c r="FZ40" s="13">
        <f>IF('Données projet'!$A$244&gt;35,FZ39+FY40-GH39,IF(A40&lt;'Données projet'!$A$244,$FW$205^A40,IF(A40='Données projet'!$A$244,'Données projet'!$B$244,FZ39+FY40-GH39)))</f>
        <v>209.00000000000006</v>
      </c>
      <c r="GA40" s="18">
        <f>FZ40*VLOOKUP('Données projet'!$B$17,Paramètres!$A$1:$I$89,3,0)*VLOOKUP('Données projet'!$B$17,Paramètres!$A$1:$I$89,5,0)</f>
        <v>140.19720000000004</v>
      </c>
      <c r="GB40" s="14">
        <f t="shared" si="49"/>
        <v>36.342177544317998</v>
      </c>
      <c r="GC40" s="22">
        <f t="shared" si="25"/>
        <v>307.47274922302057</v>
      </c>
      <c r="GD40" s="62">
        <f t="shared" si="26"/>
        <v>552.83210119369164</v>
      </c>
      <c r="GE40" s="62">
        <f ca="1">AVERAGE(OFFSET($GD$3,0,0,'Données projet'!$E$17+1,1))-AVERAGE(OFFSET($H$3,0,0,'Données projet'!$E$17+1,1))</f>
        <v>277.37570531842186</v>
      </c>
      <c r="GF40" s="62">
        <f t="shared" si="50"/>
        <v>310.00874200911312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projet'!$B$17,Paramètres!$A$1:$I$89,3,0)*0.475*44/12</f>
        <v>15.206999201301892</v>
      </c>
      <c r="GM40" s="23">
        <f>EXP(-LN(2)/25)*GM39+(1-EXP(-LN(2)/25))/(LN(2)/25)*Calculateur!GH40*Calculateur!GJ40*VLOOKUP('Données projet'!$B$17,Paramètres!$A$1:$I$89,3,0)*0.475*44/12</f>
        <v>0</v>
      </c>
      <c r="GN40" s="23">
        <f>EXP(-LN(2)/2)*GN39+(1-EXP(-LN(2)/2))/(LN(2)/2)*GH40*GK40*VLOOKUP('Données projet'!$B$17,Paramètres!$A$1:$I$89,3,0)*0.475*44/12</f>
        <v>0</v>
      </c>
      <c r="GO40" s="23">
        <f t="shared" si="27"/>
        <v>15.206999201301892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9</v>
      </c>
      <c r="N41" s="14">
        <f>IF('Données projet'!$A$36&gt;35,N40+M41-V40,IF(A41&lt;'Données projet'!$A$36,$K$205^A41,IF(A41='Données projet'!$A$36,'Données projet'!$B$36,N40+M41-V40)))</f>
        <v>112.00000000000009</v>
      </c>
      <c r="O41" s="14">
        <f>N41*VLOOKUP('Données projet'!$B$9,Paramètres!$A$1:$I$89,3,0)*VLOOKUP('Données projet'!$B$9,Paramètres!$A$1:$I$89,5,0)</f>
        <v>97.843200000000095</v>
      </c>
      <c r="P41" s="14">
        <f t="shared" si="33"/>
        <v>26.447519466918777</v>
      </c>
      <c r="Q41" s="22">
        <f t="shared" si="53"/>
        <v>216.47300307155035</v>
      </c>
      <c r="R41" s="62">
        <f t="shared" si="0"/>
        <v>462.66459636510911</v>
      </c>
      <c r="S41" s="62">
        <f ca="1">AVERAGE(OFFSET($R$3,0,0,'Données projet'!$E$9+1,1))-AVERAGE(OFFSET($H$3,0,0,'Données projet'!$E$9+1,1))</f>
        <v>401.34220206028908</v>
      </c>
      <c r="T41" s="62">
        <f t="shared" si="34"/>
        <v>265.33314259106987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7</v>
      </c>
      <c r="AI41" s="14">
        <f>IF('Données projet'!$A$62&gt;35,AI40+AH41-AQ40,IF(A41&lt;'Données projet'!$A$62,$AF$205^A41,IF(A41='Données projet'!$A$62,'Données projet'!$B$62,AI40+AH41-AQ40)))</f>
        <v>182</v>
      </c>
      <c r="AJ41" s="14">
        <f>AI41*VLOOKUP('Données projet'!$B$10,Paramètres!$A$1:$I$89,3,0)*VLOOKUP('Données projet'!$B$10,Paramètres!$A$1:$I$89,5,0)</f>
        <v>85.176000000000002</v>
      </c>
      <c r="AK41" s="14">
        <f t="shared" si="35"/>
        <v>23.398088487656441</v>
      </c>
      <c r="AL41" s="22">
        <f t="shared" si="4"/>
        <v>189.09987078266829</v>
      </c>
      <c r="AM41" s="62">
        <f t="shared" si="5"/>
        <v>435.29146407622704</v>
      </c>
      <c r="AN41" s="62">
        <f ca="1">AVERAGE(OFFSET($AM$3,0,0,'Données projet'!$E$10+1,1))-AVERAGE(OFFSET($H$3,0,0,'Données projet'!$E$10+1,1))</f>
        <v>253.48761861464732</v>
      </c>
      <c r="AO41" s="62">
        <f t="shared" si="36"/>
        <v>219.50855998133855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6.3239696456944507</v>
      </c>
      <c r="AV41" s="23">
        <f>EXP(-LN(2)/25)*AV40+(1-EXP(-LN(2)/25))/(LN(2)/25)*Calculateur!AQ41*Calculateur!AS41*VLOOKUP('Données projet'!$B$10,Paramètres!$A$1:$I$89,3,0)*0.475*44/12</f>
        <v>4.095321676036181</v>
      </c>
      <c r="AW41" s="23">
        <f>EXP(-LN(2)/2)*AW40+(1-EXP(-LN(2)/2))/(LN(2)/2)*AQ41*AT41*VLOOKUP('Données projet'!$B$10,Paramètres!$A$1:$I$89,3,0)*0.475*44/12</f>
        <v>0.1439382152263888</v>
      </c>
      <c r="AX41" s="23">
        <f t="shared" si="6"/>
        <v>10.563229536957021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12.833333333333334</v>
      </c>
      <c r="BD41" s="13">
        <f>IF('Données projet'!$A$88&gt;35,BD40+BC41-BL40,IF(A41&lt;'Données projet'!$A$88,$BA$205^A41,IF(A41='Données projet'!$A$88,'Données projet'!$B$88,BD40+BC41-BL40)))</f>
        <v>249.3333333333334</v>
      </c>
      <c r="BE41" s="14">
        <f>BD41*VLOOKUP('Données projet'!$B$11,Paramètres!$A$1:$I$89,3,0)*VLOOKUP('Données projet'!$B$11,Paramètres!$A$1:$I$89,5,0)</f>
        <v>287.23200000000003</v>
      </c>
      <c r="BF41" s="14">
        <f t="shared" si="37"/>
        <v>68.493062741720877</v>
      </c>
      <c r="BG41" s="22">
        <f t="shared" si="7"/>
        <v>619.55448427516376</v>
      </c>
      <c r="BH41" s="62">
        <f t="shared" si="8"/>
        <v>865.74607756872251</v>
      </c>
      <c r="BI41" s="62">
        <f ca="1">AVERAGE(OFFSET($BH$3,0,0,'Données projet'!$E$11+1,1))-AVERAGE(OFFSET($H$3,0,0,'Données projet'!$E$11+1,1))</f>
        <v>482.85256243111911</v>
      </c>
      <c r="BJ41" s="62">
        <f t="shared" si="38"/>
        <v>517.78430032567064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24.693491071534925</v>
      </c>
      <c r="BQ41" s="23">
        <f>EXP(-LN(2)/25)*BQ40+(1-EXP(-LN(2)/25))/(LN(2)/25)*Calculateur!BL41*Calculateur!BN41*VLOOKUP('Données projet'!$B$11,Paramètres!$A$1:$I$89,3,0)*0.475*44/12</f>
        <v>10.064902703994818</v>
      </c>
      <c r="BR41" s="23">
        <f>EXP(-LN(2)/2)*BR40+(1-EXP(-LN(2)/2))/(LN(2)/2)*BL41*BO41*VLOOKUP('Données projet'!$B$11,Paramètres!$A$1:$I$89,3,0)*0.475*44/12</f>
        <v>1.1945726540056805</v>
      </c>
      <c r="BS41" s="24">
        <f t="shared" si="9"/>
        <v>35.952966429535422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12.833333333333334</v>
      </c>
      <c r="BY41" s="13">
        <f>IF('Données projet'!$A$114&gt;35,BY40+BX41-CG40,IF(A41&lt;'Données projet'!$A$114,$BV$205^A41,IF(A41='Données projet'!$A$114,'Données projet'!$B$114,BY40+BX41-CG40)))</f>
        <v>249.3333333333334</v>
      </c>
      <c r="BZ41" s="14">
        <f>BY41*VLOOKUP('Données projet'!$B$12,Paramètres!$A$1:$I$89,3,0)*VLOOKUP('Données projet'!$B$12,Paramètres!$A$1:$I$89,5,0)</f>
        <v>149.1013333333334</v>
      </c>
      <c r="CA41" s="14">
        <f t="shared" si="39"/>
        <v>38.37428902704788</v>
      </c>
      <c r="CB41" s="22">
        <f t="shared" si="10"/>
        <v>326.52004227766406</v>
      </c>
      <c r="CC41" s="62">
        <f t="shared" si="11"/>
        <v>572.71163557122281</v>
      </c>
      <c r="CD41" s="62">
        <f ca="1">AVERAGE(OFFSET($CC$3,0,0,'Données projet'!$E$12+1,1))-AVERAGE(OFFSET($H$3,0,0,'Données projet'!$E$12+1,1))</f>
        <v>275.76900776033335</v>
      </c>
      <c r="CE41" s="62">
        <f t="shared" si="40"/>
        <v>299.36898480605191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23.664595610220971</v>
      </c>
      <c r="CL41" s="23">
        <f>EXP(-LN(2)/25)*CL40+(1-EXP(-LN(2)/25))/(LN(2)/25)*Calculateur!CG41*Calculateur!CI41*VLOOKUP('Données projet'!$B$12,Paramètres!$A$1:$I$89,3,0)*0.475*44/12</f>
        <v>9.6455317579950339</v>
      </c>
      <c r="CM41" s="23">
        <f>EXP(-LN(2)/2)*CM40+(1-EXP(-LN(2)/2))/(LN(2)/2)*CG41*CJ41*VLOOKUP('Données projet'!$B$12,Paramètres!$A$1:$I$89,3,0)*0.475*44/12</f>
        <v>1.1447987934221104</v>
      </c>
      <c r="CN41" s="24">
        <f t="shared" si="12"/>
        <v>34.454926161638113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9</v>
      </c>
      <c r="CT41" s="13">
        <f>IF('Données projet'!$A$140&gt;35,CT40+CS41-DB40,IF(A41&lt;'Données projet'!$A$140,$CQ$205^A41,IF(A41='Données projet'!$A$140,'Données projet'!$B$140,CT40+CS41-DB40)))</f>
        <v>112.00000000000009</v>
      </c>
      <c r="CU41" s="18">
        <f>CT41*VLOOKUP('Données projet'!$B$13,Paramètres!$A$1:$I$89,3,0)*VLOOKUP('Données projet'!$B$13,Paramètres!$A$1:$I$89,5,0)</f>
        <v>122.30400000000007</v>
      </c>
      <c r="CV41" s="14">
        <f t="shared" si="41"/>
        <v>32.211773226559401</v>
      </c>
      <c r="CW41" s="22">
        <f t="shared" si="13"/>
        <v>269.11497170292438</v>
      </c>
      <c r="CX41" s="62">
        <f t="shared" si="14"/>
        <v>515.30656499648308</v>
      </c>
      <c r="CY41" s="62">
        <f ca="1">AVERAGE(OFFSET($CX$3,0,0,'Données projet'!$E$13+1,1))-AVERAGE(OFFSET($H$3,0,0,'Données projet'!$E$13+1,1))</f>
        <v>482.24068797679558</v>
      </c>
      <c r="CZ41" s="62">
        <f t="shared" si="42"/>
        <v>316.28941055521693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12</v>
      </c>
      <c r="DO41" s="13">
        <f>IF('Données projet'!$A$166&gt;35,DO40+DN41-DW40,IF(A41&lt;'Données projet'!$A$166,$DL$205^A41,IF(A41='Données projet'!$A$166,'Données projet'!$B$166,DO40+DN41-DW40)))</f>
        <v>221.00000000000006</v>
      </c>
      <c r="DP41" s="18">
        <f>DO41*VLOOKUP('Données projet'!$B$14,Paramètres!$A$1:$I$89,3,0)*VLOOKUP('Données projet'!$B$14,Paramètres!$A$1:$I$89,5,0)</f>
        <v>179.27520000000004</v>
      </c>
      <c r="DQ41" s="14">
        <f t="shared" si="43"/>
        <v>45.16089367311465</v>
      </c>
      <c r="DR41" s="22">
        <f t="shared" si="16"/>
        <v>390.89286314734142</v>
      </c>
      <c r="DS41" s="62">
        <f t="shared" si="17"/>
        <v>637.08445644090011</v>
      </c>
      <c r="DT41" s="62">
        <f ca="1">AVERAGE(OFFSET($DS$3,0,0,'Données projet'!$E$14+1,1))-AVERAGE(OFFSET($H$3,0,0,'Données projet'!$E$14+1,1))</f>
        <v>325.58538970226539</v>
      </c>
      <c r="DU41" s="62">
        <f t="shared" si="44"/>
        <v>361.81085660423457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14.627501123783709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14.627501123783709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7.2</v>
      </c>
      <c r="EJ41" s="13">
        <f>IF('Données projet'!$A$192&gt;35,EJ40+EI41-ER40,IF(A41&lt;'Données projet'!$A$192,$EG$205^A41,IF(A41='Données projet'!$A$192,'Données projet'!$B$192,EJ40+EI41-ER40)))</f>
        <v>89.599999999999937</v>
      </c>
      <c r="EK41" s="18">
        <f>EJ41*VLOOKUP('Données projet'!$B$15,Paramètres!$A$1:$I$89,3,0)*VLOOKUP('Données projet'!$B$15,Paramètres!$A$1:$I$89,5,0)</f>
        <v>86.66111999999994</v>
      </c>
      <c r="EL41" s="14">
        <f t="shared" si="45"/>
        <v>23.758204386703788</v>
      </c>
      <c r="EM41" s="22">
        <f t="shared" si="19"/>
        <v>192.31365664017562</v>
      </c>
      <c r="EN41" s="62">
        <f t="shared" si="20"/>
        <v>438.50524993373438</v>
      </c>
      <c r="EO41" s="62">
        <f ca="1">AVERAGE(OFFSET($EN$3,0,0,'Données projet'!$E$15+1,1))-AVERAGE(OFFSET($H$3,0,0,'Données projet'!$E$15+1,1))</f>
        <v>364.22267539944085</v>
      </c>
      <c r="EP41" s="62">
        <f t="shared" si="46"/>
        <v>241.947139538615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9.6</v>
      </c>
      <c r="FE41" s="13">
        <f>IF('Données projet'!$A$218&gt;35,FE40+FD41-FM40,IF(A41&lt;'Données projet'!$A$218,$FB$205^A41,IF(A41='Données projet'!$A$218,'Données projet'!$B$218,FE40+FD41-FM40)))</f>
        <v>175.79999999999995</v>
      </c>
      <c r="FF41" s="18">
        <f>FE41*VLOOKUP('Données projet'!$B$16,Paramètres!$A$1:$I$89,3,0)*VLOOKUP('Données projet'!$B$16,Paramètres!$A$1:$I$89,5,0)</f>
        <v>153.57887999999997</v>
      </c>
      <c r="FG41" s="14">
        <f t="shared" si="47"/>
        <v>39.390779474606148</v>
      </c>
      <c r="FH41" s="22">
        <f t="shared" si="22"/>
        <v>336.08882358493895</v>
      </c>
      <c r="FI41" s="62">
        <f t="shared" si="23"/>
        <v>582.2804168784977</v>
      </c>
      <c r="FJ41" s="62">
        <f ca="1">AVERAGE(OFFSET($FI$3,0,0,'Données projet'!$E$16+1,1))-AVERAGE(OFFSET($H$3,0,0,'Données projet'!$E$16+1,1))</f>
        <v>286.59837239471312</v>
      </c>
      <c r="FK41" s="62">
        <f t="shared" si="48"/>
        <v>319.26091328564689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15.667937396602648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15.667937396602648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12</v>
      </c>
      <c r="FZ41" s="13">
        <f>IF('Données projet'!$A$244&gt;35,FZ40+FY41-GH40,IF(A41&lt;'Données projet'!$A$244,$FW$205^A41,IF(A41='Données projet'!$A$244,'Données projet'!$B$244,FZ40+FY41-GH40)))</f>
        <v>221.00000000000006</v>
      </c>
      <c r="GA41" s="18">
        <f>FZ41*VLOOKUP('Données projet'!$B$17,Paramètres!$A$1:$I$89,3,0)*VLOOKUP('Données projet'!$B$17,Paramètres!$A$1:$I$89,5,0)</f>
        <v>148.24680000000006</v>
      </c>
      <c r="GB41" s="14">
        <f t="shared" si="49"/>
        <v>38.179892421047185</v>
      </c>
      <c r="GC41" s="22">
        <f t="shared" si="25"/>
        <v>324.69315596665729</v>
      </c>
      <c r="GD41" s="62">
        <f t="shared" si="26"/>
        <v>570.88474926021604</v>
      </c>
      <c r="GE41" s="62">
        <f ca="1">AVERAGE(OFFSET($GD$3,0,0,'Données projet'!$E$17+1,1))-AVERAGE(OFFSET($H$3,0,0,'Données projet'!$E$17+1,1))</f>
        <v>277.37570531842186</v>
      </c>
      <c r="GF41" s="62">
        <f t="shared" si="50"/>
        <v>310.00874200911312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projet'!$B$17,Paramètres!$A$1:$I$89,3,0)*0.475*44/12</f>
        <v>14.908799222318009</v>
      </c>
      <c r="GM41" s="23">
        <f>EXP(-LN(2)/25)*GM40+(1-EXP(-LN(2)/25))/(LN(2)/25)*Calculateur!GH41*Calculateur!GJ41*VLOOKUP('Données projet'!$B$17,Paramètres!$A$1:$I$89,3,0)*0.475*44/12</f>
        <v>0</v>
      </c>
      <c r="GN41" s="23">
        <f>EXP(-LN(2)/2)*GN40+(1-EXP(-LN(2)/2))/(LN(2)/2)*GH41*GK41*VLOOKUP('Données projet'!$B$17,Paramètres!$A$1:$I$89,3,0)*0.475*44/12</f>
        <v>0</v>
      </c>
      <c r="GO41" s="23">
        <f t="shared" si="27"/>
        <v>14.908799222318009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9</v>
      </c>
      <c r="N42" s="14">
        <f>IF('Données projet'!$A$36&gt;35,N41+M42-V41,IF(A42&lt;'Données projet'!$A$36,$K$205^A42,IF(A42='Données projet'!$A$36,'Données projet'!$B$36,N41+M42-V41)))</f>
        <v>121.00000000000009</v>
      </c>
      <c r="O42" s="14">
        <f>N42*VLOOKUP('Données projet'!$B$9,Paramètres!$A$1:$I$89,3,0)*VLOOKUP('Données projet'!$B$9,Paramètres!$A$1:$I$89,5,0)</f>
        <v>105.70560000000008</v>
      </c>
      <c r="P42" s="14">
        <f t="shared" si="33"/>
        <v>28.316857405560018</v>
      </c>
      <c r="Q42" s="22">
        <f t="shared" si="53"/>
        <v>233.42244664801714</v>
      </c>
      <c r="R42" s="62">
        <f t="shared" si="0"/>
        <v>480.43184373812426</v>
      </c>
      <c r="S42" s="62">
        <f ca="1">AVERAGE(OFFSET($R$3,0,0,'Données projet'!$E$9+1,1))-AVERAGE(OFFSET($H$3,0,0,'Données projet'!$E$9+1,1))</f>
        <v>401.34220206028908</v>
      </c>
      <c r="T42" s="62">
        <f t="shared" si="34"/>
        <v>265.33314259106987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7</v>
      </c>
      <c r="AI42" s="14">
        <f>IF('Données projet'!$A$62&gt;35,AI41+AH42-AQ41,IF(A42&lt;'Données projet'!$A$62,$AF$205^A42,IF(A42='Données projet'!$A$62,'Données projet'!$B$62,AI41+AH42-AQ41)))</f>
        <v>189</v>
      </c>
      <c r="AJ42" s="14">
        <f>AI42*VLOOKUP('Données projet'!$B$10,Paramètres!$A$1:$I$89,3,0)*VLOOKUP('Données projet'!$B$10,Paramètres!$A$1:$I$89,5,0)</f>
        <v>88.451999999999998</v>
      </c>
      <c r="AK42" s="14">
        <f t="shared" si="35"/>
        <v>24.191508526943956</v>
      </c>
      <c r="AL42" s="22">
        <f t="shared" si="4"/>
        <v>196.18744401776067</v>
      </c>
      <c r="AM42" s="62">
        <f t="shared" si="5"/>
        <v>443.19684110786778</v>
      </c>
      <c r="AN42" s="62">
        <f ca="1">AVERAGE(OFFSET($AM$3,0,0,'Données projet'!$E$10+1,1))-AVERAGE(OFFSET($H$3,0,0,'Données projet'!$E$10+1,1))</f>
        <v>253.48761861464732</v>
      </c>
      <c r="AO42" s="62">
        <f t="shared" si="36"/>
        <v>219.50855998133855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6.1999604581829955</v>
      </c>
      <c r="AV42" s="23">
        <f>EXP(-LN(2)/25)*AV41+(1-EXP(-LN(2)/25))/(LN(2)/25)*Calculateur!AQ42*Calculateur!AS42*VLOOKUP('Données projet'!$B$10,Paramètres!$A$1:$I$89,3,0)*0.475*44/12</f>
        <v>3.9833348894413647</v>
      </c>
      <c r="AW42" s="23">
        <f>EXP(-LN(2)/2)*AW41+(1-EXP(-LN(2)/2))/(LN(2)/2)*AQ42*AT42*VLOOKUP('Données projet'!$B$10,Paramètres!$A$1:$I$89,3,0)*0.475*44/12</f>
        <v>0.10177968805846829</v>
      </c>
      <c r="AX42" s="23">
        <f t="shared" si="6"/>
        <v>10.285075035682828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12.833333333333334</v>
      </c>
      <c r="BD42" s="13">
        <f>IF('Données projet'!$A$88&gt;35,BD41+BC42-BL41,IF(A42&lt;'Données projet'!$A$88,$BA$205^A42,IF(A42='Données projet'!$A$88,'Données projet'!$B$88,BD41+BC42-BL41)))</f>
        <v>262.16666666666674</v>
      </c>
      <c r="BE42" s="14">
        <f>BD42*VLOOKUP('Données projet'!$B$11,Paramètres!$A$1:$I$89,3,0)*VLOOKUP('Données projet'!$B$11,Paramètres!$A$1:$I$89,5,0)</f>
        <v>302.01600000000008</v>
      </c>
      <c r="BF42" s="14">
        <f t="shared" si="37"/>
        <v>71.598929630303871</v>
      </c>
      <c r="BG42" s="22">
        <f t="shared" si="7"/>
        <v>650.71266910611268</v>
      </c>
      <c r="BH42" s="62">
        <f t="shared" si="8"/>
        <v>897.72206619621977</v>
      </c>
      <c r="BI42" s="62">
        <f ca="1">AVERAGE(OFFSET($BH$3,0,0,'Données projet'!$E$11+1,1))-AVERAGE(OFFSET($H$3,0,0,'Données projet'!$E$11+1,1))</f>
        <v>482.85256243111911</v>
      </c>
      <c r="BJ42" s="62">
        <f t="shared" si="38"/>
        <v>517.78430032567064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24.209266773164476</v>
      </c>
      <c r="BQ42" s="23">
        <f>EXP(-LN(2)/25)*BQ41+(1-EXP(-LN(2)/25))/(LN(2)/25)*Calculateur!BL42*Calculateur!BN42*VLOOKUP('Données projet'!$B$11,Paramètres!$A$1:$I$89,3,0)*0.475*44/12</f>
        <v>9.7896774102638506</v>
      </c>
      <c r="BR42" s="23">
        <f>EXP(-LN(2)/2)*BR41+(1-EXP(-LN(2)/2))/(LN(2)/2)*BL42*BO42*VLOOKUP('Données projet'!$B$11,Paramètres!$A$1:$I$89,3,0)*0.475*44/12</f>
        <v>0.84469042426742813</v>
      </c>
      <c r="BS42" s="24">
        <f t="shared" si="9"/>
        <v>34.843634607695755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12.833333333333334</v>
      </c>
      <c r="BY42" s="13">
        <f>IF('Données projet'!$A$114&gt;35,BY41+BX42-CG41,IF(A42&lt;'Données projet'!$A$114,$BV$205^A42,IF(A42='Données projet'!$A$114,'Données projet'!$B$114,BY41+BX42-CG41)))</f>
        <v>262.16666666666674</v>
      </c>
      <c r="BZ42" s="14">
        <f>BY42*VLOOKUP('Données projet'!$B$12,Paramètres!$A$1:$I$89,3,0)*VLOOKUP('Données projet'!$B$12,Paramètres!$A$1:$I$89,5,0)</f>
        <v>156.77566666666672</v>
      </c>
      <c r="CA42" s="14">
        <f t="shared" si="39"/>
        <v>40.114398592763365</v>
      </c>
      <c r="CB42" s="22">
        <f t="shared" si="10"/>
        <v>342.9168636601741</v>
      </c>
      <c r="CC42" s="62">
        <f t="shared" si="11"/>
        <v>589.92626075028124</v>
      </c>
      <c r="CD42" s="62">
        <f ca="1">AVERAGE(OFFSET($CC$3,0,0,'Données projet'!$E$12+1,1))-AVERAGE(OFFSET($H$3,0,0,'Données projet'!$E$12+1,1))</f>
        <v>275.76900776033335</v>
      </c>
      <c r="CE42" s="62">
        <f t="shared" si="40"/>
        <v>299.36898480605191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23.200547324282624</v>
      </c>
      <c r="CL42" s="23">
        <f>EXP(-LN(2)/25)*CL41+(1-EXP(-LN(2)/25))/(LN(2)/25)*Calculateur!CG42*Calculateur!CI42*VLOOKUP('Données projet'!$B$12,Paramètres!$A$1:$I$89,3,0)*0.475*44/12</f>
        <v>9.3817741848361891</v>
      </c>
      <c r="CM42" s="23">
        <f>EXP(-LN(2)/2)*CM41+(1-EXP(-LN(2)/2))/(LN(2)/2)*CG42*CJ42*VLOOKUP('Données projet'!$B$12,Paramètres!$A$1:$I$89,3,0)*0.475*44/12</f>
        <v>0.80949498992295188</v>
      </c>
      <c r="CN42" s="24">
        <f t="shared" si="12"/>
        <v>33.391816499041767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9</v>
      </c>
      <c r="CT42" s="13">
        <f>IF('Données projet'!$A$140&gt;35,CT41+CS42-DB41,IF(A42&lt;'Données projet'!$A$140,$CQ$205^A42,IF(A42='Données projet'!$A$140,'Données projet'!$B$140,CT41+CS42-DB41)))</f>
        <v>121.00000000000009</v>
      </c>
      <c r="CU42" s="18">
        <f>CT42*VLOOKUP('Données projet'!$B$13,Paramètres!$A$1:$I$89,3,0)*VLOOKUP('Données projet'!$B$13,Paramètres!$A$1:$I$89,5,0)</f>
        <v>132.13200000000009</v>
      </c>
      <c r="CV42" s="14">
        <f t="shared" si="41"/>
        <v>34.488534562859151</v>
      </c>
      <c r="CW42" s="22">
        <f t="shared" si="13"/>
        <v>290.19743103031311</v>
      </c>
      <c r="CX42" s="62">
        <f t="shared" si="14"/>
        <v>537.20682812042025</v>
      </c>
      <c r="CY42" s="62">
        <f ca="1">AVERAGE(OFFSET($CX$3,0,0,'Données projet'!$E$13+1,1))-AVERAGE(OFFSET($H$3,0,0,'Données projet'!$E$13+1,1))</f>
        <v>482.24068797679558</v>
      </c>
      <c r="CZ42" s="62">
        <f t="shared" si="42"/>
        <v>316.28941055521693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12</v>
      </c>
      <c r="DO42" s="13">
        <f>IF('Données projet'!$A$166&gt;35,DO41+DN42-DW41,IF(A42&lt;'Données projet'!$A$166,$DL$205^A42,IF(A42='Données projet'!$A$166,'Données projet'!$B$166,DO41+DN42-DW41)))</f>
        <v>233.00000000000006</v>
      </c>
      <c r="DP42" s="18">
        <f>DO42*VLOOKUP('Données projet'!$B$14,Paramètres!$A$1:$I$89,3,0)*VLOOKUP('Données projet'!$B$14,Paramètres!$A$1:$I$89,5,0)</f>
        <v>189.00960000000006</v>
      </c>
      <c r="DQ42" s="14">
        <f t="shared" si="43"/>
        <v>47.320922915876508</v>
      </c>
      <c r="DR42" s="22">
        <f t="shared" si="16"/>
        <v>411.60899407848501</v>
      </c>
      <c r="DS42" s="62">
        <f t="shared" si="17"/>
        <v>658.6183911685921</v>
      </c>
      <c r="DT42" s="62">
        <f ca="1">AVERAGE(OFFSET($DS$3,0,0,'Données projet'!$E$14+1,1))-AVERAGE(OFFSET($H$3,0,0,'Données projet'!$E$14+1,1))</f>
        <v>325.58538970226539</v>
      </c>
      <c r="DU42" s="62">
        <f t="shared" si="44"/>
        <v>361.81085660423457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14.340664748641032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14.340664748641032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7.2</v>
      </c>
      <c r="EJ42" s="13">
        <f>IF('Données projet'!$A$192&gt;35,EJ41+EI42-ER41,IF(A42&lt;'Données projet'!$A$192,$EG$205^A42,IF(A42='Données projet'!$A$192,'Données projet'!$B$192,EJ41+EI42-ER41)))</f>
        <v>96.79999999999994</v>
      </c>
      <c r="EK42" s="18">
        <f>EJ42*VLOOKUP('Données projet'!$B$15,Paramètres!$A$1:$I$89,3,0)*VLOOKUP('Données projet'!$B$15,Paramètres!$A$1:$I$89,5,0)</f>
        <v>93.624959999999945</v>
      </c>
      <c r="EL42" s="14">
        <f t="shared" si="45"/>
        <v>25.437458763266797</v>
      </c>
      <c r="EM42" s="22">
        <f t="shared" si="19"/>
        <v>207.36704601268957</v>
      </c>
      <c r="EN42" s="62">
        <f t="shared" si="20"/>
        <v>454.37644310279666</v>
      </c>
      <c r="EO42" s="62">
        <f ca="1">AVERAGE(OFFSET($EN$3,0,0,'Données projet'!$E$15+1,1))-AVERAGE(OFFSET($H$3,0,0,'Données projet'!$E$15+1,1))</f>
        <v>364.22267539944085</v>
      </c>
      <c r="EP42" s="62">
        <f t="shared" si="46"/>
        <v>241.947139538615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9.6</v>
      </c>
      <c r="FE42" s="13">
        <f>IF('Données projet'!$A$218&gt;35,FE41+FD42-FM41,IF(A42&lt;'Données projet'!$A$218,$FB$205^A42,IF(A42='Données projet'!$A$218,'Données projet'!$B$218,FE41+FD42-FM41)))</f>
        <v>185.39999999999995</v>
      </c>
      <c r="FF42" s="18">
        <f>FE42*VLOOKUP('Données projet'!$B$16,Paramètres!$A$1:$I$89,3,0)*VLOOKUP('Données projet'!$B$16,Paramètres!$A$1:$I$89,5,0)</f>
        <v>161.96543999999997</v>
      </c>
      <c r="FG42" s="14">
        <f t="shared" si="47"/>
        <v>41.285510388923619</v>
      </c>
      <c r="FH42" s="22">
        <f t="shared" si="22"/>
        <v>353.99540526070859</v>
      </c>
      <c r="FI42" s="62">
        <f t="shared" si="23"/>
        <v>601.00480235081568</v>
      </c>
      <c r="FJ42" s="62">
        <f ca="1">AVERAGE(OFFSET($FI$3,0,0,'Données projet'!$E$16+1,1))-AVERAGE(OFFSET($H$3,0,0,'Données projet'!$E$16+1,1))</f>
        <v>286.59837239471312</v>
      </c>
      <c r="FK42" s="62">
        <f t="shared" si="48"/>
        <v>319.26091328564689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15.360698700753456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15.360698700753456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12</v>
      </c>
      <c r="FZ42" s="13">
        <f>IF('Données projet'!$A$244&gt;35,FZ41+FY42-GH41,IF(A42&lt;'Données projet'!$A$244,$FW$205^A42,IF(A42='Données projet'!$A$244,'Données projet'!$B$244,FZ41+FY42-GH41)))</f>
        <v>233.00000000000006</v>
      </c>
      <c r="GA42" s="18">
        <f>FZ42*VLOOKUP('Données projet'!$B$17,Paramètres!$A$1:$I$89,3,0)*VLOOKUP('Données projet'!$B$17,Paramètres!$A$1:$I$89,5,0)</f>
        <v>156.29640000000003</v>
      </c>
      <c r="GB42" s="14">
        <f t="shared" si="49"/>
        <v>40.006022893838505</v>
      </c>
      <c r="GC42" s="22">
        <f t="shared" si="25"/>
        <v>341.89338654010209</v>
      </c>
      <c r="GD42" s="62">
        <f t="shared" si="26"/>
        <v>588.90278363020923</v>
      </c>
      <c r="GE42" s="62">
        <f ca="1">AVERAGE(OFFSET($GD$3,0,0,'Données projet'!$E$17+1,1))-AVERAGE(OFFSET($H$3,0,0,'Données projet'!$E$17+1,1))</f>
        <v>277.37570531842186</v>
      </c>
      <c r="GF42" s="62">
        <f t="shared" si="50"/>
        <v>310.00874200911312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projet'!$B$17,Paramètres!$A$1:$I$89,3,0)*0.475*44/12</f>
        <v>14.616446763037974</v>
      </c>
      <c r="GM42" s="23">
        <f>EXP(-LN(2)/25)*GM41+(1-EXP(-LN(2)/25))/(LN(2)/25)*Calculateur!GH42*Calculateur!GJ42*VLOOKUP('Données projet'!$B$17,Paramètres!$A$1:$I$89,3,0)*0.475*44/12</f>
        <v>0</v>
      </c>
      <c r="GN42" s="23">
        <f>EXP(-LN(2)/2)*GN41+(1-EXP(-LN(2)/2))/(LN(2)/2)*GH42*GK42*VLOOKUP('Données projet'!$B$17,Paramètres!$A$1:$I$89,3,0)*0.475*44/12</f>
        <v>0</v>
      </c>
      <c r="GO42" s="23">
        <f t="shared" si="27"/>
        <v>14.616446763037974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9</v>
      </c>
      <c r="N43" s="14">
        <f>IF('Données projet'!$A$36&gt;35,N42+M43-V42,IF(A43&lt;'Données projet'!$A$36,$K$205^A43,IF(A43='Données projet'!$A$36,'Données projet'!$B$36,N42+M43-V42)))</f>
        <v>130.00000000000009</v>
      </c>
      <c r="O43" s="14">
        <f>N43*VLOOKUP('Données projet'!$B$9,Paramètres!$A$1:$I$89,3,0)*VLOOKUP('Données projet'!$B$9,Paramètres!$A$1:$I$89,5,0)</f>
        <v>113.56800000000008</v>
      </c>
      <c r="P43" s="14">
        <f t="shared" si="33"/>
        <v>30.170065062058239</v>
      </c>
      <c r="Q43" s="22">
        <f t="shared" si="53"/>
        <v>250.34379664975157</v>
      </c>
      <c r="R43" s="62">
        <f t="shared" si="0"/>
        <v>498.15681046887238</v>
      </c>
      <c r="S43" s="62">
        <f ca="1">AVERAGE(OFFSET($R$3,0,0,'Données projet'!$E$9+1,1))-AVERAGE(OFFSET($H$3,0,0,'Données projet'!$E$9+1,1))</f>
        <v>401.34220206028908</v>
      </c>
      <c r="T43" s="62">
        <f t="shared" si="34"/>
        <v>265.33314259106987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196</v>
      </c>
      <c r="AG43" s="13">
        <f>VLOOKUP(A43,'Données projet'!$A$61:$I$81,9,0)</f>
        <v>7</v>
      </c>
      <c r="AH43" s="13">
        <f t="array" ref="AH43">INDEX(AG:AG,MIN(IF(ISNUMBER(AG43:AG239),ROW(AG43:AG239),"")))</f>
        <v>7</v>
      </c>
      <c r="AI43" s="14">
        <f>IF('Données projet'!$A$62&gt;35,AI42+AH43-AQ42,IF(A43&lt;'Données projet'!$A$62,$AF$205^A43,IF(A43='Données projet'!$A$62,'Données projet'!$B$62,AI42+AH43-AQ42)))</f>
        <v>196</v>
      </c>
      <c r="AJ43" s="14">
        <f>AI43*VLOOKUP('Données projet'!$B$10,Paramètres!$A$1:$I$89,3,0)*VLOOKUP('Données projet'!$B$10,Paramètres!$A$1:$I$89,5,0)</f>
        <v>91.728000000000009</v>
      </c>
      <c r="AK43" s="14">
        <f t="shared" si="35"/>
        <v>24.981514582386563</v>
      </c>
      <c r="AL43" s="22">
        <f t="shared" si="4"/>
        <v>203.26907123098991</v>
      </c>
      <c r="AM43" s="62">
        <f t="shared" si="5"/>
        <v>451.08208505011072</v>
      </c>
      <c r="AN43" s="62">
        <f ca="1">AVERAGE(OFFSET($AM$3,0,0,'Données projet'!$E$10+1,1))-AVERAGE(OFFSET($H$3,0,0,'Données projet'!$E$10+1,1))</f>
        <v>253.48761861464732</v>
      </c>
      <c r="AO43" s="62">
        <f t="shared" si="36"/>
        <v>219.50855998133855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39</v>
      </c>
      <c r="AR43" s="17">
        <f>IF(ISNA(VLOOKUP(A43,'Données projet'!$A$61:$I$81,5,0)),0%,VLOOKUP(A43,'Données projet'!$A$61:$I$81,5,0)*VLOOKUP('Données projet'!$B$10,Paramètres!$A$1:$I$89,7,0))</f>
        <v>0.38500000000000001</v>
      </c>
      <c r="AS43" s="17">
        <f>IF(ISNA(VLOOKUP(A43,'Données projet'!$A$61:$I$81,6,0)),0%,VLOOKUP(A43,'Données projet'!$A$61:$I$81,6,0)*VLOOKUP('Données projet'!$B$10,Paramètres!$A$1:$I$89,7,0))</f>
        <v>9.3500000000000014E-2</v>
      </c>
      <c r="AT43" s="17">
        <f>IF(ISNA(VLOOKUP(A43,'Données projet'!$A$61:$I$81,7,0)),0%,VLOOKUP(A43,'Données projet'!$A$61:$I$81,7,0))</f>
        <v>0.13</v>
      </c>
      <c r="AU43" s="23">
        <f>EXP(-LN(2)/35)*AU42+(1-EXP(-LN(2)/35))/(LN(2)/35)*AQ43*AR43*VLOOKUP('Données projet'!$B$10,Paramètres!$A$1:$I$89,3,0)*0.475*44/12</f>
        <v>15.400177974863263</v>
      </c>
      <c r="AV43" s="23">
        <f>EXP(-LN(2)/25)*AV42+(1-EXP(-LN(2)/25))/(LN(2)/25)*Calculateur!AQ43*Calculateur!AS43*VLOOKUP('Données projet'!$B$10,Paramètres!$A$1:$I$89,3,0)*0.475*44/12</f>
        <v>6.1293611805209967</v>
      </c>
      <c r="AW43" s="23">
        <f>EXP(-LN(2)/2)*AW42+(1-EXP(-LN(2)/2))/(LN(2)/2)*AQ43*AT43*VLOOKUP('Données projet'!$B$10,Paramètres!$A$1:$I$89,3,0)*0.475*44/12</f>
        <v>2.758484613892092</v>
      </c>
      <c r="AX43" s="23">
        <f t="shared" si="6"/>
        <v>24.28802376927635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275</v>
      </c>
      <c r="BB43" s="13">
        <f>VLOOKUP(A43,'Données projet'!$A$87:$I$107,9,0)</f>
        <v>12.833333333333334</v>
      </c>
      <c r="BC43" s="13">
        <f t="array" ref="BC43">INDEX(BB:BB,MIN(IF(ISNUMBER(BB43:BB239),ROW(BB43:BB239),"")))</f>
        <v>12.833333333333334</v>
      </c>
      <c r="BD43" s="13">
        <f>IF('Données projet'!$A$88&gt;35,BD42+BC43-BL42,IF(A43&lt;'Données projet'!$A$88,$BA$205^A43,IF(A43='Données projet'!$A$88,'Données projet'!$B$88,BD42+BC43-BL42)))</f>
        <v>275.00000000000006</v>
      </c>
      <c r="BE43" s="14">
        <f>BD43*VLOOKUP('Données projet'!$B$11,Paramètres!$A$1:$I$89,3,0)*VLOOKUP('Données projet'!$B$11,Paramètres!$A$1:$I$89,5,0)</f>
        <v>316.80000000000007</v>
      </c>
      <c r="BF43" s="14">
        <f t="shared" si="37"/>
        <v>74.687142471598563</v>
      </c>
      <c r="BG43" s="22">
        <f t="shared" si="7"/>
        <v>681.84010647136768</v>
      </c>
      <c r="BH43" s="62">
        <f t="shared" si="8"/>
        <v>929.65312029048846</v>
      </c>
      <c r="BI43" s="62">
        <f ca="1">AVERAGE(OFFSET($BH$3,0,0,'Données projet'!$E$11+1,1))-AVERAGE(OFFSET($H$3,0,0,'Données projet'!$E$11+1,1))</f>
        <v>482.85256243111911</v>
      </c>
      <c r="BJ43" s="62">
        <f t="shared" si="38"/>
        <v>517.78430032567064</v>
      </c>
      <c r="BK43" s="16">
        <f>IF(ISNA(VLOOKUP(A43,'Données projet'!$A$87:$I$107,3,0)),0,VLOOKUP(A43,'Données projet'!$A$87:$I$107,3,0))</f>
        <v>6</v>
      </c>
      <c r="BL43" s="16">
        <f>IF(ISNA(VLOOKUP(A43,'Données projet'!$A$87:$I$107,4,0)),0,VLOOKUP(A43,'Données projet'!$A$87:$I$107,4,0))</f>
        <v>41</v>
      </c>
      <c r="BM43" s="17">
        <f>IF(ISNA(VLOOKUP(A43,'Données projet'!$A$87:$I$107,5,0)),0%,VLOOKUP(A43,'Données projet'!$A$87:$I$107,5,0)*VLOOKUP('Données projet'!$B$11,Paramètres!$A$1:$I$89,7,0))</f>
        <v>0.315</v>
      </c>
      <c r="BN43" s="17">
        <f>IF(ISNA(VLOOKUP(A43,'Données projet'!$A$87:$I$107,6,0)),0%,VLOOKUP(A43,'Données projet'!$A$87:$I$107,6,0)*VLOOKUP('Données projet'!$B$11,Paramètres!$A$1:$I$89,7,0))</f>
        <v>7.6500000000000012E-2</v>
      </c>
      <c r="BO43" s="17">
        <f>IF(ISNA(VLOOKUP(A43,'Données projet'!$A$87:$I$107,7,0)),0%,VLOOKUP(A43,'Données projet'!$A$87:$I$107,7,0))</f>
        <v>0.13</v>
      </c>
      <c r="BP43" s="23">
        <f>EXP(-LN(2)/35)*BP42+(1-EXP(-LN(2)/35))/(LN(2)/35)*BL43*BM43*VLOOKUP('Données projet'!$B$11,Paramètres!$A$1:$I$89,3,0)*0.475*44/12</f>
        <v>34.425267701746449</v>
      </c>
      <c r="BQ43" s="23">
        <f>EXP(-LN(2)/25)*BQ42+(1-EXP(-LN(2)/25))/(LN(2)/25)*Calculateur!BL43*Calculateur!BN43*VLOOKUP('Données projet'!$B$11,Paramètres!$A$1:$I$89,3,0)*0.475*44/12</f>
        <v>12.108075579735907</v>
      </c>
      <c r="BR43" s="23">
        <f>EXP(-LN(2)/2)*BR42+(1-EXP(-LN(2)/2))/(LN(2)/2)*BL43*BO43*VLOOKUP('Données projet'!$B$11,Paramètres!$A$1:$I$89,3,0)*0.475*44/12</f>
        <v>4.3630003699920641</v>
      </c>
      <c r="BS43" s="24">
        <f t="shared" si="9"/>
        <v>50.896343651474425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275</v>
      </c>
      <c r="BW43" s="13">
        <f>VLOOKUP(A43,'Données projet'!$A$113:$I$133,9,0)</f>
        <v>12.833333333333334</v>
      </c>
      <c r="BX43" s="13">
        <f t="array" ref="BX43">INDEX(BW:BW,MIN(IF(ISNUMBER(BW43:BW239),ROW(BW43:BW239),"")))</f>
        <v>12.833333333333334</v>
      </c>
      <c r="BY43" s="13">
        <f>IF('Données projet'!$A$114&gt;35,BY42+BX43-CG42,IF(A43&lt;'Données projet'!$A$114,$BV$205^A43,IF(A43='Données projet'!$A$114,'Données projet'!$B$114,BY42+BX43-CG42)))</f>
        <v>275.00000000000006</v>
      </c>
      <c r="BZ43" s="14">
        <f>BY43*VLOOKUP('Données projet'!$B$12,Paramètres!$A$1:$I$89,3,0)*VLOOKUP('Données projet'!$B$12,Paramètres!$A$1:$I$89,5,0)</f>
        <v>164.45000000000005</v>
      </c>
      <c r="CA43" s="14">
        <f t="shared" si="39"/>
        <v>41.844617207687371</v>
      </c>
      <c r="CB43" s="22">
        <f t="shared" si="10"/>
        <v>359.29645830338887</v>
      </c>
      <c r="CC43" s="62">
        <f t="shared" si="11"/>
        <v>607.10947212250971</v>
      </c>
      <c r="CD43" s="62">
        <f ca="1">AVERAGE(OFFSET($CC$3,0,0,'Données projet'!$E$12+1,1))-AVERAGE(OFFSET($H$3,0,0,'Données projet'!$E$12+1,1))</f>
        <v>275.76900776033335</v>
      </c>
      <c r="CE43" s="62">
        <f t="shared" si="40"/>
        <v>299.36898480605191</v>
      </c>
      <c r="CF43" s="16">
        <f>IF(ISNA(VLOOKUP(A43,'Données projet'!$A$113:$I$133,3,0)),0,VLOOKUP(A43,'Données projet'!$A$113:$I$133,3,0))</f>
        <v>6</v>
      </c>
      <c r="CG43" s="16">
        <f>IF(ISNA(VLOOKUP(A43,'Données projet'!$A$113:$I$133,4,0)),0,VLOOKUP(A43,'Données projet'!$A$113:$I$133,4,0))</f>
        <v>41</v>
      </c>
      <c r="CH43" s="17">
        <f>IF(ISNA(VLOOKUP(A43,'Données projet'!$A$113:$I$133,5,0)),0%,VLOOKUP(A43,'Données projet'!$A$113:$I$133,5,0)*VLOOKUP('Données projet'!$B$12,Paramètres!$A$1:$I$89,7,0))</f>
        <v>0.315</v>
      </c>
      <c r="CI43" s="17">
        <f>IF(ISNA(VLOOKUP(A43,'Données projet'!$A$113:$I$133,6,0)),0%,VLOOKUP(A43,'Données projet'!$A$113:$I$133,6,0)*VLOOKUP('Données projet'!$B$12,Paramètres!$A$1:$I$89,7,0))</f>
        <v>7.6500000000000012E-2</v>
      </c>
      <c r="CJ43" s="17">
        <f>IF(ISNA(VLOOKUP(A43,'Données projet'!$A$113:$I$133,7,0)),0%,VLOOKUP(A43,'Données projet'!$A$113:$I$133,7,0))</f>
        <v>0.13</v>
      </c>
      <c r="CK43" s="23">
        <f>EXP(-LN(2)/35)*CK42+(1-EXP(-LN(2)/35))/(LN(2)/35)*CG43*CH43*VLOOKUP('Données projet'!$B$12,Paramètres!$A$1:$I$89,3,0)*0.475*44/12</f>
        <v>32.990881547507016</v>
      </c>
      <c r="CL43" s="23">
        <f>EXP(-LN(2)/25)*CL42+(1-EXP(-LN(2)/25))/(LN(2)/25)*Calculateur!CG43*Calculateur!CI43*VLOOKUP('Données projet'!$B$12,Paramètres!$A$1:$I$89,3,0)*0.475*44/12</f>
        <v>11.603572430580243</v>
      </c>
      <c r="CM43" s="23">
        <f>EXP(-LN(2)/2)*CM42+(1-EXP(-LN(2)/2))/(LN(2)/2)*CG43*CJ43*VLOOKUP('Données projet'!$B$12,Paramètres!$A$1:$I$89,3,0)*0.475*44/12</f>
        <v>4.1812086879090611</v>
      </c>
      <c r="CN43" s="24">
        <f t="shared" si="12"/>
        <v>48.775662665996322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9</v>
      </c>
      <c r="CT43" s="13">
        <f>IF('Données projet'!$A$140&gt;35,CT42+CS43-DB42,IF(A43&lt;'Données projet'!$A$140,$CQ$205^A43,IF(A43='Données projet'!$A$140,'Données projet'!$B$140,CT42+CS43-DB42)))</f>
        <v>130.00000000000009</v>
      </c>
      <c r="CU43" s="18">
        <f>CT43*VLOOKUP('Données projet'!$B$13,Paramètres!$A$1:$I$89,3,0)*VLOOKUP('Données projet'!$B$13,Paramètres!$A$1:$I$89,5,0)</f>
        <v>141.96000000000009</v>
      </c>
      <c r="CV43" s="14">
        <f t="shared" si="41"/>
        <v>36.745650011720521</v>
      </c>
      <c r="CW43" s="22">
        <f t="shared" si="13"/>
        <v>311.24567377041342</v>
      </c>
      <c r="CX43" s="62">
        <f t="shared" si="14"/>
        <v>559.0586875895342</v>
      </c>
      <c r="CY43" s="62">
        <f ca="1">AVERAGE(OFFSET($CX$3,0,0,'Données projet'!$E$13+1,1))-AVERAGE(OFFSET($H$3,0,0,'Données projet'!$E$13+1,1))</f>
        <v>482.24068797679558</v>
      </c>
      <c r="CZ43" s="62">
        <f t="shared" si="42"/>
        <v>316.28941055521693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12</v>
      </c>
      <c r="DO43" s="13">
        <f>IF('Données projet'!$A$166&gt;35,DO42+DN43-DW42,IF(A43&lt;'Données projet'!$A$166,$DL$205^A43,IF(A43='Données projet'!$A$166,'Données projet'!$B$166,DO42+DN43-DW42)))</f>
        <v>245.00000000000006</v>
      </c>
      <c r="DP43" s="18">
        <f>DO43*VLOOKUP('Données projet'!$B$14,Paramètres!$A$1:$I$89,3,0)*VLOOKUP('Données projet'!$B$14,Paramètres!$A$1:$I$89,5,0)</f>
        <v>198.74400000000006</v>
      </c>
      <c r="DQ43" s="14">
        <f t="shared" si="43"/>
        <v>49.468035816012197</v>
      </c>
      <c r="DR43" s="22">
        <f t="shared" si="16"/>
        <v>432.30262904622128</v>
      </c>
      <c r="DS43" s="62">
        <f t="shared" si="17"/>
        <v>680.11564286534212</v>
      </c>
      <c r="DT43" s="62">
        <f ca="1">AVERAGE(OFFSET($DS$3,0,0,'Données projet'!$E$14+1,1))-AVERAGE(OFFSET($H$3,0,0,'Données projet'!$E$14+1,1))</f>
        <v>325.58538970226539</v>
      </c>
      <c r="DU43" s="62">
        <f t="shared" si="44"/>
        <v>361.81085660423457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14.059453059861989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14.059453059861989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7.2</v>
      </c>
      <c r="EJ43" s="13">
        <f>IF('Données projet'!$A$192&gt;35,EJ42+EI43-ER42,IF(A43&lt;'Données projet'!$A$192,$EG$205^A43,IF(A43='Données projet'!$A$192,'Données projet'!$B$192,EJ42+EI43-ER42)))</f>
        <v>103.99999999999994</v>
      </c>
      <c r="EK43" s="18">
        <f>EJ43*VLOOKUP('Données projet'!$B$15,Paramètres!$A$1:$I$89,3,0)*VLOOKUP('Données projet'!$B$15,Paramètres!$A$1:$I$89,5,0)</f>
        <v>100.58879999999995</v>
      </c>
      <c r="EL43" s="14">
        <f t="shared" si="45"/>
        <v>27.102223064855114</v>
      </c>
      <c r="EM43" s="22">
        <f t="shared" si="19"/>
        <v>222.39519850462258</v>
      </c>
      <c r="EN43" s="62">
        <f t="shared" si="20"/>
        <v>470.2082123237434</v>
      </c>
      <c r="EO43" s="62">
        <f ca="1">AVERAGE(OFFSET($EN$3,0,0,'Données projet'!$E$15+1,1))-AVERAGE(OFFSET($H$3,0,0,'Données projet'!$E$15+1,1))</f>
        <v>364.22267539944085</v>
      </c>
      <c r="EP43" s="62">
        <f t="shared" si="46"/>
        <v>241.947139538615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9.6</v>
      </c>
      <c r="FE43" s="13">
        <f>IF('Données projet'!$A$218&gt;35,FE42+FD43-FM42,IF(A43&lt;'Données projet'!$A$218,$FB$205^A43,IF(A43='Données projet'!$A$218,'Données projet'!$B$218,FE42+FD43-FM42)))</f>
        <v>194.99999999999994</v>
      </c>
      <c r="FF43" s="18">
        <f>FE43*VLOOKUP('Données projet'!$B$16,Paramètres!$A$1:$I$89,3,0)*VLOOKUP('Données projet'!$B$16,Paramètres!$A$1:$I$89,5,0)</f>
        <v>170.35199999999998</v>
      </c>
      <c r="FG43" s="14">
        <f t="shared" si="47"/>
        <v>43.168850382694451</v>
      </c>
      <c r="FH43" s="22">
        <f t="shared" si="22"/>
        <v>371.88214774985937</v>
      </c>
      <c r="FI43" s="62">
        <f t="shared" si="23"/>
        <v>619.69516156898021</v>
      </c>
      <c r="FJ43" s="62">
        <f ca="1">AVERAGE(OFFSET($FI$3,0,0,'Données projet'!$E$16+1,1))-AVERAGE(OFFSET($H$3,0,0,'Données projet'!$E$16+1,1))</f>
        <v>286.59837239471312</v>
      </c>
      <c r="FK43" s="62">
        <f t="shared" si="48"/>
        <v>319.26091328564689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15.059484768332768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15.059484768332768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12</v>
      </c>
      <c r="FZ43" s="13">
        <f>IF('Données projet'!$A$244&gt;35,FZ42+FY43-GH42,IF(A43&lt;'Données projet'!$A$244,$FW$205^A43,IF(A43='Données projet'!$A$244,'Données projet'!$B$244,FZ42+FY43-GH42)))</f>
        <v>245.00000000000006</v>
      </c>
      <c r="GA43" s="18">
        <f>FZ43*VLOOKUP('Données projet'!$B$17,Paramètres!$A$1:$I$89,3,0)*VLOOKUP('Données projet'!$B$17,Paramètres!$A$1:$I$89,5,0)</f>
        <v>164.34600000000003</v>
      </c>
      <c r="GB43" s="14">
        <f t="shared" si="49"/>
        <v>41.821233640915146</v>
      </c>
      <c r="GC43" s="22">
        <f t="shared" si="25"/>
        <v>359.07459859126061</v>
      </c>
      <c r="GD43" s="62">
        <f t="shared" si="26"/>
        <v>606.88761241038139</v>
      </c>
      <c r="GE43" s="62">
        <f ca="1">AVERAGE(OFFSET($GD$3,0,0,'Données projet'!$E$17+1,1))-AVERAGE(OFFSET($H$3,0,0,'Données projet'!$E$17+1,1))</f>
        <v>277.37570531842186</v>
      </c>
      <c r="GF43" s="62">
        <f t="shared" si="50"/>
        <v>310.00874200911312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projet'!$B$17,Paramètres!$A$1:$I$89,3,0)*0.475*44/12</f>
        <v>14.329827157167026</v>
      </c>
      <c r="GM43" s="23">
        <f>EXP(-LN(2)/25)*GM42+(1-EXP(-LN(2)/25))/(LN(2)/25)*Calculateur!GH43*Calculateur!GJ43*VLOOKUP('Données projet'!$B$17,Paramètres!$A$1:$I$89,3,0)*0.475*44/12</f>
        <v>0</v>
      </c>
      <c r="GN43" s="23">
        <f>EXP(-LN(2)/2)*GN42+(1-EXP(-LN(2)/2))/(LN(2)/2)*GH43*GK43*VLOOKUP('Données projet'!$B$17,Paramètres!$A$1:$I$89,3,0)*0.475*44/12</f>
        <v>0</v>
      </c>
      <c r="GO43" s="23">
        <f t="shared" si="27"/>
        <v>14.329827157167026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9</v>
      </c>
      <c r="N44" s="14">
        <f>IF('Données projet'!$A$36&gt;35,N43+M44-V43,IF(A44&lt;'Données projet'!$A$36,$K$205^A44,IF(A44='Données projet'!$A$36,'Données projet'!$B$36,N43+M44-V43)))</f>
        <v>139.00000000000009</v>
      </c>
      <c r="O44" s="14">
        <f>N44*VLOOKUP('Données projet'!$B$9,Paramètres!$A$1:$I$89,3,0)*VLOOKUP('Données projet'!$B$9,Paramètres!$A$1:$I$89,5,0)</f>
        <v>121.43040000000009</v>
      </c>
      <c r="P44" s="14">
        <f t="shared" si="33"/>
        <v>32.008386179504512</v>
      </c>
      <c r="Q44" s="22">
        <f t="shared" si="53"/>
        <v>267.23921926263716</v>
      </c>
      <c r="R44" s="62">
        <f t="shared" si="0"/>
        <v>515.84190885714111</v>
      </c>
      <c r="S44" s="62">
        <f ca="1">AVERAGE(OFFSET($R$3,0,0,'Données projet'!$E$9+1,1))-AVERAGE(OFFSET($H$3,0,0,'Données projet'!$E$9+1,1))</f>
        <v>401.34220206028908</v>
      </c>
      <c r="T44" s="62">
        <f t="shared" si="34"/>
        <v>265.33314259106987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6.9</v>
      </c>
      <c r="AI44" s="14">
        <f>IF('Données projet'!$A$62&gt;35,AI43+AH44-AQ43,IF(A44&lt;'Données projet'!$A$62,$AF$205^A44,IF(A44='Données projet'!$A$62,'Données projet'!$B$62,AI43+AH44-AQ43)))</f>
        <v>163.9</v>
      </c>
      <c r="AJ44" s="14">
        <f>AI44*VLOOKUP('Données projet'!$B$10,Paramètres!$A$1:$I$89,3,0)*VLOOKUP('Données projet'!$B$10,Paramètres!$A$1:$I$89,5,0)</f>
        <v>76.705200000000005</v>
      </c>
      <c r="AK44" s="14">
        <f t="shared" si="35"/>
        <v>21.32962715676695</v>
      </c>
      <c r="AL44" s="22">
        <f t="shared" si="4"/>
        <v>170.74399063136912</v>
      </c>
      <c r="AM44" s="62">
        <f t="shared" si="5"/>
        <v>419.34668022587311</v>
      </c>
      <c r="AN44" s="62">
        <f ca="1">AVERAGE(OFFSET($AM$3,0,0,'Données projet'!$E$10+1,1))-AVERAGE(OFFSET($H$3,0,0,'Données projet'!$E$10+1,1))</f>
        <v>253.48761861464732</v>
      </c>
      <c r="AO44" s="62">
        <f t="shared" si="36"/>
        <v>219.50855998133855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15.09818987795726</v>
      </c>
      <c r="AV44" s="23">
        <f>EXP(-LN(2)/25)*AV43+(1-EXP(-LN(2)/25))/(LN(2)/25)*Calculateur!AQ44*Calculateur!AS44*VLOOKUP('Données projet'!$B$10,Paramètres!$A$1:$I$89,3,0)*0.475*44/12</f>
        <v>5.9617534767105544</v>
      </c>
      <c r="AW44" s="23">
        <f>EXP(-LN(2)/2)*AW43+(1-EXP(-LN(2)/2))/(LN(2)/2)*AQ44*AT44*VLOOKUP('Données projet'!$B$10,Paramètres!$A$1:$I$89,3,0)*0.475*44/12</f>
        <v>1.9505431762818537</v>
      </c>
      <c r="AX44" s="23">
        <f t="shared" si="6"/>
        <v>23.01048653094967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9.8333333333333339</v>
      </c>
      <c r="BD44" s="13">
        <f>IF('Données projet'!$A$88&gt;35,BD43+BC44-BL43,IF(A44&lt;'Données projet'!$A$88,$BA$205^A44,IF(A44='Données projet'!$A$88,'Données projet'!$B$88,BD43+BC44-BL43)))</f>
        <v>243.83333333333337</v>
      </c>
      <c r="BE44" s="14">
        <f>BD44*VLOOKUP('Données projet'!$B$11,Paramètres!$A$1:$I$89,3,0)*VLOOKUP('Données projet'!$B$11,Paramètres!$A$1:$I$89,5,0)</f>
        <v>280.89600000000002</v>
      </c>
      <c r="BF44" s="14">
        <f t="shared" si="37"/>
        <v>67.156324215334919</v>
      </c>
      <c r="BG44" s="22">
        <f t="shared" si="7"/>
        <v>606.19113134170823</v>
      </c>
      <c r="BH44" s="62">
        <f t="shared" si="8"/>
        <v>854.79382093621223</v>
      </c>
      <c r="BI44" s="62">
        <f ca="1">AVERAGE(OFFSET($BH$3,0,0,'Données projet'!$E$11+1,1))-AVERAGE(OFFSET($H$3,0,0,'Données projet'!$E$11+1,1))</f>
        <v>482.85256243111911</v>
      </c>
      <c r="BJ44" s="62">
        <f t="shared" si="38"/>
        <v>517.78430032567064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33.750209199455185</v>
      </c>
      <c r="BQ44" s="23">
        <f>EXP(-LN(2)/25)*BQ43+(1-EXP(-LN(2)/25))/(LN(2)/25)*Calculateur!BL44*Calculateur!BN44*VLOOKUP('Données projet'!$B$11,Paramètres!$A$1:$I$89,3,0)*0.475*44/12</f>
        <v>11.776979616272007</v>
      </c>
      <c r="BR44" s="23">
        <f>EXP(-LN(2)/2)*BR43+(1-EXP(-LN(2)/2))/(LN(2)/2)*BL44*BO44*VLOOKUP('Données projet'!$B$11,Paramètres!$A$1:$I$89,3,0)*0.475*44/12</f>
        <v>3.0851071479408048</v>
      </c>
      <c r="BS44" s="24">
        <f t="shared" si="9"/>
        <v>48.612295963667997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9.8333333333333339</v>
      </c>
      <c r="BY44" s="13">
        <f>IF('Données projet'!$A$114&gt;35,BY43+BX44-CG43,IF(A44&lt;'Données projet'!$A$114,$BV$205^A44,IF(A44='Données projet'!$A$114,'Données projet'!$B$114,BY43+BX44-CG43)))</f>
        <v>243.83333333333337</v>
      </c>
      <c r="BZ44" s="14">
        <f>BY44*VLOOKUP('Données projet'!$B$12,Paramètres!$A$1:$I$89,3,0)*VLOOKUP('Données projet'!$B$12,Paramètres!$A$1:$I$89,5,0)</f>
        <v>145.81233333333336</v>
      </c>
      <c r="CA44" s="14">
        <f t="shared" si="39"/>
        <v>37.625360763194948</v>
      </c>
      <c r="CB44" s="22">
        <f t="shared" si="10"/>
        <v>319.4873172181201</v>
      </c>
      <c r="CC44" s="62">
        <f t="shared" si="11"/>
        <v>568.0900068126241</v>
      </c>
      <c r="CD44" s="62">
        <f ca="1">AVERAGE(OFFSET($CC$3,0,0,'Données projet'!$E$12+1,1))-AVERAGE(OFFSET($H$3,0,0,'Données projet'!$E$12+1,1))</f>
        <v>275.76900776033335</v>
      </c>
      <c r="CE44" s="62">
        <f t="shared" si="40"/>
        <v>299.36898480605191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32.343950482811223</v>
      </c>
      <c r="CL44" s="23">
        <f>EXP(-LN(2)/25)*CL43+(1-EXP(-LN(2)/25))/(LN(2)/25)*Calculateur!CG44*Calculateur!CI44*VLOOKUP('Données projet'!$B$12,Paramètres!$A$1:$I$89,3,0)*0.475*44/12</f>
        <v>11.286272132260672</v>
      </c>
      <c r="CM44" s="23">
        <f>EXP(-LN(2)/2)*CM43+(1-EXP(-LN(2)/2))/(LN(2)/2)*CG44*CJ44*VLOOKUP('Données projet'!$B$12,Paramètres!$A$1:$I$89,3,0)*0.475*44/12</f>
        <v>2.9565610167766043</v>
      </c>
      <c r="CN44" s="24">
        <f t="shared" si="12"/>
        <v>46.586783631848498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9</v>
      </c>
      <c r="CT44" s="13">
        <f>IF('Données projet'!$A$140&gt;35,CT43+CS44-DB43,IF(A44&lt;'Données projet'!$A$140,$CQ$205^A44,IF(A44='Données projet'!$A$140,'Données projet'!$B$140,CT43+CS44-DB43)))</f>
        <v>139.00000000000009</v>
      </c>
      <c r="CU44" s="18">
        <f>CT44*VLOOKUP('Données projet'!$B$13,Paramètres!$A$1:$I$89,3,0)*VLOOKUP('Données projet'!$B$13,Paramètres!$A$1:$I$89,5,0)</f>
        <v>151.7880000000001</v>
      </c>
      <c r="CV44" s="14">
        <f t="shared" si="41"/>
        <v>38.984634390835659</v>
      </c>
      <c r="CW44" s="22">
        <f t="shared" si="13"/>
        <v>332.26233823070555</v>
      </c>
      <c r="CX44" s="62">
        <f t="shared" si="14"/>
        <v>580.86502782520949</v>
      </c>
      <c r="CY44" s="62">
        <f ca="1">AVERAGE(OFFSET($CX$3,0,0,'Données projet'!$E$13+1,1))-AVERAGE(OFFSET($H$3,0,0,'Données projet'!$E$13+1,1))</f>
        <v>482.24068797679558</v>
      </c>
      <c r="CZ44" s="62">
        <f t="shared" si="42"/>
        <v>316.28941055521693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12</v>
      </c>
      <c r="DO44" s="13">
        <f>IF('Données projet'!$A$166&gt;35,DO43+DN44-DW43,IF(A44&lt;'Données projet'!$A$166,$DL$205^A44,IF(A44='Données projet'!$A$166,'Données projet'!$B$166,DO43+DN44-DW43)))</f>
        <v>257.00000000000006</v>
      </c>
      <c r="DP44" s="18">
        <f>DO44*VLOOKUP('Données projet'!$B$14,Paramètres!$A$1:$I$89,3,0)*VLOOKUP('Données projet'!$B$14,Paramètres!$A$1:$I$89,5,0)</f>
        <v>208.47840000000008</v>
      </c>
      <c r="DQ44" s="14">
        <f t="shared" si="43"/>
        <v>51.60293721710056</v>
      </c>
      <c r="DR44" s="22">
        <f t="shared" si="16"/>
        <v>452.97499565311699</v>
      </c>
      <c r="DS44" s="62">
        <f t="shared" si="17"/>
        <v>701.57768524762093</v>
      </c>
      <c r="DT44" s="62">
        <f ca="1">AVERAGE(OFFSET($DS$3,0,0,'Données projet'!$E$14+1,1))-AVERAGE(OFFSET($H$3,0,0,'Données projet'!$E$14+1,1))</f>
        <v>325.58538970226539</v>
      </c>
      <c r="DU44" s="62">
        <f t="shared" si="44"/>
        <v>361.81085660423457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13.783755760777709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13.783755760777709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7.2</v>
      </c>
      <c r="EJ44" s="13">
        <f>IF('Données projet'!$A$192&gt;35,EJ43+EI44-ER43,IF(A44&lt;'Données projet'!$A$192,$EG$205^A44,IF(A44='Données projet'!$A$192,'Données projet'!$B$192,EJ43+EI44-ER43)))</f>
        <v>111.19999999999995</v>
      </c>
      <c r="EK44" s="18">
        <f>EJ44*VLOOKUP('Données projet'!$B$15,Paramètres!$A$1:$I$89,3,0)*VLOOKUP('Données projet'!$B$15,Paramètres!$A$1:$I$89,5,0)</f>
        <v>107.55263999999994</v>
      </c>
      <c r="EL44" s="14">
        <f t="shared" si="45"/>
        <v>28.753614564587718</v>
      </c>
      <c r="EM44" s="22">
        <f t="shared" si="19"/>
        <v>237.40006003332346</v>
      </c>
      <c r="EN44" s="62">
        <f t="shared" si="20"/>
        <v>486.00274962782743</v>
      </c>
      <c r="EO44" s="62">
        <f ca="1">AVERAGE(OFFSET($EN$3,0,0,'Données projet'!$E$15+1,1))-AVERAGE(OFFSET($H$3,0,0,'Données projet'!$E$15+1,1))</f>
        <v>364.22267539944085</v>
      </c>
      <c r="EP44" s="62">
        <f t="shared" si="46"/>
        <v>241.947139538615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9.6</v>
      </c>
      <c r="FE44" s="13">
        <f>IF('Données projet'!$A$218&gt;35,FE43+FD44-FM43,IF(A44&lt;'Données projet'!$A$218,$FB$205^A44,IF(A44='Données projet'!$A$218,'Données projet'!$B$218,FE43+FD44-FM43)))</f>
        <v>204.59999999999994</v>
      </c>
      <c r="FF44" s="18">
        <f>FE44*VLOOKUP('Données projet'!$B$16,Paramètres!$A$1:$I$89,3,0)*VLOOKUP('Données projet'!$B$16,Paramètres!$A$1:$I$89,5,0)</f>
        <v>178.73855999999998</v>
      </c>
      <c r="FG44" s="14">
        <f t="shared" si="47"/>
        <v>45.041424241265332</v>
      </c>
      <c r="FH44" s="22">
        <f t="shared" si="22"/>
        <v>389.75013922020372</v>
      </c>
      <c r="FI44" s="62">
        <f t="shared" si="23"/>
        <v>638.35282881470766</v>
      </c>
      <c r="FJ44" s="62">
        <f ca="1">AVERAGE(OFFSET($FI$3,0,0,'Données projet'!$E$16+1,1))-AVERAGE(OFFSET($H$3,0,0,'Données projet'!$E$16+1,1))</f>
        <v>286.59837239471312</v>
      </c>
      <c r="FK44" s="62">
        <f t="shared" si="48"/>
        <v>319.26091328564689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14.76417745740449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14.76417745740449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12</v>
      </c>
      <c r="FZ44" s="13">
        <f>IF('Données projet'!$A$244&gt;35,FZ43+FY44-GH43,IF(A44&lt;'Données projet'!$A$244,$FW$205^A44,IF(A44='Données projet'!$A$244,'Données projet'!$B$244,FZ43+FY44-GH43)))</f>
        <v>257.00000000000006</v>
      </c>
      <c r="GA44" s="18">
        <f>FZ44*VLOOKUP('Données projet'!$B$17,Paramètres!$A$1:$I$89,3,0)*VLOOKUP('Données projet'!$B$17,Paramètres!$A$1:$I$89,5,0)</f>
        <v>172.39560000000003</v>
      </c>
      <c r="GB44" s="14">
        <f t="shared" si="49"/>
        <v>43.626120550662499</v>
      </c>
      <c r="GC44" s="22">
        <f t="shared" si="25"/>
        <v>376.23782995907055</v>
      </c>
      <c r="GD44" s="62">
        <f t="shared" si="26"/>
        <v>624.8405195535745</v>
      </c>
      <c r="GE44" s="62">
        <f ca="1">AVERAGE(OFFSET($GD$3,0,0,'Données projet'!$E$17+1,1))-AVERAGE(OFFSET($H$3,0,0,'Données projet'!$E$17+1,1))</f>
        <v>277.37570531842186</v>
      </c>
      <c r="GF44" s="62">
        <f t="shared" si="50"/>
        <v>310.00874200911312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projet'!$B$17,Paramètres!$A$1:$I$89,3,0)*0.475*44/12</f>
        <v>14.04882798694651</v>
      </c>
      <c r="GM44" s="23">
        <f>EXP(-LN(2)/25)*GM43+(1-EXP(-LN(2)/25))/(LN(2)/25)*Calculateur!GH44*Calculateur!GJ44*VLOOKUP('Données projet'!$B$17,Paramètres!$A$1:$I$89,3,0)*0.475*44/12</f>
        <v>0</v>
      </c>
      <c r="GN44" s="23">
        <f>EXP(-LN(2)/2)*GN43+(1-EXP(-LN(2)/2))/(LN(2)/2)*GH44*GK44*VLOOKUP('Données projet'!$B$17,Paramètres!$A$1:$I$89,3,0)*0.475*44/12</f>
        <v>0</v>
      </c>
      <c r="GO44" s="23">
        <f t="shared" si="27"/>
        <v>14.04882798694651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>
        <f>VLOOKUP(A45,'Données projet'!$A$35:$I$55,2,0)</f>
        <v>148</v>
      </c>
      <c r="L45" s="13">
        <f>VLOOKUP(A45,'Données projet'!$A$35:$I$55,9,0)</f>
        <v>9</v>
      </c>
      <c r="M45" s="13">
        <f t="array" ref="M45">INDEX(L:L,MIN(IF(ISNUMBER(L45:L241),ROW(L45:L241),"")))</f>
        <v>9</v>
      </c>
      <c r="N45" s="14">
        <f>IF('Données projet'!$A$36&gt;35,N44+M45-V44,IF(A45&lt;'Données projet'!$A$36,$K$205^A45,IF(A45='Données projet'!$A$36,'Données projet'!$B$36,N44+M45-V44)))</f>
        <v>148.00000000000009</v>
      </c>
      <c r="O45" s="14">
        <f>N45*VLOOKUP('Données projet'!$B$9,Paramètres!$A$1:$I$89,3,0)*VLOOKUP('Données projet'!$B$9,Paramètres!$A$1:$I$89,5,0)</f>
        <v>129.29280000000008</v>
      </c>
      <c r="P45" s="14">
        <f t="shared" si="33"/>
        <v>33.832894333299279</v>
      </c>
      <c r="Q45" s="22">
        <f t="shared" si="53"/>
        <v>284.11058429716303</v>
      </c>
      <c r="R45" s="62">
        <f t="shared" si="0"/>
        <v>533.48925055779773</v>
      </c>
      <c r="S45" s="62">
        <f ca="1">AVERAGE(OFFSET($R$3,0,0,'Données projet'!$E$9+1,1))-AVERAGE(OFFSET($H$3,0,0,'Données projet'!$E$9+1,1))</f>
        <v>401.34220206028908</v>
      </c>
      <c r="T45" s="62">
        <f t="shared" si="34"/>
        <v>265.33314259106987</v>
      </c>
      <c r="U45" s="16">
        <f>IF(ISNA(VLOOKUP(A45,'Données projet'!$A$35:$I$55,3,0)),0,VLOOKUP(A45,'Données projet'!$A$35:$I$55,3,0))</f>
        <v>2</v>
      </c>
      <c r="V45" s="16">
        <f>IF(ISNA(VLOOKUP(A45,'Données projet'!$A$35:$I$55,4,0)),0,VLOOKUP(A45,'Données projet'!$A$35:$I$55,4,0))</f>
        <v>41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6.9</v>
      </c>
      <c r="AI45" s="14">
        <f>IF('Données projet'!$A$62&gt;35,AI44+AH45-AQ44,IF(A45&lt;'Données projet'!$A$62,$AF$205^A45,IF(A45='Données projet'!$A$62,'Données projet'!$B$62,AI44+AH45-AQ44)))</f>
        <v>170.8</v>
      </c>
      <c r="AJ45" s="14">
        <f>AI45*VLOOKUP('Données projet'!$B$10,Paramètres!$A$1:$I$89,3,0)*VLOOKUP('Données projet'!$B$10,Paramètres!$A$1:$I$89,5,0)</f>
        <v>79.934399999999997</v>
      </c>
      <c r="AK45" s="14">
        <f t="shared" si="35"/>
        <v>22.121143821921812</v>
      </c>
      <c r="AL45" s="22">
        <f t="shared" si="4"/>
        <v>177.74673882318049</v>
      </c>
      <c r="AM45" s="62">
        <f t="shared" si="5"/>
        <v>427.12540508381522</v>
      </c>
      <c r="AN45" s="62">
        <f ca="1">AVERAGE(OFFSET($AM$3,0,0,'Données projet'!$E$10+1,1))-AVERAGE(OFFSET($H$3,0,0,'Données projet'!$E$10+1,1))</f>
        <v>253.48761861464732</v>
      </c>
      <c r="AO45" s="62">
        <f t="shared" si="36"/>
        <v>219.50855998133855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14.802123583437032</v>
      </c>
      <c r="AV45" s="23">
        <f>EXP(-LN(2)/25)*AV44+(1-EXP(-LN(2)/25))/(LN(2)/25)*Calculateur!AQ45*Calculateur!AS45*VLOOKUP('Données projet'!$B$10,Paramètres!$A$1:$I$89,3,0)*0.475*44/12</f>
        <v>5.7987290143749144</v>
      </c>
      <c r="AW45" s="23">
        <f>EXP(-LN(2)/2)*AW44+(1-EXP(-LN(2)/2))/(LN(2)/2)*AQ45*AT45*VLOOKUP('Données projet'!$B$10,Paramètres!$A$1:$I$89,3,0)*0.475*44/12</f>
        <v>1.3792423069460462</v>
      </c>
      <c r="AX45" s="23">
        <f t="shared" si="6"/>
        <v>21.980094904757994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9.8333333333333339</v>
      </c>
      <c r="BD45" s="13">
        <f>IF('Données projet'!$A$88&gt;35,BD44+BC45-BL44,IF(A45&lt;'Données projet'!$A$88,$BA$205^A45,IF(A45='Données projet'!$A$88,'Données projet'!$B$88,BD44+BC45-BL44)))</f>
        <v>253.66666666666671</v>
      </c>
      <c r="BE45" s="14">
        <f>BD45*VLOOKUP('Données projet'!$B$11,Paramètres!$A$1:$I$89,3,0)*VLOOKUP('Données projet'!$B$11,Paramètres!$A$1:$I$89,5,0)</f>
        <v>292.22400000000005</v>
      </c>
      <c r="BF45" s="14">
        <f t="shared" si="37"/>
        <v>69.543831994953862</v>
      </c>
      <c r="BG45" s="22">
        <f t="shared" si="7"/>
        <v>630.0789740578781</v>
      </c>
      <c r="BH45" s="62">
        <f t="shared" si="8"/>
        <v>879.45764031851286</v>
      </c>
      <c r="BI45" s="62">
        <f ca="1">AVERAGE(OFFSET($BH$3,0,0,'Données projet'!$E$11+1,1))-AVERAGE(OFFSET($H$3,0,0,'Données projet'!$E$11+1,1))</f>
        <v>482.85256243111911</v>
      </c>
      <c r="BJ45" s="62">
        <f t="shared" si="38"/>
        <v>517.78430032567064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33.088388182648821</v>
      </c>
      <c r="BQ45" s="23">
        <f>EXP(-LN(2)/25)*BQ44+(1-EXP(-LN(2)/25))/(LN(2)/25)*Calculateur!BL45*Calculateur!BN45*VLOOKUP('Données projet'!$B$11,Paramètres!$A$1:$I$89,3,0)*0.475*44/12</f>
        <v>11.454937489340606</v>
      </c>
      <c r="BR45" s="23">
        <f>EXP(-LN(2)/2)*BR44+(1-EXP(-LN(2)/2))/(LN(2)/2)*BL45*BO45*VLOOKUP('Données projet'!$B$11,Paramètres!$A$1:$I$89,3,0)*0.475*44/12</f>
        <v>2.1815001849960325</v>
      </c>
      <c r="BS45" s="24">
        <f t="shared" si="9"/>
        <v>46.724825856985461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9.8333333333333339</v>
      </c>
      <c r="BY45" s="13">
        <f>IF('Données projet'!$A$114&gt;35,BY44+BX45-CG44,IF(A45&lt;'Données projet'!$A$114,$BV$205^A45,IF(A45='Données projet'!$A$114,'Données projet'!$B$114,BY44+BX45-CG44)))</f>
        <v>253.66666666666671</v>
      </c>
      <c r="BZ45" s="14">
        <f>BY45*VLOOKUP('Données projet'!$B$12,Paramètres!$A$1:$I$89,3,0)*VLOOKUP('Données projet'!$B$12,Paramètres!$A$1:$I$89,5,0)</f>
        <v>151.6926666666667</v>
      </c>
      <c r="CA45" s="14">
        <f t="shared" si="39"/>
        <v>38.96299861908853</v>
      </c>
      <c r="CB45" s="22">
        <f t="shared" si="10"/>
        <v>332.05861703935699</v>
      </c>
      <c r="CC45" s="62">
        <f t="shared" si="11"/>
        <v>581.43728329999169</v>
      </c>
      <c r="CD45" s="62">
        <f ca="1">AVERAGE(OFFSET($CC$3,0,0,'Données projet'!$E$12+1,1))-AVERAGE(OFFSET($H$3,0,0,'Données projet'!$E$12+1,1))</f>
        <v>275.76900776033335</v>
      </c>
      <c r="CE45" s="62">
        <f t="shared" si="40"/>
        <v>299.36898480605191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31.709705341705124</v>
      </c>
      <c r="CL45" s="23">
        <f>EXP(-LN(2)/25)*CL44+(1-EXP(-LN(2)/25))/(LN(2)/25)*Calculateur!CG45*Calculateur!CI45*VLOOKUP('Données projet'!$B$12,Paramètres!$A$1:$I$89,3,0)*0.475*44/12</f>
        <v>10.977648427284748</v>
      </c>
      <c r="CM45" s="23">
        <f>EXP(-LN(2)/2)*CM44+(1-EXP(-LN(2)/2))/(LN(2)/2)*CG45*CJ45*VLOOKUP('Données projet'!$B$12,Paramètres!$A$1:$I$89,3,0)*0.475*44/12</f>
        <v>2.090604343954531</v>
      </c>
      <c r="CN45" s="24">
        <f t="shared" si="12"/>
        <v>44.777958112944404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>
        <f>VLOOKUP(A45,'Données projet'!$A$139:$I$159,2,0)</f>
        <v>148</v>
      </c>
      <c r="CR45" s="13">
        <f>VLOOKUP(A45,'Données projet'!$A$139:$I$159,9,0)</f>
        <v>9</v>
      </c>
      <c r="CS45" s="13">
        <f t="array" ref="CS45">INDEX(CR:CR,MIN(IF(ISNUMBER(CR45:CR241),ROW(CR45:CR241),"")))</f>
        <v>9</v>
      </c>
      <c r="CT45" s="13">
        <f>IF('Données projet'!$A$140&gt;35,CT44+CS45-DB44,IF(A45&lt;'Données projet'!$A$140,$CQ$205^A45,IF(A45='Données projet'!$A$140,'Données projet'!$B$140,CT44+CS45-DB44)))</f>
        <v>148.00000000000009</v>
      </c>
      <c r="CU45" s="18">
        <f>CT45*VLOOKUP('Données projet'!$B$13,Paramètres!$A$1:$I$89,3,0)*VLOOKUP('Données projet'!$B$13,Paramètres!$A$1:$I$89,5,0)</f>
        <v>161.6160000000001</v>
      </c>
      <c r="CV45" s="14">
        <f t="shared" si="41"/>
        <v>41.206795262049205</v>
      </c>
      <c r="CW45" s="22">
        <f t="shared" si="13"/>
        <v>353.24970174806919</v>
      </c>
      <c r="CX45" s="62">
        <f t="shared" si="14"/>
        <v>602.62836800870389</v>
      </c>
      <c r="CY45" s="62">
        <f ca="1">AVERAGE(OFFSET($CX$3,0,0,'Données projet'!$E$13+1,1))-AVERAGE(OFFSET($H$3,0,0,'Données projet'!$E$13+1,1))</f>
        <v>482.24068797679558</v>
      </c>
      <c r="CZ45" s="62">
        <f t="shared" si="42"/>
        <v>316.28941055521693</v>
      </c>
      <c r="DA45" s="16">
        <f>IF(ISNA(VLOOKUP(A45,'Données projet'!$A$139:$I$159,3,0)),0,VLOOKUP(A45,'Données projet'!$A$139:$I$159,3,0))</f>
        <v>2</v>
      </c>
      <c r="DB45" s="16">
        <f>IF(ISNA(VLOOKUP(A45,'Données projet'!$A$139:$I$159,4,0)),0,VLOOKUP(A45,'Données projet'!$A$139:$I$159,4,0))</f>
        <v>41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12</v>
      </c>
      <c r="DO45" s="13">
        <f>IF('Données projet'!$A$166&gt;35,DO44+DN45-DW44,IF(A45&lt;'Données projet'!$A$166,$DL$205^A45,IF(A45='Données projet'!$A$166,'Données projet'!$B$166,DO44+DN45-DW44)))</f>
        <v>269.00000000000006</v>
      </c>
      <c r="DP45" s="18">
        <f>DO45*VLOOKUP('Données projet'!$B$14,Paramètres!$A$1:$I$89,3,0)*VLOOKUP('Données projet'!$B$14,Paramètres!$A$1:$I$89,5,0)</f>
        <v>218.21280000000004</v>
      </c>
      <c r="DQ45" s="14">
        <f t="shared" si="43"/>
        <v>53.726262420904206</v>
      </c>
      <c r="DR45" s="22">
        <f t="shared" si="16"/>
        <v>473.62720038307492</v>
      </c>
      <c r="DS45" s="62">
        <f t="shared" si="17"/>
        <v>723.00586664370962</v>
      </c>
      <c r="DT45" s="62">
        <f ca="1">AVERAGE(OFFSET($DS$3,0,0,'Données projet'!$E$14+1,1))-AVERAGE(OFFSET($H$3,0,0,'Données projet'!$E$14+1,1))</f>
        <v>325.58538970226539</v>
      </c>
      <c r="DU45" s="62">
        <f t="shared" si="44"/>
        <v>361.81085660423457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13.513464717569724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13.513464717569724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>
        <f>VLOOKUP(A45,'Données projet'!$A$191:$I$211,2,0)</f>
        <v>118.4</v>
      </c>
      <c r="EH45" s="13">
        <f>VLOOKUP(A45,'Données projet'!$A$191:$I$211,9,0)</f>
        <v>7.2</v>
      </c>
      <c r="EI45" s="13">
        <f t="array" ref="EI45">INDEX(EH:EH,MIN(IF(ISNUMBER(EH45:EH241),ROW(EH45:EH241),"")))</f>
        <v>7.2</v>
      </c>
      <c r="EJ45" s="13">
        <f>IF('Données projet'!$A$192&gt;35,EJ44+EI45-ER44,IF(A45&lt;'Données projet'!$A$192,$EG$205^A45,IF(A45='Données projet'!$A$192,'Données projet'!$B$192,EJ44+EI45-ER44)))</f>
        <v>118.39999999999995</v>
      </c>
      <c r="EK45" s="18">
        <f>EJ45*VLOOKUP('Données projet'!$B$15,Paramètres!$A$1:$I$89,3,0)*VLOOKUP('Données projet'!$B$15,Paramètres!$A$1:$I$89,5,0)</f>
        <v>114.51647999999996</v>
      </c>
      <c r="EL45" s="14">
        <f t="shared" si="45"/>
        <v>30.392597671388486</v>
      </c>
      <c r="EM45" s="22">
        <f t="shared" si="19"/>
        <v>252.38331027766819</v>
      </c>
      <c r="EN45" s="62">
        <f t="shared" si="20"/>
        <v>501.76197653830292</v>
      </c>
      <c r="EO45" s="62">
        <f ca="1">AVERAGE(OFFSET($EN$3,0,0,'Données projet'!$E$15+1,1))-AVERAGE(OFFSET($H$3,0,0,'Données projet'!$E$15+1,1))</f>
        <v>364.22267539944085</v>
      </c>
      <c r="EP45" s="62">
        <f t="shared" si="46"/>
        <v>241.947139538615</v>
      </c>
      <c r="EQ45" s="16">
        <f>IF(ISNA(VLOOKUP(A45,'Données projet'!$A$191:$I$211,3,0)),0,VLOOKUP(A45,'Données projet'!$A$191:$I$211,3,0))</f>
        <v>2</v>
      </c>
      <c r="ER45" s="16">
        <f>IF(ISNA(VLOOKUP(A45,'Données projet'!$A$191:$I$211,4,0)),0,VLOOKUP(A45,'Données projet'!$A$191:$I$211,4,0))</f>
        <v>32.799999999999997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9.6</v>
      </c>
      <c r="FE45" s="13">
        <f>IF('Données projet'!$A$218&gt;35,FE44+FD45-FM44,IF(A45&lt;'Données projet'!$A$218,$FB$205^A45,IF(A45='Données projet'!$A$218,'Données projet'!$B$218,FE44+FD45-FM44)))</f>
        <v>214.19999999999993</v>
      </c>
      <c r="FF45" s="18">
        <f>FE45*VLOOKUP('Données projet'!$B$16,Paramètres!$A$1:$I$89,3,0)*VLOOKUP('Données projet'!$B$16,Paramètres!$A$1:$I$89,5,0)</f>
        <v>187.12511999999995</v>
      </c>
      <c r="FG45" s="14">
        <f t="shared" si="47"/>
        <v>46.903794805770502</v>
      </c>
      <c r="FH45" s="22">
        <f t="shared" si="22"/>
        <v>407.60035995338353</v>
      </c>
      <c r="FI45" s="62">
        <f t="shared" si="23"/>
        <v>656.97902621401829</v>
      </c>
      <c r="FJ45" s="62">
        <f ca="1">AVERAGE(OFFSET($FI$3,0,0,'Données projet'!$E$16+1,1))-AVERAGE(OFFSET($H$3,0,0,'Données projet'!$E$16+1,1))</f>
        <v>286.59837239471312</v>
      </c>
      <c r="FK45" s="62">
        <f t="shared" si="48"/>
        <v>319.26091328564689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14.47466094272384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14.47466094272384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12</v>
      </c>
      <c r="FZ45" s="13">
        <f>IF('Données projet'!$A$244&gt;35,FZ44+FY45-GH44,IF(A45&lt;'Données projet'!$A$244,$FW$205^A45,IF(A45='Données projet'!$A$244,'Données projet'!$B$244,FZ44+FY45-GH44)))</f>
        <v>269.00000000000006</v>
      </c>
      <c r="GA45" s="18">
        <f>FZ45*VLOOKUP('Données projet'!$B$17,Paramètres!$A$1:$I$89,3,0)*VLOOKUP('Données projet'!$B$17,Paramètres!$A$1:$I$89,5,0)</f>
        <v>180.44520000000003</v>
      </c>
      <c r="GB45" s="14">
        <f t="shared" si="49"/>
        <v>45.421220719470348</v>
      </c>
      <c r="GC45" s="22">
        <f t="shared" si="25"/>
        <v>393.3840160864109</v>
      </c>
      <c r="GD45" s="62">
        <f t="shared" si="26"/>
        <v>642.7626823470456</v>
      </c>
      <c r="GE45" s="62">
        <f ca="1">AVERAGE(OFFSET($GD$3,0,0,'Données projet'!$E$17+1,1))-AVERAGE(OFFSET($H$3,0,0,'Données projet'!$E$17+1,1))</f>
        <v>277.37570531842186</v>
      </c>
      <c r="GF45" s="62">
        <f t="shared" si="50"/>
        <v>310.00874200911312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projet'!$B$17,Paramètres!$A$1:$I$89,3,0)*0.475*44/12</f>
        <v>13.773339039061447</v>
      </c>
      <c r="GM45" s="23">
        <f>EXP(-LN(2)/25)*GM44+(1-EXP(-LN(2)/25))/(LN(2)/25)*Calculateur!GH45*Calculateur!GJ45*VLOOKUP('Données projet'!$B$17,Paramètres!$A$1:$I$89,3,0)*0.475*44/12</f>
        <v>0</v>
      </c>
      <c r="GN45" s="23">
        <f>EXP(-LN(2)/2)*GN44+(1-EXP(-LN(2)/2))/(LN(2)/2)*GH45*GK45*VLOOKUP('Données projet'!$B$17,Paramètres!$A$1:$I$89,3,0)*0.475*44/12</f>
        <v>0</v>
      </c>
      <c r="GO45" s="23">
        <f t="shared" si="27"/>
        <v>13.773339039061447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8.3333333333333339</v>
      </c>
      <c r="N46" s="14">
        <f>IF('Données projet'!$A$36&gt;35,N45+M46-V45,IF(A46&lt;'Données projet'!$A$36,$K$205^A46,IF(A46='Données projet'!$A$36,'Données projet'!$B$36,N45+M46-V45)))</f>
        <v>115.33333333333343</v>
      </c>
      <c r="O46" s="14">
        <f>N46*VLOOKUP('Données projet'!$B$9,Paramètres!$A$1:$I$89,3,0)*VLOOKUP('Données projet'!$B$9,Paramètres!$A$1:$I$89,5,0)</f>
        <v>100.7552000000001</v>
      </c>
      <c r="P46" s="14">
        <f t="shared" si="33"/>
        <v>27.141834677924628</v>
      </c>
      <c r="Q46" s="22">
        <f t="shared" si="53"/>
        <v>222.7540020640522</v>
      </c>
      <c r="R46" s="62">
        <f t="shared" si="0"/>
        <v>472.89518353048425</v>
      </c>
      <c r="S46" s="62">
        <f ca="1">AVERAGE(OFFSET($R$3,0,0,'Données projet'!$E$9+1,1))-AVERAGE(OFFSET($H$3,0,0,'Données projet'!$E$9+1,1))</f>
        <v>401.34220206028908</v>
      </c>
      <c r="T46" s="62">
        <f t="shared" si="34"/>
        <v>265.33314259106987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6.9</v>
      </c>
      <c r="AI46" s="14">
        <f>IF('Données projet'!$A$62&gt;35,AI45+AH46-AQ45,IF(A46&lt;'Données projet'!$A$62,$AF$205^A46,IF(A46='Données projet'!$A$62,'Données projet'!$B$62,AI45+AH46-AQ45)))</f>
        <v>177.70000000000002</v>
      </c>
      <c r="AJ46" s="14">
        <f>AI46*VLOOKUP('Données projet'!$B$10,Paramètres!$A$1:$I$89,3,0)*VLOOKUP('Données projet'!$B$10,Paramètres!$A$1:$I$89,5,0)</f>
        <v>83.163600000000002</v>
      </c>
      <c r="AK46" s="14">
        <f t="shared" si="35"/>
        <v>22.908946175388731</v>
      </c>
      <c r="AL46" s="22">
        <f t="shared" si="4"/>
        <v>184.74301792213541</v>
      </c>
      <c r="AM46" s="62">
        <f t="shared" si="5"/>
        <v>434.88419938856748</v>
      </c>
      <c r="AN46" s="62">
        <f ca="1">AVERAGE(OFFSET($AM$3,0,0,'Données projet'!$E$10+1,1))-AVERAGE(OFFSET($H$3,0,0,'Données projet'!$E$10+1,1))</f>
        <v>253.48761861464732</v>
      </c>
      <c r="AO46" s="62">
        <f t="shared" si="36"/>
        <v>219.50855998133855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14.511862968369737</v>
      </c>
      <c r="AV46" s="23">
        <f>EXP(-LN(2)/25)*AV45+(1-EXP(-LN(2)/25))/(LN(2)/25)*Calculateur!AQ46*Calculateur!AS46*VLOOKUP('Données projet'!$B$10,Paramètres!$A$1:$I$89,3,0)*0.475*44/12</f>
        <v>5.6401624645349271</v>
      </c>
      <c r="AW46" s="23">
        <f>EXP(-LN(2)/2)*AW45+(1-EXP(-LN(2)/2))/(LN(2)/2)*AQ46*AT46*VLOOKUP('Données projet'!$B$10,Paramètres!$A$1:$I$89,3,0)*0.475*44/12</f>
        <v>0.97527158814092696</v>
      </c>
      <c r="AX46" s="23">
        <f t="shared" si="6"/>
        <v>21.127297021045592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9.8333333333333339</v>
      </c>
      <c r="BD46" s="13">
        <f>IF('Données projet'!$A$88&gt;35,BD45+BC46-BL45,IF(A46&lt;'Données projet'!$A$88,$BA$205^A46,IF(A46='Données projet'!$A$88,'Données projet'!$B$88,BD45+BC46-BL45)))</f>
        <v>263.50000000000006</v>
      </c>
      <c r="BE46" s="14">
        <f>BD46*VLOOKUP('Données projet'!$B$11,Paramètres!$A$1:$I$89,3,0)*VLOOKUP('Données projet'!$B$11,Paramètres!$A$1:$I$89,5,0)</f>
        <v>303.55200000000002</v>
      </c>
      <c r="BF46" s="14">
        <f t="shared" si="37"/>
        <v>71.92058823680884</v>
      </c>
      <c r="BG46" s="22">
        <f t="shared" si="7"/>
        <v>653.94809117910881</v>
      </c>
      <c r="BH46" s="62">
        <f t="shared" si="8"/>
        <v>904.08927264554086</v>
      </c>
      <c r="BI46" s="62">
        <f ca="1">AVERAGE(OFFSET($BH$3,0,0,'Données projet'!$E$11+1,1))-AVERAGE(OFFSET($H$3,0,0,'Données projet'!$E$11+1,1))</f>
        <v>482.85256243111911</v>
      </c>
      <c r="BJ46" s="62">
        <f t="shared" si="38"/>
        <v>517.78430032567064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32.43954507231107</v>
      </c>
      <c r="BQ46" s="23">
        <f>EXP(-LN(2)/25)*BQ45+(1-EXP(-LN(2)/25))/(LN(2)/25)*Calculateur!BL46*Calculateur!BN46*VLOOKUP('Données projet'!$B$11,Paramètres!$A$1:$I$89,3,0)*0.475*44/12</f>
        <v>11.141701621305605</v>
      </c>
      <c r="BR46" s="23">
        <f>EXP(-LN(2)/2)*BR45+(1-EXP(-LN(2)/2))/(LN(2)/2)*BL46*BO46*VLOOKUP('Données projet'!$B$11,Paramètres!$A$1:$I$89,3,0)*0.475*44/12</f>
        <v>1.5425535739704026</v>
      </c>
      <c r="BS46" s="24">
        <f t="shared" si="9"/>
        <v>45.123800267587079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9.8333333333333339</v>
      </c>
      <c r="BY46" s="13">
        <f>IF('Données projet'!$A$114&gt;35,BY45+BX46-CG45,IF(A46&lt;'Données projet'!$A$114,$BV$205^A46,IF(A46='Données projet'!$A$114,'Données projet'!$B$114,BY45+BX46-CG45)))</f>
        <v>263.50000000000006</v>
      </c>
      <c r="BZ46" s="14">
        <f>BY46*VLOOKUP('Données projet'!$B$12,Paramètres!$A$1:$I$89,3,0)*VLOOKUP('Données projet'!$B$12,Paramètres!$A$1:$I$89,5,0)</f>
        <v>157.57300000000006</v>
      </c>
      <c r="CA46" s="14">
        <f t="shared" si="39"/>
        <v>40.294612761030372</v>
      </c>
      <c r="CB46" s="22">
        <f t="shared" si="10"/>
        <v>344.61942555879472</v>
      </c>
      <c r="CC46" s="62">
        <f t="shared" si="11"/>
        <v>594.76060702522682</v>
      </c>
      <c r="CD46" s="62">
        <f ca="1">AVERAGE(OFFSET($CC$3,0,0,'Données projet'!$E$12+1,1))-AVERAGE(OFFSET($H$3,0,0,'Données projet'!$E$12+1,1))</f>
        <v>275.76900776033335</v>
      </c>
      <c r="CE46" s="62">
        <f t="shared" si="40"/>
        <v>299.36898480605191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31.087897360964778</v>
      </c>
      <c r="CL46" s="23">
        <f>EXP(-LN(2)/25)*CL45+(1-EXP(-LN(2)/25))/(LN(2)/25)*Calculateur!CG46*Calculateur!CI46*VLOOKUP('Données projet'!$B$12,Paramètres!$A$1:$I$89,3,0)*0.475*44/12</f>
        <v>10.677464053751207</v>
      </c>
      <c r="CM46" s="23">
        <f>EXP(-LN(2)/2)*CM45+(1-EXP(-LN(2)/2))/(LN(2)/2)*CG46*CJ46*VLOOKUP('Données projet'!$B$12,Paramètres!$A$1:$I$89,3,0)*0.475*44/12</f>
        <v>1.4782805083883024</v>
      </c>
      <c r="CN46" s="24">
        <f t="shared" si="12"/>
        <v>43.243641923104285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8.3333333333333339</v>
      </c>
      <c r="CT46" s="13">
        <f>IF('Données projet'!$A$140&gt;35,CT45+CS46-DB45,IF(A46&lt;'Données projet'!$A$140,$CQ$205^A46,IF(A46='Données projet'!$A$140,'Données projet'!$B$140,CT45+CS46-DB45)))</f>
        <v>115.33333333333343</v>
      </c>
      <c r="CU46" s="18">
        <f>CT46*VLOOKUP('Données projet'!$B$13,Paramètres!$A$1:$I$89,3,0)*VLOOKUP('Données projet'!$B$13,Paramètres!$A$1:$I$89,5,0)</f>
        <v>125.94400000000009</v>
      </c>
      <c r="CV46" s="14">
        <f t="shared" si="41"/>
        <v>33.057414881257714</v>
      </c>
      <c r="CW46" s="22">
        <f t="shared" si="13"/>
        <v>276.92746425152399</v>
      </c>
      <c r="CX46" s="62">
        <f t="shared" si="14"/>
        <v>527.06864571795609</v>
      </c>
      <c r="CY46" s="62">
        <f ca="1">AVERAGE(OFFSET($CX$3,0,0,'Données projet'!$E$13+1,1))-AVERAGE(OFFSET($H$3,0,0,'Données projet'!$E$13+1,1))</f>
        <v>482.24068797679558</v>
      </c>
      <c r="CZ46" s="62">
        <f t="shared" si="42"/>
        <v>316.28941055521693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12</v>
      </c>
      <c r="DO46" s="13">
        <f>IF('Données projet'!$A$166&gt;35,DO45+DN46-DW45,IF(A46&lt;'Données projet'!$A$166,$DL$205^A46,IF(A46='Données projet'!$A$166,'Données projet'!$B$166,DO45+DN46-DW45)))</f>
        <v>281.00000000000006</v>
      </c>
      <c r="DP46" s="18">
        <f>DO46*VLOOKUP('Données projet'!$B$14,Paramètres!$A$1:$I$89,3,0)*VLOOKUP('Données projet'!$B$14,Paramètres!$A$1:$I$89,5,0)</f>
        <v>227.94720000000007</v>
      </c>
      <c r="DQ46" s="14">
        <f t="shared" si="43"/>
        <v>55.838586843467112</v>
      </c>
      <c r="DR46" s="22">
        <f t="shared" si="16"/>
        <v>494.26024541903865</v>
      </c>
      <c r="DS46" s="62">
        <f t="shared" si="17"/>
        <v>744.40142688547076</v>
      </c>
      <c r="DT46" s="62">
        <f ca="1">AVERAGE(OFFSET($DS$3,0,0,'Données projet'!$E$14+1,1))-AVERAGE(OFFSET($H$3,0,0,'Données projet'!$E$14+1,1))</f>
        <v>325.58538970226539</v>
      </c>
      <c r="DU46" s="62">
        <f t="shared" si="44"/>
        <v>361.81085660423457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13.24847391685779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13.24847391685779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6.6666666666666643</v>
      </c>
      <c r="EJ46" s="13">
        <f>IF('Données projet'!$A$192&gt;35,EJ45+EI46-ER45,IF(A46&lt;'Données projet'!$A$192,$EG$205^A46,IF(A46='Données projet'!$A$192,'Données projet'!$B$192,EJ45+EI46-ER45)))</f>
        <v>92.266666666666609</v>
      </c>
      <c r="EK46" s="18">
        <f>EJ46*VLOOKUP('Données projet'!$B$15,Paramètres!$A$1:$I$89,3,0)*VLOOKUP('Données projet'!$B$15,Paramètres!$A$1:$I$89,5,0)</f>
        <v>89.240319999999954</v>
      </c>
      <c r="EL46" s="14">
        <f t="shared" si="45"/>
        <v>24.38191818007137</v>
      </c>
      <c r="EM46" s="22">
        <f t="shared" si="19"/>
        <v>197.89206483029088</v>
      </c>
      <c r="EN46" s="62">
        <f t="shared" si="20"/>
        <v>448.03324629672295</v>
      </c>
      <c r="EO46" s="62">
        <f ca="1">AVERAGE(OFFSET($EN$3,0,0,'Données projet'!$E$15+1,1))-AVERAGE(OFFSET($H$3,0,0,'Données projet'!$E$15+1,1))</f>
        <v>364.22267539944085</v>
      </c>
      <c r="EP46" s="62">
        <f t="shared" si="46"/>
        <v>241.947139538615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9.6</v>
      </c>
      <c r="FE46" s="13">
        <f>IF('Données projet'!$A$218&gt;35,FE45+FD46-FM45,IF(A46&lt;'Données projet'!$A$218,$FB$205^A46,IF(A46='Données projet'!$A$218,'Données projet'!$B$218,FE45+FD46-FM45)))</f>
        <v>223.79999999999993</v>
      </c>
      <c r="FF46" s="18">
        <f>FE46*VLOOKUP('Données projet'!$B$16,Paramètres!$A$1:$I$89,3,0)*VLOOKUP('Données projet'!$B$16,Paramètres!$A$1:$I$89,5,0)</f>
        <v>195.51167999999996</v>
      </c>
      <c r="FG46" s="14">
        <f t="shared" si="47"/>
        <v>48.756471614445431</v>
      </c>
      <c r="FH46" s="22">
        <f t="shared" si="22"/>
        <v>425.43369739515907</v>
      </c>
      <c r="FI46" s="62">
        <f t="shared" si="23"/>
        <v>675.57487886159106</v>
      </c>
      <c r="FJ46" s="62">
        <f ca="1">AVERAGE(OFFSET($FI$3,0,0,'Données projet'!$E$16+1,1))-AVERAGE(OFFSET($H$3,0,0,'Données projet'!$E$16+1,1))</f>
        <v>286.59837239471312</v>
      </c>
      <c r="FK46" s="62">
        <f t="shared" si="48"/>
        <v>319.26091328564689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14.190821670308441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14.190821670308441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12</v>
      </c>
      <c r="FZ46" s="13">
        <f>IF('Données projet'!$A$244&gt;35,FZ45+FY46-GH45,IF(A46&lt;'Données projet'!$A$244,$FW$205^A46,IF(A46='Données projet'!$A$244,'Données projet'!$B$244,FZ45+FY46-GH45)))</f>
        <v>281.00000000000006</v>
      </c>
      <c r="GA46" s="18">
        <f>FZ46*VLOOKUP('Données projet'!$B$17,Paramètres!$A$1:$I$89,3,0)*VLOOKUP('Données projet'!$B$17,Paramètres!$A$1:$I$89,5,0)</f>
        <v>188.49480000000005</v>
      </c>
      <c r="GB46" s="14">
        <f t="shared" si="49"/>
        <v>47.207020615184412</v>
      </c>
      <c r="GC46" s="22">
        <f t="shared" si="25"/>
        <v>410.51400423811288</v>
      </c>
      <c r="GD46" s="62">
        <f t="shared" si="26"/>
        <v>660.65518570454492</v>
      </c>
      <c r="GE46" s="62">
        <f ca="1">AVERAGE(OFFSET($GD$3,0,0,'Données projet'!$E$17+1,1))-AVERAGE(OFFSET($H$3,0,0,'Données projet'!$E$17+1,1))</f>
        <v>277.37570531842186</v>
      </c>
      <c r="GF46" s="62">
        <f t="shared" si="50"/>
        <v>310.00874200911312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projet'!$B$17,Paramètres!$A$1:$I$89,3,0)*0.475*44/12</f>
        <v>13.503252261412745</v>
      </c>
      <c r="GM46" s="23">
        <f>EXP(-LN(2)/25)*GM45+(1-EXP(-LN(2)/25))/(LN(2)/25)*Calculateur!GH46*Calculateur!GJ46*VLOOKUP('Données projet'!$B$17,Paramètres!$A$1:$I$89,3,0)*0.475*44/12</f>
        <v>0</v>
      </c>
      <c r="GN46" s="23">
        <f>EXP(-LN(2)/2)*GN45+(1-EXP(-LN(2)/2))/(LN(2)/2)*GH46*GK46*VLOOKUP('Données projet'!$B$17,Paramètres!$A$1:$I$89,3,0)*0.475*44/12</f>
        <v>0</v>
      </c>
      <c r="GO46" s="23">
        <f t="shared" si="27"/>
        <v>13.503252261412745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8.3333333333333339</v>
      </c>
      <c r="N47" s="14">
        <f>IF('Données projet'!$A$36&gt;35,N46+M47-V46,IF(A47&lt;'Données projet'!$A$36,$K$205^A47,IF(A47='Données projet'!$A$36,'Données projet'!$B$36,N46+M47-V46)))</f>
        <v>123.66666666666676</v>
      </c>
      <c r="O47" s="14">
        <f>N47*VLOOKUP('Données projet'!$B$9,Paramètres!$A$1:$I$89,3,0)*VLOOKUP('Données projet'!$B$9,Paramètres!$A$1:$I$89,5,0)</f>
        <v>108.03520000000009</v>
      </c>
      <c r="P47" s="14">
        <f t="shared" si="33"/>
        <v>28.867577903962175</v>
      </c>
      <c r="Q47" s="22">
        <f t="shared" si="53"/>
        <v>238.43900484940093</v>
      </c>
      <c r="R47" s="62">
        <f t="shared" si="0"/>
        <v>489.32947358753836</v>
      </c>
      <c r="S47" s="62">
        <f ca="1">AVERAGE(OFFSET($R$3,0,0,'Données projet'!$E$9+1,1))-AVERAGE(OFFSET($H$3,0,0,'Données projet'!$E$9+1,1))</f>
        <v>401.34220206028908</v>
      </c>
      <c r="T47" s="62">
        <f t="shared" si="34"/>
        <v>265.33314259106987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6.9</v>
      </c>
      <c r="AI47" s="14">
        <f>IF('Données projet'!$A$62&gt;35,AI46+AH47-AQ46,IF(A47&lt;'Données projet'!$A$62,$AF$205^A47,IF(A47='Données projet'!$A$62,'Données projet'!$B$62,AI46+AH47-AQ46)))</f>
        <v>184.60000000000002</v>
      </c>
      <c r="AJ47" s="14">
        <f>AI47*VLOOKUP('Données projet'!$B$10,Paramètres!$A$1:$I$89,3,0)*VLOOKUP('Données projet'!$B$10,Paramètres!$A$1:$I$89,5,0)</f>
        <v>86.392800000000008</v>
      </c>
      <c r="AK47" s="14">
        <f t="shared" si="35"/>
        <v>23.693194948697332</v>
      </c>
      <c r="AL47" s="22">
        <f t="shared" si="4"/>
        <v>191.73310786898116</v>
      </c>
      <c r="AM47" s="62">
        <f t="shared" si="5"/>
        <v>442.62357660711859</v>
      </c>
      <c r="AN47" s="62">
        <f ca="1">AVERAGE(OFFSET($AM$3,0,0,'Données projet'!$E$10+1,1))-AVERAGE(OFFSET($H$3,0,0,'Données projet'!$E$10+1,1))</f>
        <v>253.48761861464732</v>
      </c>
      <c r="AO47" s="62">
        <f t="shared" si="36"/>
        <v>219.50855998133855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14.227294186922418</v>
      </c>
      <c r="AV47" s="23">
        <f>EXP(-LN(2)/25)*AV46+(1-EXP(-LN(2)/25))/(LN(2)/25)*Calculateur!AQ47*Calculateur!AS47*VLOOKUP('Données projet'!$B$10,Paramètres!$A$1:$I$89,3,0)*0.475*44/12</f>
        <v>5.4859319253389662</v>
      </c>
      <c r="AW47" s="23">
        <f>EXP(-LN(2)/2)*AW46+(1-EXP(-LN(2)/2))/(LN(2)/2)*AQ47*AT47*VLOOKUP('Données projet'!$B$10,Paramètres!$A$1:$I$89,3,0)*0.475*44/12</f>
        <v>0.68962115347302322</v>
      </c>
      <c r="AX47" s="23">
        <f t="shared" si="6"/>
        <v>20.402847265734408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9.8333333333333339</v>
      </c>
      <c r="BD47" s="13">
        <f>IF('Données projet'!$A$88&gt;35,BD46+BC47-BL46,IF(A47&lt;'Données projet'!$A$88,$BA$205^A47,IF(A47='Données projet'!$A$88,'Données projet'!$B$88,BD46+BC47-BL46)))</f>
        <v>273.33333333333337</v>
      </c>
      <c r="BE47" s="14">
        <f>BD47*VLOOKUP('Données projet'!$B$11,Paramètres!$A$1:$I$89,3,0)*VLOOKUP('Données projet'!$B$11,Paramètres!$A$1:$I$89,5,0)</f>
        <v>314.88000000000005</v>
      </c>
      <c r="BF47" s="14">
        <f t="shared" si="37"/>
        <v>74.287040111086355</v>
      </c>
      <c r="BG47" s="22">
        <f t="shared" si="7"/>
        <v>677.79926152680878</v>
      </c>
      <c r="BH47" s="62">
        <f t="shared" si="8"/>
        <v>928.68973026494621</v>
      </c>
      <c r="BI47" s="62">
        <f ca="1">AVERAGE(OFFSET($BH$3,0,0,'Données projet'!$E$11+1,1))-AVERAGE(OFFSET($H$3,0,0,'Données projet'!$E$11+1,1))</f>
        <v>482.85256243111911</v>
      </c>
      <c r="BJ47" s="62">
        <f t="shared" si="38"/>
        <v>517.78430032567064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31.803425379611824</v>
      </c>
      <c r="BQ47" s="23">
        <f>EXP(-LN(2)/25)*BQ46+(1-EXP(-LN(2)/25))/(LN(2)/25)*Calculateur!BL47*Calculateur!BN47*VLOOKUP('Données projet'!$B$11,Paramètres!$A$1:$I$89,3,0)*0.475*44/12</f>
        <v>10.83703120455438</v>
      </c>
      <c r="BR47" s="23">
        <f>EXP(-LN(2)/2)*BR46+(1-EXP(-LN(2)/2))/(LN(2)/2)*BL47*BO47*VLOOKUP('Données projet'!$B$11,Paramètres!$A$1:$I$89,3,0)*0.475*44/12</f>
        <v>1.0907500924980165</v>
      </c>
      <c r="BS47" s="24">
        <f t="shared" si="9"/>
        <v>43.731206676664222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9.8333333333333339</v>
      </c>
      <c r="BY47" s="13">
        <f>IF('Données projet'!$A$114&gt;35,BY46+BX47-CG46,IF(A47&lt;'Données projet'!$A$114,$BV$205^A47,IF(A47='Données projet'!$A$114,'Données projet'!$B$114,BY46+BX47-CG46)))</f>
        <v>273.33333333333337</v>
      </c>
      <c r="BZ47" s="14">
        <f>BY47*VLOOKUP('Données projet'!$B$12,Paramètres!$A$1:$I$89,3,0)*VLOOKUP('Données projet'!$B$12,Paramètres!$A$1:$I$89,5,0)</f>
        <v>163.45333333333338</v>
      </c>
      <c r="CA47" s="14">
        <f t="shared" si="39"/>
        <v>41.620453722976563</v>
      </c>
      <c r="CB47" s="22">
        <f t="shared" si="10"/>
        <v>357.17017912307307</v>
      </c>
      <c r="CC47" s="62">
        <f t="shared" si="11"/>
        <v>608.06064786121055</v>
      </c>
      <c r="CD47" s="62">
        <f ca="1">AVERAGE(OFFSET($CC$3,0,0,'Données projet'!$E$12+1,1))-AVERAGE(OFFSET($H$3,0,0,'Données projet'!$E$12+1,1))</f>
        <v>275.76900776033335</v>
      </c>
      <c r="CE47" s="62">
        <f t="shared" si="40"/>
        <v>299.36898480605191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30.478282655461332</v>
      </c>
      <c r="CL47" s="23">
        <f>EXP(-LN(2)/25)*CL46+(1-EXP(-LN(2)/25))/(LN(2)/25)*Calculateur!CG47*Calculateur!CI47*VLOOKUP('Données projet'!$B$12,Paramètres!$A$1:$I$89,3,0)*0.475*44/12</f>
        <v>10.385488237697949</v>
      </c>
      <c r="CM47" s="23">
        <f>EXP(-LN(2)/2)*CM46+(1-EXP(-LN(2)/2))/(LN(2)/2)*CG47*CJ47*VLOOKUP('Données projet'!$B$12,Paramètres!$A$1:$I$89,3,0)*0.475*44/12</f>
        <v>1.0453021719772657</v>
      </c>
      <c r="CN47" s="24">
        <f t="shared" si="12"/>
        <v>41.909073065136553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8.3333333333333339</v>
      </c>
      <c r="CT47" s="13">
        <f>IF('Données projet'!$A$140&gt;35,CT46+CS47-DB46,IF(A47&lt;'Données projet'!$A$140,$CQ$205^A47,IF(A47='Données projet'!$A$140,'Données projet'!$B$140,CT46+CS47-DB46)))</f>
        <v>123.66666666666676</v>
      </c>
      <c r="CU47" s="18">
        <f>CT47*VLOOKUP('Données projet'!$B$13,Paramètres!$A$1:$I$89,3,0)*VLOOKUP('Données projet'!$B$13,Paramètres!$A$1:$I$89,5,0)</f>
        <v>135.0440000000001</v>
      </c>
      <c r="CV47" s="14">
        <f t="shared" si="41"/>
        <v>35.159284945628968</v>
      </c>
      <c r="CW47" s="22">
        <f t="shared" si="13"/>
        <v>296.4373879469706</v>
      </c>
      <c r="CX47" s="62">
        <f t="shared" si="14"/>
        <v>547.32785668510803</v>
      </c>
      <c r="CY47" s="62">
        <f ca="1">AVERAGE(OFFSET($CX$3,0,0,'Données projet'!$E$13+1,1))-AVERAGE(OFFSET($H$3,0,0,'Données projet'!$E$13+1,1))</f>
        <v>482.24068797679558</v>
      </c>
      <c r="CZ47" s="62">
        <f t="shared" si="42"/>
        <v>316.28941055521693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12</v>
      </c>
      <c r="DO47" s="13">
        <f>IF('Données projet'!$A$166&gt;35,DO46+DN47-DW46,IF(A47&lt;'Données projet'!$A$166,$DL$205^A47,IF(A47='Données projet'!$A$166,'Données projet'!$B$166,DO46+DN47-DW46)))</f>
        <v>293.00000000000006</v>
      </c>
      <c r="DP47" s="18">
        <f>DO47*VLOOKUP('Données projet'!$B$14,Paramètres!$A$1:$I$89,3,0)*VLOOKUP('Données projet'!$B$14,Paramètres!$A$1:$I$89,5,0)</f>
        <v>237.68160000000006</v>
      </c>
      <c r="DQ47" s="14">
        <f t="shared" si="43"/>
        <v>57.940433975259104</v>
      </c>
      <c r="DR47" s="22">
        <f t="shared" si="16"/>
        <v>514.87504250690961</v>
      </c>
      <c r="DS47" s="62">
        <f t="shared" si="17"/>
        <v>765.76551124504704</v>
      </c>
      <c r="DT47" s="62">
        <f ca="1">AVERAGE(OFFSET($DS$3,0,0,'Données projet'!$E$14+1,1))-AVERAGE(OFFSET($H$3,0,0,'Données projet'!$E$14+1,1))</f>
        <v>325.58538970226539</v>
      </c>
      <c r="DU47" s="62">
        <f t="shared" si="44"/>
        <v>361.81085660423457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12.988679424119388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12.988679424119388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6.6666666666666643</v>
      </c>
      <c r="EJ47" s="13">
        <f>IF('Données projet'!$A$192&gt;35,EJ46+EI47-ER46,IF(A47&lt;'Données projet'!$A$192,$EG$205^A47,IF(A47='Données projet'!$A$192,'Données projet'!$B$192,EJ46+EI47-ER46)))</f>
        <v>98.93333333333328</v>
      </c>
      <c r="EK47" s="18">
        <f>EJ47*VLOOKUP('Données projet'!$B$15,Paramètres!$A$1:$I$89,3,0)*VLOOKUP('Données projet'!$B$15,Paramètres!$A$1:$I$89,5,0)</f>
        <v>95.688319999999948</v>
      </c>
      <c r="EL47" s="14">
        <f t="shared" si="45"/>
        <v>25.932179267295606</v>
      </c>
      <c r="EM47" s="22">
        <f t="shared" si="19"/>
        <v>211.82236955720643</v>
      </c>
      <c r="EN47" s="62">
        <f t="shared" si="20"/>
        <v>462.71283829534389</v>
      </c>
      <c r="EO47" s="62">
        <f ca="1">AVERAGE(OFFSET($EN$3,0,0,'Données projet'!$E$15+1,1))-AVERAGE(OFFSET($H$3,0,0,'Données projet'!$E$15+1,1))</f>
        <v>364.22267539944085</v>
      </c>
      <c r="EP47" s="62">
        <f t="shared" si="46"/>
        <v>241.947139538615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9.6</v>
      </c>
      <c r="FE47" s="13">
        <f>IF('Données projet'!$A$218&gt;35,FE46+FD47-FM46,IF(A47&lt;'Données projet'!$A$218,$FB$205^A47,IF(A47='Données projet'!$A$218,'Données projet'!$B$218,FE46+FD47-FM46)))</f>
        <v>233.39999999999992</v>
      </c>
      <c r="FF47" s="18">
        <f>FE47*VLOOKUP('Données projet'!$B$16,Paramètres!$A$1:$I$89,3,0)*VLOOKUP('Données projet'!$B$16,Paramètres!$A$1:$I$89,5,0)</f>
        <v>203.89823999999999</v>
      </c>
      <c r="FG47" s="14">
        <f t="shared" si="47"/>
        <v>50.599918019430213</v>
      </c>
      <c r="FH47" s="22">
        <f t="shared" si="22"/>
        <v>443.25095855050762</v>
      </c>
      <c r="FI47" s="62">
        <f t="shared" si="23"/>
        <v>694.14142728864499</v>
      </c>
      <c r="FJ47" s="62">
        <f ca="1">AVERAGE(OFFSET($FI$3,0,0,'Données projet'!$E$16+1,1))-AVERAGE(OFFSET($H$3,0,0,'Données projet'!$E$16+1,1))</f>
        <v>286.59837239471312</v>
      </c>
      <c r="FK47" s="62">
        <f t="shared" si="48"/>
        <v>319.26091328564689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13.912548312900247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13.912548312900247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12</v>
      </c>
      <c r="FZ47" s="13">
        <f>IF('Données projet'!$A$244&gt;35,FZ46+FY47-GH46,IF(A47&lt;'Données projet'!$A$244,$FW$205^A47,IF(A47='Données projet'!$A$244,'Données projet'!$B$244,FZ46+FY47-GH46)))</f>
        <v>293.00000000000006</v>
      </c>
      <c r="GA47" s="18">
        <f>FZ47*VLOOKUP('Données projet'!$B$17,Paramètres!$A$1:$I$89,3,0)*VLOOKUP('Données projet'!$B$17,Paramètres!$A$1:$I$89,5,0)</f>
        <v>196.54440000000005</v>
      </c>
      <c r="GB47" s="14">
        <f t="shared" si="49"/>
        <v>48.983962806766392</v>
      </c>
      <c r="GC47" s="22">
        <f t="shared" si="25"/>
        <v>427.62856522178487</v>
      </c>
      <c r="GD47" s="62">
        <f t="shared" si="26"/>
        <v>678.51903395992235</v>
      </c>
      <c r="GE47" s="62">
        <f ca="1">AVERAGE(OFFSET($GD$3,0,0,'Données projet'!$E$17+1,1))-AVERAGE(OFFSET($H$3,0,0,'Données projet'!$E$17+1,1))</f>
        <v>277.37570531842186</v>
      </c>
      <c r="GF47" s="62">
        <f t="shared" si="50"/>
        <v>310.00874200911312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projet'!$B$17,Paramètres!$A$1:$I$89,3,0)*0.475*44/12</f>
        <v>13.238461720737067</v>
      </c>
      <c r="GM47" s="23">
        <f>EXP(-LN(2)/25)*GM46+(1-EXP(-LN(2)/25))/(LN(2)/25)*Calculateur!GH47*Calculateur!GJ47*VLOOKUP('Données projet'!$B$17,Paramètres!$A$1:$I$89,3,0)*0.475*44/12</f>
        <v>0</v>
      </c>
      <c r="GN47" s="23">
        <f>EXP(-LN(2)/2)*GN46+(1-EXP(-LN(2)/2))/(LN(2)/2)*GH47*GK47*VLOOKUP('Données projet'!$B$17,Paramètres!$A$1:$I$89,3,0)*0.475*44/12</f>
        <v>0</v>
      </c>
      <c r="GO47" s="23">
        <f t="shared" si="27"/>
        <v>13.238461720737067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8.3333333333333339</v>
      </c>
      <c r="N48" s="14">
        <f>IF('Données projet'!$A$36&gt;35,N47+M48-V47,IF(A48&lt;'Données projet'!$A$36,$K$205^A48,IF(A48='Données projet'!$A$36,'Données projet'!$B$36,N47+M48-V47)))</f>
        <v>132.00000000000009</v>
      </c>
      <c r="O48" s="14">
        <f>N48*VLOOKUP('Données projet'!$B$9,Paramètres!$A$1:$I$89,3,0)*VLOOKUP('Données projet'!$B$9,Paramètres!$A$1:$I$89,5,0)</f>
        <v>115.31520000000009</v>
      </c>
      <c r="P48" s="14">
        <f t="shared" si="33"/>
        <v>30.579827148797346</v>
      </c>
      <c r="Q48" s="22">
        <f t="shared" si="53"/>
        <v>254.10050561748884</v>
      </c>
      <c r="R48" s="62">
        <f t="shared" si="0"/>
        <v>505.72726316832296</v>
      </c>
      <c r="S48" s="62">
        <f ca="1">AVERAGE(OFFSET($R$3,0,0,'Données projet'!$E$9+1,1))-AVERAGE(OFFSET($H$3,0,0,'Données projet'!$E$9+1,1))</f>
        <v>401.34220206028908</v>
      </c>
      <c r="T48" s="62">
        <f t="shared" si="34"/>
        <v>265.33314259106987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6.9</v>
      </c>
      <c r="AI48" s="14">
        <f>IF('Données projet'!$A$62&gt;35,AI47+AH48-AQ47,IF(A48&lt;'Données projet'!$A$62,$AF$205^A48,IF(A48='Données projet'!$A$62,'Données projet'!$B$62,AI47+AH48-AQ47)))</f>
        <v>191.50000000000003</v>
      </c>
      <c r="AJ48" s="14">
        <f>AI48*VLOOKUP('Données projet'!$B$10,Paramètres!$A$1:$I$89,3,0)*VLOOKUP('Données projet'!$B$10,Paramètres!$A$1:$I$89,5,0)</f>
        <v>89.622000000000014</v>
      </c>
      <c r="AK48" s="14">
        <f t="shared" si="35"/>
        <v>24.47403817697321</v>
      </c>
      <c r="AL48" s="22">
        <f t="shared" si="4"/>
        <v>198.71726649156167</v>
      </c>
      <c r="AM48" s="62">
        <f t="shared" si="5"/>
        <v>450.3440240423958</v>
      </c>
      <c r="AN48" s="62">
        <f ca="1">AVERAGE(OFFSET($AM$3,0,0,'Données projet'!$E$10+1,1))-AVERAGE(OFFSET($H$3,0,0,'Données projet'!$E$10+1,1))</f>
        <v>253.48761861464732</v>
      </c>
      <c r="AO48" s="62">
        <f t="shared" si="36"/>
        <v>219.50855998133855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13.948305625709462</v>
      </c>
      <c r="AV48" s="23">
        <f>EXP(-LN(2)/25)*AV47+(1-EXP(-LN(2)/25))/(LN(2)/25)*Calculateur!AQ48*Calculateur!AS48*VLOOKUP('Données projet'!$B$10,Paramètres!$A$1:$I$89,3,0)*0.475*44/12</f>
        <v>5.3359188283479506</v>
      </c>
      <c r="AW48" s="23">
        <f>EXP(-LN(2)/2)*AW47+(1-EXP(-LN(2)/2))/(LN(2)/2)*AQ48*AT48*VLOOKUP('Données projet'!$B$10,Paramètres!$A$1:$I$89,3,0)*0.475*44/12</f>
        <v>0.48763579407046359</v>
      </c>
      <c r="AX48" s="23">
        <f t="shared" si="6"/>
        <v>19.771860248127876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9.8333333333333339</v>
      </c>
      <c r="BD48" s="13">
        <f>IF('Données projet'!$A$88&gt;35,BD47+BC48-BL47,IF(A48&lt;'Données projet'!$A$88,$BA$205^A48,IF(A48='Données projet'!$A$88,'Données projet'!$B$88,BD47+BC48-BL47)))</f>
        <v>283.16666666666669</v>
      </c>
      <c r="BE48" s="14">
        <f>BD48*VLOOKUP('Données projet'!$B$11,Paramètres!$A$1:$I$89,3,0)*VLOOKUP('Données projet'!$B$11,Paramètres!$A$1:$I$89,5,0)</f>
        <v>326.20800000000003</v>
      </c>
      <c r="BF48" s="14">
        <f t="shared" si="37"/>
        <v>76.643600789805404</v>
      </c>
      <c r="BG48" s="22">
        <f t="shared" si="7"/>
        <v>701.63320470891119</v>
      </c>
      <c r="BH48" s="62">
        <f t="shared" si="8"/>
        <v>953.25996225974529</v>
      </c>
      <c r="BI48" s="62">
        <f ca="1">AVERAGE(OFFSET($BH$3,0,0,'Données projet'!$E$11+1,1))-AVERAGE(OFFSET($H$3,0,0,'Données projet'!$E$11+1,1))</f>
        <v>482.85256243111911</v>
      </c>
      <c r="BJ48" s="62">
        <f t="shared" si="38"/>
        <v>517.78430032567064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31.179779606091707</v>
      </c>
      <c r="BQ48" s="23">
        <f>EXP(-LN(2)/25)*BQ47+(1-EXP(-LN(2)/25))/(LN(2)/25)*Calculateur!BL48*Calculateur!BN48*VLOOKUP('Données projet'!$B$11,Paramètres!$A$1:$I$89,3,0)*0.475*44/12</f>
        <v>10.540692016371137</v>
      </c>
      <c r="BR48" s="23">
        <f>EXP(-LN(2)/2)*BR47+(1-EXP(-LN(2)/2))/(LN(2)/2)*BL48*BO48*VLOOKUP('Données projet'!$B$11,Paramètres!$A$1:$I$89,3,0)*0.475*44/12</f>
        <v>0.77127678698520141</v>
      </c>
      <c r="BS48" s="24">
        <f t="shared" si="9"/>
        <v>42.49174840944805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9.8333333333333339</v>
      </c>
      <c r="BY48" s="13">
        <f>IF('Données projet'!$A$114&gt;35,BY47+BX48-CG47,IF(A48&lt;'Données projet'!$A$114,$BV$205^A48,IF(A48='Données projet'!$A$114,'Données projet'!$B$114,BY47+BX48-CG47)))</f>
        <v>283.16666666666669</v>
      </c>
      <c r="BZ48" s="14">
        <f>BY48*VLOOKUP('Données projet'!$B$12,Paramètres!$A$1:$I$89,3,0)*VLOOKUP('Données projet'!$B$12,Paramètres!$A$1:$I$89,5,0)</f>
        <v>169.33366666666672</v>
      </c>
      <c r="CA48" s="14">
        <f t="shared" si="39"/>
        <v>42.940752990888512</v>
      </c>
      <c r="CB48" s="22">
        <f t="shared" si="10"/>
        <v>369.7112809035753</v>
      </c>
      <c r="CC48" s="62">
        <f t="shared" si="11"/>
        <v>621.33803845440946</v>
      </c>
      <c r="CD48" s="62">
        <f ca="1">AVERAGE(OFFSET($CC$3,0,0,'Données projet'!$E$12+1,1))-AVERAGE(OFFSET($H$3,0,0,'Données projet'!$E$12+1,1))</f>
        <v>275.76900776033335</v>
      </c>
      <c r="CE48" s="62">
        <f t="shared" si="40"/>
        <v>299.36898480605191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29.880622122504551</v>
      </c>
      <c r="CL48" s="23">
        <f>EXP(-LN(2)/25)*CL47+(1-EXP(-LN(2)/25))/(LN(2)/25)*Calculateur!CG48*Calculateur!CI48*VLOOKUP('Données projet'!$B$12,Paramètres!$A$1:$I$89,3,0)*0.475*44/12</f>
        <v>10.101496515689009</v>
      </c>
      <c r="CM48" s="23">
        <f>EXP(-LN(2)/2)*CM47+(1-EXP(-LN(2)/2))/(LN(2)/2)*CG48*CJ48*VLOOKUP('Données projet'!$B$12,Paramètres!$A$1:$I$89,3,0)*0.475*44/12</f>
        <v>0.7391402541941513</v>
      </c>
      <c r="CN48" s="24">
        <f t="shared" si="12"/>
        <v>40.721258892387716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8.3333333333333339</v>
      </c>
      <c r="CT48" s="13">
        <f>IF('Données projet'!$A$140&gt;35,CT47+CS48-DB47,IF(A48&lt;'Données projet'!$A$140,$CQ$205^A48,IF(A48='Données projet'!$A$140,'Données projet'!$B$140,CT47+CS48-DB47)))</f>
        <v>132.00000000000009</v>
      </c>
      <c r="CU48" s="18">
        <f>CT48*VLOOKUP('Données projet'!$B$13,Paramètres!$A$1:$I$89,3,0)*VLOOKUP('Données projet'!$B$13,Paramètres!$A$1:$I$89,5,0)</f>
        <v>144.14400000000009</v>
      </c>
      <c r="CV48" s="14">
        <f t="shared" si="41"/>
        <v>37.244720006976287</v>
      </c>
      <c r="CW48" s="22">
        <f t="shared" si="13"/>
        <v>315.91868734548387</v>
      </c>
      <c r="CX48" s="62">
        <f t="shared" si="14"/>
        <v>567.54544489631803</v>
      </c>
      <c r="CY48" s="62">
        <f ca="1">AVERAGE(OFFSET($CX$3,0,0,'Données projet'!$E$13+1,1))-AVERAGE(OFFSET($H$3,0,0,'Données projet'!$E$13+1,1))</f>
        <v>482.24068797679558</v>
      </c>
      <c r="CZ48" s="62">
        <f t="shared" si="42"/>
        <v>316.28941055521693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305</v>
      </c>
      <c r="DM48" s="13">
        <f>VLOOKUP(A48,'Données projet'!$A$165:$I$185,9,0)</f>
        <v>12</v>
      </c>
      <c r="DN48" s="13">
        <f t="array" ref="DN48">INDEX(DM:DM,MIN(IF(ISNUMBER(DM48:DM244),ROW(DM48:DM244),"")))</f>
        <v>12</v>
      </c>
      <c r="DO48" s="13">
        <f>IF('Données projet'!$A$166&gt;35,DO47+DN48-DW47,IF(A48&lt;'Données projet'!$A$166,$DL$205^A48,IF(A48='Données projet'!$A$166,'Données projet'!$B$166,DO47+DN48-DW47)))</f>
        <v>305.00000000000006</v>
      </c>
      <c r="DP48" s="18">
        <f>DO48*VLOOKUP('Données projet'!$B$14,Paramètres!$A$1:$I$89,3,0)*VLOOKUP('Données projet'!$B$14,Paramètres!$A$1:$I$89,5,0)</f>
        <v>247.41600000000005</v>
      </c>
      <c r="DQ48" s="14">
        <f t="shared" si="43"/>
        <v>60.032282000540192</v>
      </c>
      <c r="DR48" s="22">
        <f t="shared" si="16"/>
        <v>535.47242448427426</v>
      </c>
      <c r="DS48" s="62">
        <f t="shared" si="17"/>
        <v>787.09918203510836</v>
      </c>
      <c r="DT48" s="62">
        <f ca="1">AVERAGE(OFFSET($DS$3,0,0,'Données projet'!$E$14+1,1))-AVERAGE(OFFSET($H$3,0,0,'Données projet'!$E$14+1,1))</f>
        <v>325.58538970226539</v>
      </c>
      <c r="DU48" s="62">
        <f t="shared" si="44"/>
        <v>361.81085660423457</v>
      </c>
      <c r="DV48" s="16">
        <f>IF(ISNA(VLOOKUP(A48,'Données projet'!$A$165:$I$185,3,0)),0,VLOOKUP(A48,'Données projet'!$A$165:$I$185,3,0))</f>
        <v>4</v>
      </c>
      <c r="DW48" s="16">
        <f>IF(ISNA(VLOOKUP(A48,'Données projet'!$A$165:$I$185,4,0)),0,VLOOKUP(A48,'Données projet'!$A$165:$I$185,4,0))</f>
        <v>51</v>
      </c>
      <c r="DX48" s="17">
        <f>IF(ISNA(VLOOKUP(A48,'Données projet'!$A$165:$I$185,5,0)),0%,VLOOKUP(A48,'Données projet'!$A$165:$I$185,5,0)*VLOOKUP('Données projet'!$B$14,Paramètres!$A$1:$I$89,7,0))</f>
        <v>0.30099999999999999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26.5001048288104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26.5001048288104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6.6666666666666643</v>
      </c>
      <c r="EJ48" s="13">
        <f>IF('Données projet'!$A$192&gt;35,EJ47+EI48-ER47,IF(A48&lt;'Données projet'!$A$192,$EG$205^A48,IF(A48='Données projet'!$A$192,'Données projet'!$B$192,EJ47+EI48-ER47)))</f>
        <v>105.59999999999994</v>
      </c>
      <c r="EK48" s="18">
        <f>EJ48*VLOOKUP('Données projet'!$B$15,Paramètres!$A$1:$I$89,3,0)*VLOOKUP('Données projet'!$B$15,Paramètres!$A$1:$I$89,5,0)</f>
        <v>102.13631999999996</v>
      </c>
      <c r="EL48" s="14">
        <f t="shared" si="45"/>
        <v>27.470318508318069</v>
      </c>
      <c r="EM48" s="22">
        <f t="shared" si="19"/>
        <v>225.73156206865386</v>
      </c>
      <c r="EN48" s="62">
        <f t="shared" si="20"/>
        <v>477.35831961948799</v>
      </c>
      <c r="EO48" s="62">
        <f ca="1">AVERAGE(OFFSET($EN$3,0,0,'Données projet'!$E$15+1,1))-AVERAGE(OFFSET($H$3,0,0,'Données projet'!$E$15+1,1))</f>
        <v>364.22267539944085</v>
      </c>
      <c r="EP48" s="62">
        <f t="shared" si="46"/>
        <v>241.947139538615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>
        <f>VLOOKUP(A48,'Données projet'!$A$217:$I$237,2,0)</f>
        <v>243</v>
      </c>
      <c r="FC48" s="13">
        <f>VLOOKUP(A48,'Données projet'!$A$217:$I$237,9,0)</f>
        <v>9.6</v>
      </c>
      <c r="FD48" s="13">
        <f t="array" ref="FD48">INDEX(FC:FC,MIN(IF(ISNUMBER(FC48:FC244),ROW(FC48:FC244),"")))</f>
        <v>9.6</v>
      </c>
      <c r="FE48" s="13">
        <f>IF('Données projet'!$A$218&gt;35,FE47+FD48-FM47,IF(A48&lt;'Données projet'!$A$218,$FB$205^A48,IF(A48='Données projet'!$A$218,'Données projet'!$B$218,FE47+FD48-FM47)))</f>
        <v>242.99999999999991</v>
      </c>
      <c r="FF48" s="18">
        <f>FE48*VLOOKUP('Données projet'!$B$16,Paramètres!$A$1:$I$89,3,0)*VLOOKUP('Données projet'!$B$16,Paramètres!$A$1:$I$89,5,0)</f>
        <v>212.28479999999993</v>
      </c>
      <c r="FG48" s="14">
        <f t="shared" si="47"/>
        <v>52.434557099704143</v>
      </c>
      <c r="FH48" s="22">
        <f t="shared" si="22"/>
        <v>461.05288028198464</v>
      </c>
      <c r="FI48" s="62">
        <f t="shared" si="23"/>
        <v>712.6796378328188</v>
      </c>
      <c r="FJ48" s="62">
        <f ca="1">AVERAGE(OFFSET($FI$3,0,0,'Données projet'!$E$16+1,1))-AVERAGE(OFFSET($H$3,0,0,'Données projet'!$E$16+1,1))</f>
        <v>286.59837239471312</v>
      </c>
      <c r="FK48" s="62">
        <f t="shared" si="48"/>
        <v>319.26091328564689</v>
      </c>
      <c r="FL48" s="16">
        <f>IF(ISNA(VLOOKUP(A48,'Données projet'!$A$217:$I$237,3,0)),0,VLOOKUP(A48,'Données projet'!$A$217:$I$237,3,0))</f>
        <v>4</v>
      </c>
      <c r="FM48" s="16">
        <f>IF(ISNA(VLOOKUP(A48,'Données projet'!$A$217:$I$237,4,0)),0,VLOOKUP(A48,'Données projet'!$A$217:$I$237,4,0))</f>
        <v>41</v>
      </c>
      <c r="FN48" s="17">
        <f>IF(ISNA(VLOOKUP(A48,'Données projet'!$A$217:$I$237,5,0)),0%,VLOOKUP(A48,'Données projet'!$A$217:$I$237,5,0)*VLOOKUP('Données projet'!$B$16,Paramètres!$A$1:$I$89,7,0))</f>
        <v>0.371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28.329586492571778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28.329586492571778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>
        <f>VLOOKUP(A48,'Données projet'!$A$243:$I$263,2,0)</f>
        <v>305</v>
      </c>
      <c r="FX48" s="13">
        <f>VLOOKUP(A48,'Données projet'!$A$243:$I$263,9,0)</f>
        <v>12</v>
      </c>
      <c r="FY48" s="13">
        <f t="array" ref="FY48">INDEX(FX:FX,MIN(IF(ISNUMBER(FX48:FX244),ROW(FX48:FX244),"")))</f>
        <v>12</v>
      </c>
      <c r="FZ48" s="13">
        <f>IF('Données projet'!$A$244&gt;35,FZ47+FY48-GH47,IF(A48&lt;'Données projet'!$A$244,$FW$205^A48,IF(A48='Données projet'!$A$244,'Données projet'!$B$244,FZ47+FY48-GH47)))</f>
        <v>305.00000000000006</v>
      </c>
      <c r="GA48" s="18">
        <f>FZ48*VLOOKUP('Données projet'!$B$17,Paramètres!$A$1:$I$89,3,0)*VLOOKUP('Données projet'!$B$17,Paramètres!$A$1:$I$89,5,0)</f>
        <v>204.59400000000005</v>
      </c>
      <c r="GB48" s="14">
        <f t="shared" si="49"/>
        <v>50.752451560432448</v>
      </c>
      <c r="GC48" s="22">
        <f t="shared" si="25"/>
        <v>444.72840313441998</v>
      </c>
      <c r="GD48" s="62">
        <f t="shared" si="26"/>
        <v>696.35516068525408</v>
      </c>
      <c r="GE48" s="62">
        <f ca="1">AVERAGE(OFFSET($GD$3,0,0,'Données projet'!$E$17+1,1))-AVERAGE(OFFSET($H$3,0,0,'Données projet'!$E$17+1,1))</f>
        <v>277.37570531842186</v>
      </c>
      <c r="GF48" s="62">
        <f t="shared" si="50"/>
        <v>310.00874200911312</v>
      </c>
      <c r="GG48" s="16">
        <f>IF(ISNA(VLOOKUP(A48,'Données projet'!$A$243:$I$263,3,0)),0,VLOOKUP(A48,'Données projet'!$A$243:$I$263,3,0))</f>
        <v>4</v>
      </c>
      <c r="GH48" s="16">
        <f>IF(ISNA(VLOOKUP(A48,'Données projet'!$A$243:$I$263,4,0)),0,VLOOKUP(A48,'Données projet'!$A$243:$I$263,4,0))</f>
        <v>51</v>
      </c>
      <c r="GI48" s="17">
        <f>IF(ISNA(VLOOKUP(A48,'Données projet'!$A$243:$I$263,5,0)),0%,VLOOKUP(A48,'Données projet'!$A$243:$I$263,5,0)*VLOOKUP('Données projet'!$B$17,Paramètres!$A$1:$I$89,7,0))</f>
        <v>0.371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projet'!$B$17,Paramètres!$A$1:$I$89,3,0)*0.475*44/12</f>
        <v>27.009722229364446</v>
      </c>
      <c r="GM48" s="23">
        <f>EXP(-LN(2)/25)*GM47+(1-EXP(-LN(2)/25))/(LN(2)/25)*Calculateur!GH48*Calculateur!GJ48*VLOOKUP('Données projet'!$B$17,Paramètres!$A$1:$I$89,3,0)*0.475*44/12</f>
        <v>0</v>
      </c>
      <c r="GN48" s="23">
        <f>EXP(-LN(2)/2)*GN47+(1-EXP(-LN(2)/2))/(LN(2)/2)*GH48*GK48*VLOOKUP('Données projet'!$B$17,Paramètres!$A$1:$I$89,3,0)*0.475*44/12</f>
        <v>0</v>
      </c>
      <c r="GO48" s="23">
        <f t="shared" si="27"/>
        <v>27.009722229364446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8.3333333333333339</v>
      </c>
      <c r="N49" s="14">
        <f>IF('Données projet'!$A$36&gt;35,N48+M49-V48,IF(A49&lt;'Données projet'!$A$36,$K$205^A49,IF(A49='Données projet'!$A$36,'Données projet'!$B$36,N48+M49-V48)))</f>
        <v>140.33333333333343</v>
      </c>
      <c r="O49" s="14">
        <f>N49*VLOOKUP('Données projet'!$B$9,Paramètres!$A$1:$I$89,3,0)*VLOOKUP('Données projet'!$B$9,Paramètres!$A$1:$I$89,5,0)</f>
        <v>122.5952000000001</v>
      </c>
      <c r="P49" s="14">
        <f t="shared" si="33"/>
        <v>32.279531279531817</v>
      </c>
      <c r="Q49" s="22">
        <f t="shared" si="53"/>
        <v>269.74015697851809</v>
      </c>
      <c r="R49" s="62">
        <f t="shared" si="0"/>
        <v>522.09043037724371</v>
      </c>
      <c r="S49" s="62">
        <f ca="1">AVERAGE(OFFSET($R$3,0,0,'Données projet'!$E$9+1,1))-AVERAGE(OFFSET($H$3,0,0,'Données projet'!$E$9+1,1))</f>
        <v>401.34220206028908</v>
      </c>
      <c r="T49" s="62">
        <f t="shared" si="34"/>
        <v>265.33314259106987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6.9</v>
      </c>
      <c r="AI49" s="14">
        <f>IF('Données projet'!$A$62&gt;35,AI48+AH49-AQ48,IF(A49&lt;'Données projet'!$A$62,$AF$205^A49,IF(A49='Données projet'!$A$62,'Données projet'!$B$62,AI48+AH49-AQ48)))</f>
        <v>198.40000000000003</v>
      </c>
      <c r="AJ49" s="14">
        <f>AI49*VLOOKUP('Données projet'!$B$10,Paramètres!$A$1:$I$89,3,0)*VLOOKUP('Données projet'!$B$10,Paramètres!$A$1:$I$89,5,0)</f>
        <v>92.851200000000006</v>
      </c>
      <c r="AK49" s="14">
        <f t="shared" si="35"/>
        <v>25.251612622871896</v>
      </c>
      <c r="AL49" s="22">
        <f t="shared" si="4"/>
        <v>205.69573198483525</v>
      </c>
      <c r="AM49" s="62">
        <f t="shared" si="5"/>
        <v>458.0460053835609</v>
      </c>
      <c r="AN49" s="62">
        <f ca="1">AVERAGE(OFFSET($AM$3,0,0,'Données projet'!$E$10+1,1))-AVERAGE(OFFSET($H$3,0,0,'Données projet'!$E$10+1,1))</f>
        <v>253.48761861464732</v>
      </c>
      <c r="AO49" s="62">
        <f t="shared" si="36"/>
        <v>219.50855998133855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13.674787860015673</v>
      </c>
      <c r="AV49" s="23">
        <f>EXP(-LN(2)/25)*AV48+(1-EXP(-LN(2)/25))/(LN(2)/25)*Calculateur!AQ49*Calculateur!AS49*VLOOKUP('Données projet'!$B$10,Paramètres!$A$1:$I$89,3,0)*0.475*44/12</f>
        <v>5.1900078473829998</v>
      </c>
      <c r="AW49" s="23">
        <f>EXP(-LN(2)/2)*AW48+(1-EXP(-LN(2)/2))/(LN(2)/2)*AQ49*AT49*VLOOKUP('Données projet'!$B$10,Paramètres!$A$1:$I$89,3,0)*0.475*44/12</f>
        <v>0.34481057673651166</v>
      </c>
      <c r="AX49" s="23">
        <f t="shared" si="6"/>
        <v>19.209606284135184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>
        <f>VLOOKUP(A49,'Données projet'!$A$87:$I$107,2,0)</f>
        <v>293</v>
      </c>
      <c r="BB49" s="13">
        <f>VLOOKUP(A49,'Données projet'!$A$87:$I$107,9,0)</f>
        <v>9.8333333333333339</v>
      </c>
      <c r="BC49" s="13">
        <f t="array" ref="BC49">INDEX(BB:BB,MIN(IF(ISNUMBER(BB49:BB245),ROW(BB49:BB245),"")))</f>
        <v>9.8333333333333339</v>
      </c>
      <c r="BD49" s="13">
        <f>IF('Données projet'!$A$88&gt;35,BD48+BC49-BL48,IF(A49&lt;'Données projet'!$A$88,$BA$205^A49,IF(A49='Données projet'!$A$88,'Données projet'!$B$88,BD48+BC49-BL48)))</f>
        <v>293</v>
      </c>
      <c r="BE49" s="14">
        <f>BD49*VLOOKUP('Données projet'!$B$11,Paramètres!$A$1:$I$89,3,0)*VLOOKUP('Données projet'!$B$11,Paramètres!$A$1:$I$89,5,0)</f>
        <v>337.53599999999994</v>
      </c>
      <c r="BF49" s="14">
        <f t="shared" si="37"/>
        <v>78.990653121735676</v>
      </c>
      <c r="BG49" s="22">
        <f t="shared" si="7"/>
        <v>725.45058752035629</v>
      </c>
      <c r="BH49" s="62">
        <f t="shared" si="8"/>
        <v>977.80086091908197</v>
      </c>
      <c r="BI49" s="62">
        <f ca="1">AVERAGE(OFFSET($BH$3,0,0,'Données projet'!$E$11+1,1))-AVERAGE(OFFSET($H$3,0,0,'Données projet'!$E$11+1,1))</f>
        <v>482.85256243111911</v>
      </c>
      <c r="BJ49" s="62">
        <f t="shared" si="38"/>
        <v>517.78430032567064</v>
      </c>
      <c r="BK49" s="16">
        <f>IF(ISNA(VLOOKUP(A49,'Données projet'!$A$87:$I$107,3,0)),0,VLOOKUP(A49,'Données projet'!$A$87:$I$107,3,0))</f>
        <v>7</v>
      </c>
      <c r="BL49" s="16">
        <f>IF(ISNA(VLOOKUP(A49,'Données projet'!$A$87:$I$107,4,0)),0,VLOOKUP(A49,'Données projet'!$A$87:$I$107,4,0))</f>
        <v>29</v>
      </c>
      <c r="BM49" s="17">
        <f>IF(ISNA(VLOOKUP(A49,'Données projet'!$A$87:$I$107,5,0)),0%,VLOOKUP(A49,'Données projet'!$A$87:$I$107,5,0)*VLOOKUP('Données projet'!$B$11,Paramètres!$A$1:$I$89,7,0))</f>
        <v>0.315</v>
      </c>
      <c r="BN49" s="17">
        <f>IF(ISNA(VLOOKUP(A49,'Données projet'!$A$87:$I$107,6,0)),0%,VLOOKUP(A49,'Données projet'!$A$87:$I$107,6,0)*VLOOKUP('Données projet'!$B$11,Paramètres!$A$1:$I$89,7,0))</f>
        <v>7.6500000000000012E-2</v>
      </c>
      <c r="BO49" s="17">
        <f>IF(ISNA(VLOOKUP(A49,'Données projet'!$A$87:$I$107,7,0)),0%,VLOOKUP(A49,'Données projet'!$A$87:$I$107,7,0))</f>
        <v>0.13</v>
      </c>
      <c r="BP49" s="23">
        <f>EXP(-LN(2)/35)*BP48+(1-EXP(-LN(2)/35))/(LN(2)/35)*BL49*BM49*VLOOKUP('Données projet'!$B$11,Paramètres!$A$1:$I$89,3,0)*0.475*44/12</f>
        <v>38.130098917278644</v>
      </c>
      <c r="BQ49" s="23">
        <f>EXP(-LN(2)/25)*BQ48+(1-EXP(-LN(2)/25))/(LN(2)/25)*Calculateur!BL49*Calculateur!BN49*VLOOKUP('Données projet'!$B$11,Paramètres!$A$1:$I$89,3,0)*0.475*44/12</f>
        <v>12.081647092021395</v>
      </c>
      <c r="BR49" s="23">
        <f>EXP(-LN(2)/2)*BR48+(1-EXP(-LN(2)/2))/(LN(2)/2)*BL49*BO49*VLOOKUP('Données projet'!$B$11,Paramètres!$A$1:$I$89,3,0)*0.475*44/12</f>
        <v>3.2089288815340686</v>
      </c>
      <c r="BS49" s="24">
        <f t="shared" si="9"/>
        <v>53.420674890834114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>
        <f>VLOOKUP(A49,'Données projet'!$A$113:$I$133,2,0)</f>
        <v>293</v>
      </c>
      <c r="BW49" s="13">
        <f>VLOOKUP(A49,'Données projet'!$A$113:$I$133,9,0)</f>
        <v>9.8333333333333339</v>
      </c>
      <c r="BX49" s="13">
        <f t="array" ref="BX49">INDEX(BW:BW,MIN(IF(ISNUMBER(BW49:BW245),ROW(BW49:BW245),"")))</f>
        <v>9.8333333333333339</v>
      </c>
      <c r="BY49" s="13">
        <f>IF('Données projet'!$A$114&gt;35,BY48+BX49-CG48,IF(A49&lt;'Données projet'!$A$114,$BV$205^A49,IF(A49='Données projet'!$A$114,'Données projet'!$B$114,BY48+BX49-CG48)))</f>
        <v>293</v>
      </c>
      <c r="BZ49" s="14">
        <f>BY49*VLOOKUP('Données projet'!$B$12,Paramètres!$A$1:$I$89,3,0)*VLOOKUP('Données projet'!$B$12,Paramètres!$A$1:$I$89,5,0)</f>
        <v>175.214</v>
      </c>
      <c r="CA49" s="14">
        <f t="shared" si="39"/>
        <v>44.255725061661991</v>
      </c>
      <c r="CB49" s="22">
        <f t="shared" si="10"/>
        <v>382.24310448239459</v>
      </c>
      <c r="CC49" s="62">
        <f t="shared" si="11"/>
        <v>634.5933778811202</v>
      </c>
      <c r="CD49" s="62">
        <f ca="1">AVERAGE(OFFSET($CC$3,0,0,'Données projet'!$E$12+1,1))-AVERAGE(OFFSET($H$3,0,0,'Données projet'!$E$12+1,1))</f>
        <v>275.76900776033335</v>
      </c>
      <c r="CE49" s="62">
        <f t="shared" si="40"/>
        <v>299.36898480605191</v>
      </c>
      <c r="CF49" s="16">
        <f>IF(ISNA(VLOOKUP(A49,'Données projet'!$A$113:$I$133,3,0)),0,VLOOKUP(A49,'Données projet'!$A$113:$I$133,3,0))</f>
        <v>7</v>
      </c>
      <c r="CG49" s="16">
        <f>IF(ISNA(VLOOKUP(A49,'Données projet'!$A$113:$I$133,4,0)),0,VLOOKUP(A49,'Données projet'!$A$113:$I$133,4,0))</f>
        <v>29</v>
      </c>
      <c r="CH49" s="17">
        <f>IF(ISNA(VLOOKUP(A49,'Données projet'!$A$113:$I$133,5,0)),0%,VLOOKUP(A49,'Données projet'!$A$113:$I$133,5,0)*VLOOKUP('Données projet'!$B$12,Paramètres!$A$1:$I$89,7,0))</f>
        <v>0.315</v>
      </c>
      <c r="CI49" s="17">
        <f>IF(ISNA(VLOOKUP(A49,'Données projet'!$A$113:$I$133,6,0)),0%,VLOOKUP(A49,'Données projet'!$A$113:$I$133,6,0)*VLOOKUP('Données projet'!$B$12,Paramètres!$A$1:$I$89,7,0))</f>
        <v>7.6500000000000012E-2</v>
      </c>
      <c r="CJ49" s="17">
        <f>IF(ISNA(VLOOKUP(A49,'Données projet'!$A$113:$I$133,7,0)),0%,VLOOKUP(A49,'Données projet'!$A$113:$I$133,7,0))</f>
        <v>0.13</v>
      </c>
      <c r="CK49" s="23">
        <f>EXP(-LN(2)/35)*CK48+(1-EXP(-LN(2)/35))/(LN(2)/35)*CG49*CH49*VLOOKUP('Données projet'!$B$12,Paramètres!$A$1:$I$89,3,0)*0.475*44/12</f>
        <v>36.541344795725365</v>
      </c>
      <c r="CL49" s="23">
        <f>EXP(-LN(2)/25)*CL48+(1-EXP(-LN(2)/25))/(LN(2)/25)*Calculateur!CG49*Calculateur!CI49*VLOOKUP('Données projet'!$B$12,Paramètres!$A$1:$I$89,3,0)*0.475*44/12</f>
        <v>11.578245129853839</v>
      </c>
      <c r="CM49" s="23">
        <f>EXP(-LN(2)/2)*CM48+(1-EXP(-LN(2)/2))/(LN(2)/2)*CG49*CJ49*VLOOKUP('Données projet'!$B$12,Paramètres!$A$1:$I$89,3,0)*0.475*44/12</f>
        <v>3.0752235114701492</v>
      </c>
      <c r="CN49" s="24">
        <f t="shared" si="12"/>
        <v>51.194813437049355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8.3333333333333339</v>
      </c>
      <c r="CT49" s="13">
        <f>IF('Données projet'!$A$140&gt;35,CT48+CS49-DB48,IF(A49&lt;'Données projet'!$A$140,$CQ$205^A49,IF(A49='Données projet'!$A$140,'Données projet'!$B$140,CT48+CS49-DB48)))</f>
        <v>140.33333333333343</v>
      </c>
      <c r="CU49" s="18">
        <f>CT49*VLOOKUP('Données projet'!$B$13,Paramètres!$A$1:$I$89,3,0)*VLOOKUP('Données projet'!$B$13,Paramètres!$A$1:$I$89,5,0)</f>
        <v>153.24400000000009</v>
      </c>
      <c r="CV49" s="14">
        <f t="shared" si="41"/>
        <v>39.314875738592185</v>
      </c>
      <c r="CW49" s="22">
        <f t="shared" si="13"/>
        <v>335.37337524471485</v>
      </c>
      <c r="CX49" s="62">
        <f t="shared" si="14"/>
        <v>587.72364864344047</v>
      </c>
      <c r="CY49" s="62">
        <f ca="1">AVERAGE(OFFSET($CX$3,0,0,'Données projet'!$E$13+1,1))-AVERAGE(OFFSET($H$3,0,0,'Données projet'!$E$13+1,1))</f>
        <v>482.24068797679558</v>
      </c>
      <c r="CZ49" s="62">
        <f t="shared" si="42"/>
        <v>316.28941055521693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13.4</v>
      </c>
      <c r="DO49" s="13">
        <f>IF('Données projet'!$A$166&gt;35,DO48+DN49-DW48,IF(A49&lt;'Données projet'!$A$166,$DL$205^A49,IF(A49='Données projet'!$A$166,'Données projet'!$B$166,DO48+DN49-DW48)))</f>
        <v>267.40000000000003</v>
      </c>
      <c r="DP49" s="18">
        <f>DO49*VLOOKUP('Données projet'!$B$14,Paramètres!$A$1:$I$89,3,0)*VLOOKUP('Données projet'!$B$14,Paramètres!$A$1:$I$89,5,0)</f>
        <v>216.91488000000007</v>
      </c>
      <c r="DQ49" s="14">
        <f t="shared" si="43"/>
        <v>53.443799993683442</v>
      </c>
      <c r="DR49" s="22">
        <f t="shared" si="16"/>
        <v>470.87470098899871</v>
      </c>
      <c r="DS49" s="62">
        <f t="shared" si="17"/>
        <v>723.22497438772439</v>
      </c>
      <c r="DT49" s="62">
        <f ca="1">AVERAGE(OFFSET($DS$3,0,0,'Données projet'!$E$14+1,1))-AVERAGE(OFFSET($H$3,0,0,'Données projet'!$E$14+1,1))</f>
        <v>325.58538970226539</v>
      </c>
      <c r="DU49" s="62">
        <f t="shared" si="44"/>
        <v>361.81085660423457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25.980453936585363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25.980453936585363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6.6666666666666643</v>
      </c>
      <c r="EJ49" s="13">
        <f>IF('Données projet'!$A$192&gt;35,EJ48+EI49-ER48,IF(A49&lt;'Données projet'!$A$192,$EG$205^A49,IF(A49='Données projet'!$A$192,'Données projet'!$B$192,EJ48+EI49-ER48)))</f>
        <v>112.26666666666659</v>
      </c>
      <c r="EK49" s="18">
        <f>EJ49*VLOOKUP('Données projet'!$B$15,Paramètres!$A$1:$I$89,3,0)*VLOOKUP('Données projet'!$B$15,Paramètres!$A$1:$I$89,5,0)</f>
        <v>108.58431999999993</v>
      </c>
      <c r="EL49" s="14">
        <f t="shared" si="45"/>
        <v>28.99718828472281</v>
      </c>
      <c r="EM49" s="22">
        <f t="shared" si="19"/>
        <v>239.62112692922543</v>
      </c>
      <c r="EN49" s="62">
        <f t="shared" si="20"/>
        <v>491.97140032795107</v>
      </c>
      <c r="EO49" s="62">
        <f ca="1">AVERAGE(OFFSET($EN$3,0,0,'Données projet'!$E$15+1,1))-AVERAGE(OFFSET($H$3,0,0,'Données projet'!$E$15+1,1))</f>
        <v>364.22267539944085</v>
      </c>
      <c r="EP49" s="62">
        <f t="shared" si="46"/>
        <v>241.947139538615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11.2</v>
      </c>
      <c r="FE49" s="13">
        <f>IF('Données projet'!$A$218&gt;35,FE48+FD49-FM48,IF(A49&lt;'Données projet'!$A$218,$FB$205^A49,IF(A49='Données projet'!$A$218,'Données projet'!$B$218,FE48+FD49-FM48)))</f>
        <v>213.1999999999999</v>
      </c>
      <c r="FF49" s="18">
        <f>FE49*VLOOKUP('Données projet'!$B$16,Paramètres!$A$1:$I$89,3,0)*VLOOKUP('Données projet'!$B$16,Paramètres!$A$1:$I$89,5,0)</f>
        <v>186.25151999999994</v>
      </c>
      <c r="FG49" s="14">
        <f t="shared" si="47"/>
        <v>46.710258515156667</v>
      </c>
      <c r="FH49" s="22">
        <f t="shared" si="22"/>
        <v>405.74176424723106</v>
      </c>
      <c r="FI49" s="62">
        <f t="shared" si="23"/>
        <v>658.09203764595668</v>
      </c>
      <c r="FJ49" s="62">
        <f ca="1">AVERAGE(OFFSET($FI$3,0,0,'Données projet'!$E$16+1,1))-AVERAGE(OFFSET($H$3,0,0,'Données projet'!$E$16+1,1))</f>
        <v>286.59837239471312</v>
      </c>
      <c r="FK49" s="62">
        <f t="shared" si="48"/>
        <v>319.26091328564689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27.774060580794014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27.774060580794014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13.4</v>
      </c>
      <c r="FZ49" s="13">
        <f>IF('Données projet'!$A$244&gt;35,FZ48+FY49-GH48,IF(A49&lt;'Données projet'!$A$244,$FW$205^A49,IF(A49='Données projet'!$A$244,'Données projet'!$B$244,FZ48+FY49-GH48)))</f>
        <v>267.40000000000003</v>
      </c>
      <c r="GA49" s="18">
        <f>FZ49*VLOOKUP('Données projet'!$B$17,Paramètres!$A$1:$I$89,3,0)*VLOOKUP('Données projet'!$B$17,Paramètres!$A$1:$I$89,5,0)</f>
        <v>179.37192000000002</v>
      </c>
      <c r="GB49" s="14">
        <f t="shared" si="49"/>
        <v>45.182421523813659</v>
      </c>
      <c r="GC49" s="22">
        <f t="shared" si="25"/>
        <v>391.09881148730875</v>
      </c>
      <c r="GD49" s="62">
        <f t="shared" si="26"/>
        <v>643.44908488603437</v>
      </c>
      <c r="GE49" s="62">
        <f ca="1">AVERAGE(OFFSET($GD$3,0,0,'Données projet'!$E$17+1,1))-AVERAGE(OFFSET($H$3,0,0,'Données projet'!$E$17+1,1))</f>
        <v>277.37570531842186</v>
      </c>
      <c r="GF49" s="62">
        <f t="shared" si="50"/>
        <v>310.00874200911312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projet'!$B$17,Paramètres!$A$1:$I$89,3,0)*0.475*44/12</f>
        <v>26.480078050750468</v>
      </c>
      <c r="GM49" s="23">
        <f>EXP(-LN(2)/25)*GM48+(1-EXP(-LN(2)/25))/(LN(2)/25)*Calculateur!GH49*Calculateur!GJ49*VLOOKUP('Données projet'!$B$17,Paramètres!$A$1:$I$89,3,0)*0.475*44/12</f>
        <v>0</v>
      </c>
      <c r="GN49" s="23">
        <f>EXP(-LN(2)/2)*GN48+(1-EXP(-LN(2)/2))/(LN(2)/2)*GH49*GK49*VLOOKUP('Données projet'!$B$17,Paramètres!$A$1:$I$89,3,0)*0.475*44/12</f>
        <v>0</v>
      </c>
      <c r="GO49" s="23">
        <f t="shared" si="27"/>
        <v>26.480078050750468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8.3333333333333339</v>
      </c>
      <c r="N50" s="14">
        <f>IF('Données projet'!$A$36&gt;35,N49+M50-V49,IF(A50&lt;'Données projet'!$A$36,$K$205^A50,IF(A50='Données projet'!$A$36,'Données projet'!$B$36,N49+M50-V49)))</f>
        <v>148.66666666666677</v>
      </c>
      <c r="O50" s="14">
        <f>N50*VLOOKUP('Données projet'!$B$9,Paramètres!$A$1:$I$89,3,0)*VLOOKUP('Données projet'!$B$9,Paramètres!$A$1:$I$89,5,0)</f>
        <v>129.87520000000012</v>
      </c>
      <c r="P50" s="14">
        <f t="shared" si="33"/>
        <v>33.96752010477681</v>
      </c>
      <c r="Q50" s="22">
        <f t="shared" si="53"/>
        <v>285.35940418248646</v>
      </c>
      <c r="R50" s="62">
        <f t="shared" si="0"/>
        <v>538.42064204668191</v>
      </c>
      <c r="S50" s="62">
        <f ca="1">AVERAGE(OFFSET($R$3,0,0,'Données projet'!$E$9+1,1))-AVERAGE(OFFSET($H$3,0,0,'Données projet'!$E$9+1,1))</f>
        <v>401.34220206028908</v>
      </c>
      <c r="T50" s="62">
        <f t="shared" si="34"/>
        <v>265.33314259106987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6.9</v>
      </c>
      <c r="AI50" s="14">
        <f>IF('Données projet'!$A$62&gt;35,AI49+AH50-AQ49,IF(A50&lt;'Données projet'!$A$62,$AF$205^A50,IF(A50='Données projet'!$A$62,'Données projet'!$B$62,AI49+AH50-AQ49)))</f>
        <v>205.30000000000004</v>
      </c>
      <c r="AJ50" s="14">
        <f>AI50*VLOOKUP('Données projet'!$B$10,Paramètres!$A$1:$I$89,3,0)*VLOOKUP('Données projet'!$B$10,Paramètres!$A$1:$I$89,5,0)</f>
        <v>96.080400000000026</v>
      </c>
      <c r="AK50" s="14">
        <f t="shared" si="35"/>
        <v>26.026044996859866</v>
      </c>
      <c r="AL50" s="22">
        <f t="shared" si="4"/>
        <v>212.66872503619766</v>
      </c>
      <c r="AM50" s="62">
        <f t="shared" si="5"/>
        <v>465.72996290039305</v>
      </c>
      <c r="AN50" s="62">
        <f ca="1">AVERAGE(OFFSET($AM$3,0,0,'Données projet'!$E$10+1,1))-AVERAGE(OFFSET($H$3,0,0,'Données projet'!$E$10+1,1))</f>
        <v>253.48761861464732</v>
      </c>
      <c r="AO50" s="62">
        <f t="shared" si="36"/>
        <v>219.50855998133855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13.406633610877774</v>
      </c>
      <c r="AV50" s="23">
        <f>EXP(-LN(2)/25)*AV49+(1-EXP(-LN(2)/25))/(LN(2)/25)*Calculateur!AQ50*Calculateur!AS50*VLOOKUP('Données projet'!$B$10,Paramètres!$A$1:$I$89,3,0)*0.475*44/12</f>
        <v>5.0480868098656613</v>
      </c>
      <c r="AW50" s="23">
        <f>EXP(-LN(2)/2)*AW49+(1-EXP(-LN(2)/2))/(LN(2)/2)*AQ50*AT50*VLOOKUP('Données projet'!$B$10,Paramètres!$A$1:$I$89,3,0)*0.475*44/12</f>
        <v>0.24381789703523182</v>
      </c>
      <c r="AX50" s="23">
        <f t="shared" si="6"/>
        <v>18.698538317778667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5.875</v>
      </c>
      <c r="BD50" s="13">
        <f>IF('Données projet'!$A$88&gt;35,BD49+BC50-BL49,IF(A50&lt;'Données projet'!$A$88,$BA$205^A50,IF(A50='Données projet'!$A$88,'Données projet'!$B$88,BD49+BC50-BL49)))</f>
        <v>269.875</v>
      </c>
      <c r="BE50" s="14">
        <f>BD50*VLOOKUP('Données projet'!$B$11,Paramètres!$A$1:$I$89,3,0)*VLOOKUP('Données projet'!$B$11,Paramètres!$A$1:$I$89,5,0)</f>
        <v>310.89599999999996</v>
      </c>
      <c r="BF50" s="14">
        <f t="shared" si="37"/>
        <v>73.455919190566661</v>
      </c>
      <c r="BG50" s="22">
        <f t="shared" si="7"/>
        <v>669.41292592357013</v>
      </c>
      <c r="BH50" s="62">
        <f t="shared" si="8"/>
        <v>922.47416378776552</v>
      </c>
      <c r="BI50" s="62">
        <f ca="1">AVERAGE(OFFSET($BH$3,0,0,'Données projet'!$E$11+1,1))-AVERAGE(OFFSET($H$3,0,0,'Données projet'!$E$11+1,1))</f>
        <v>482.85256243111911</v>
      </c>
      <c r="BJ50" s="62">
        <f t="shared" si="38"/>
        <v>517.78430032567064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37.382390934574708</v>
      </c>
      <c r="BQ50" s="23">
        <f>EXP(-LN(2)/25)*BQ49+(1-EXP(-LN(2)/25))/(LN(2)/25)*Calculateur!BL50*Calculateur!BN50*VLOOKUP('Données projet'!$B$11,Paramètres!$A$1:$I$89,3,0)*0.475*44/12</f>
        <v>11.751273816943863</v>
      </c>
      <c r="BR50" s="23">
        <f>EXP(-LN(2)/2)*BR49+(1-EXP(-LN(2)/2))/(LN(2)/2)*BL50*BO50*VLOOKUP('Données projet'!$B$11,Paramètres!$A$1:$I$89,3,0)*0.475*44/12</f>
        <v>2.2690553724781033</v>
      </c>
      <c r="BS50" s="24">
        <f t="shared" si="9"/>
        <v>51.402720123996673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5.875</v>
      </c>
      <c r="BY50" s="13">
        <f>IF('Données projet'!$A$114&gt;35,BY49+BX50-CG49,IF(A50&lt;'Données projet'!$A$114,$BV$205^A50,IF(A50='Données projet'!$A$114,'Données projet'!$B$114,BY49+BX50-CG49)))</f>
        <v>269.875</v>
      </c>
      <c r="BZ50" s="14">
        <f>BY50*VLOOKUP('Données projet'!$B$12,Paramètres!$A$1:$I$89,3,0)*VLOOKUP('Données projet'!$B$12,Paramètres!$A$1:$I$89,5,0)</f>
        <v>161.38525000000001</v>
      </c>
      <c r="CA50" s="14">
        <f t="shared" si="39"/>
        <v>41.154805478559268</v>
      </c>
      <c r="CB50" s="22">
        <f t="shared" si="10"/>
        <v>352.75726329182407</v>
      </c>
      <c r="CC50" s="62">
        <f t="shared" si="11"/>
        <v>605.81850115601947</v>
      </c>
      <c r="CD50" s="62">
        <f ca="1">AVERAGE(OFFSET($CC$3,0,0,'Données projet'!$E$12+1,1))-AVERAGE(OFFSET($H$3,0,0,'Données projet'!$E$12+1,1))</f>
        <v>275.76900776033335</v>
      </c>
      <c r="CE50" s="62">
        <f t="shared" si="40"/>
        <v>299.36898480605191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35.824791312300754</v>
      </c>
      <c r="CL50" s="23">
        <f>EXP(-LN(2)/25)*CL49+(1-EXP(-LN(2)/25))/(LN(2)/25)*Calculateur!CG50*Calculateur!CI50*VLOOKUP('Données projet'!$B$12,Paramètres!$A$1:$I$89,3,0)*0.475*44/12</f>
        <v>11.261637407904537</v>
      </c>
      <c r="CM50" s="23">
        <f>EXP(-LN(2)/2)*CM49+(1-EXP(-LN(2)/2))/(LN(2)/2)*CG50*CJ50*VLOOKUP('Données projet'!$B$12,Paramètres!$A$1:$I$89,3,0)*0.475*44/12</f>
        <v>2.1745113986248494</v>
      </c>
      <c r="CN50" s="24">
        <f t="shared" si="12"/>
        <v>49.260940118830142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8.3333333333333339</v>
      </c>
      <c r="CT50" s="13">
        <f>IF('Données projet'!$A$140&gt;35,CT49+CS50-DB49,IF(A50&lt;'Données projet'!$A$140,$CQ$205^A50,IF(A50='Données projet'!$A$140,'Données projet'!$B$140,CT49+CS50-DB49)))</f>
        <v>148.66666666666677</v>
      </c>
      <c r="CU50" s="18">
        <f>CT50*VLOOKUP('Données projet'!$B$13,Paramètres!$A$1:$I$89,3,0)*VLOOKUP('Données projet'!$B$13,Paramètres!$A$1:$I$89,5,0)</f>
        <v>162.34400000000011</v>
      </c>
      <c r="CV50" s="14">
        <f t="shared" si="41"/>
        <v>41.37076280640467</v>
      </c>
      <c r="CW50" s="22">
        <f t="shared" si="13"/>
        <v>354.80321188782165</v>
      </c>
      <c r="CX50" s="62">
        <f t="shared" si="14"/>
        <v>607.86444975201698</v>
      </c>
      <c r="CY50" s="62">
        <f ca="1">AVERAGE(OFFSET($CX$3,0,0,'Données projet'!$E$13+1,1))-AVERAGE(OFFSET($H$3,0,0,'Données projet'!$E$13+1,1))</f>
        <v>482.24068797679558</v>
      </c>
      <c r="CZ50" s="62">
        <f t="shared" si="42"/>
        <v>316.28941055521693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13.4</v>
      </c>
      <c r="DO50" s="13">
        <f>IF('Données projet'!$A$166&gt;35,DO49+DN50-DW49,IF(A50&lt;'Données projet'!$A$166,$DL$205^A50,IF(A50='Données projet'!$A$166,'Données projet'!$B$166,DO49+DN50-DW49)))</f>
        <v>280.8</v>
      </c>
      <c r="DP50" s="18">
        <f>DO50*VLOOKUP('Données projet'!$B$14,Paramètres!$A$1:$I$89,3,0)*VLOOKUP('Données projet'!$B$14,Paramètres!$A$1:$I$89,5,0)</f>
        <v>227.78496000000004</v>
      </c>
      <c r="DQ50" s="14">
        <f t="shared" si="43"/>
        <v>55.803468680001743</v>
      </c>
      <c r="DR50" s="22">
        <f t="shared" si="16"/>
        <v>493.91651328433642</v>
      </c>
      <c r="DS50" s="62">
        <f t="shared" si="17"/>
        <v>746.97775114853175</v>
      </c>
      <c r="DT50" s="62">
        <f ca="1">AVERAGE(OFFSET($DS$3,0,0,'Données projet'!$E$14+1,1))-AVERAGE(OFFSET($H$3,0,0,'Données projet'!$E$14+1,1))</f>
        <v>325.58538970226539</v>
      </c>
      <c r="DU50" s="62">
        <f t="shared" si="44"/>
        <v>361.81085660423457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25.470993081401112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25.470993081401112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6.6666666666666643</v>
      </c>
      <c r="EJ50" s="13">
        <f>IF('Données projet'!$A$192&gt;35,EJ49+EI50-ER49,IF(A50&lt;'Données projet'!$A$192,$EG$205^A50,IF(A50='Données projet'!$A$192,'Données projet'!$B$192,EJ49+EI50-ER49)))</f>
        <v>118.93333333333325</v>
      </c>
      <c r="EK50" s="18">
        <f>EJ50*VLOOKUP('Données projet'!$B$15,Paramètres!$A$1:$I$89,3,0)*VLOOKUP('Données projet'!$B$15,Paramètres!$A$1:$I$89,5,0)</f>
        <v>115.03231999999993</v>
      </c>
      <c r="EL50" s="14">
        <f t="shared" si="45"/>
        <v>30.513534026061784</v>
      </c>
      <c r="EM50" s="22">
        <f t="shared" si="19"/>
        <v>253.49236242872414</v>
      </c>
      <c r="EN50" s="62">
        <f t="shared" si="20"/>
        <v>506.55360029291955</v>
      </c>
      <c r="EO50" s="62">
        <f ca="1">AVERAGE(OFFSET($EN$3,0,0,'Données projet'!$E$15+1,1))-AVERAGE(OFFSET($H$3,0,0,'Données projet'!$E$15+1,1))</f>
        <v>364.22267539944085</v>
      </c>
      <c r="EP50" s="62">
        <f t="shared" si="46"/>
        <v>241.947139538615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11.2</v>
      </c>
      <c r="FE50" s="13">
        <f>IF('Données projet'!$A$218&gt;35,FE49+FD50-FM49,IF(A50&lt;'Données projet'!$A$218,$FB$205^A50,IF(A50='Données projet'!$A$218,'Données projet'!$B$218,FE49+FD50-FM49)))</f>
        <v>224.39999999999989</v>
      </c>
      <c r="FF50" s="18">
        <f>FE50*VLOOKUP('Données projet'!$B$16,Paramètres!$A$1:$I$89,3,0)*VLOOKUP('Données projet'!$B$16,Paramètres!$A$1:$I$89,5,0)</f>
        <v>196.03583999999992</v>
      </c>
      <c r="FG50" s="14">
        <f t="shared" si="47"/>
        <v>48.871952855623412</v>
      </c>
      <c r="FH50" s="22">
        <f t="shared" si="22"/>
        <v>426.54773922354394</v>
      </c>
      <c r="FI50" s="62">
        <f t="shared" si="23"/>
        <v>679.60897708773928</v>
      </c>
      <c r="FJ50" s="62">
        <f ca="1">AVERAGE(OFFSET($FI$3,0,0,'Données projet'!$E$16+1,1))-AVERAGE(OFFSET($H$3,0,0,'Données projet'!$E$16+1,1))</f>
        <v>286.59837239471312</v>
      </c>
      <c r="FK50" s="62">
        <f t="shared" si="48"/>
        <v>319.26091328564689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27.229428193308863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27.229428193308863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13.4</v>
      </c>
      <c r="FZ50" s="13">
        <f>IF('Données projet'!$A$244&gt;35,FZ49+FY50-GH49,IF(A50&lt;'Données projet'!$A$244,$FW$205^A50,IF(A50='Données projet'!$A$244,'Données projet'!$B$244,FZ49+FY50-GH49)))</f>
        <v>280.8</v>
      </c>
      <c r="GA50" s="18">
        <f>FZ50*VLOOKUP('Données projet'!$B$17,Paramètres!$A$1:$I$89,3,0)*VLOOKUP('Données projet'!$B$17,Paramètres!$A$1:$I$89,5,0)</f>
        <v>188.36064000000002</v>
      </c>
      <c r="GB50" s="14">
        <f t="shared" si="49"/>
        <v>47.177331040995796</v>
      </c>
      <c r="GC50" s="22">
        <f t="shared" si="25"/>
        <v>410.228632896401</v>
      </c>
      <c r="GD50" s="62">
        <f t="shared" si="26"/>
        <v>663.28987076059639</v>
      </c>
      <c r="GE50" s="62">
        <f ca="1">AVERAGE(OFFSET($GD$3,0,0,'Données projet'!$E$17+1,1))-AVERAGE(OFFSET($H$3,0,0,'Données projet'!$E$17+1,1))</f>
        <v>277.37570531842186</v>
      </c>
      <c r="GF50" s="62">
        <f t="shared" si="50"/>
        <v>310.00874200911312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projet'!$B$17,Paramètres!$A$1:$I$89,3,0)*0.475*44/12</f>
        <v>25.960819871428058</v>
      </c>
      <c r="GM50" s="23">
        <f>EXP(-LN(2)/25)*GM49+(1-EXP(-LN(2)/25))/(LN(2)/25)*Calculateur!GH50*Calculateur!GJ50*VLOOKUP('Données projet'!$B$17,Paramètres!$A$1:$I$89,3,0)*0.475*44/12</f>
        <v>0</v>
      </c>
      <c r="GN50" s="23">
        <f>EXP(-LN(2)/2)*GN49+(1-EXP(-LN(2)/2))/(LN(2)/2)*GH50*GK50*VLOOKUP('Données projet'!$B$17,Paramètres!$A$1:$I$89,3,0)*0.475*44/12</f>
        <v>0</v>
      </c>
      <c r="GO50" s="23">
        <f t="shared" si="27"/>
        <v>25.960819871428058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>
        <f>VLOOKUP(A51,'Données projet'!$A$35:$I$55,2,0)</f>
        <v>157</v>
      </c>
      <c r="L51" s="13">
        <f>VLOOKUP(A51,'Données projet'!$A$35:$I$55,9,0)</f>
        <v>8.3333333333333339</v>
      </c>
      <c r="M51" s="13">
        <f t="array" ref="M51">INDEX(L:L,MIN(IF(ISNUMBER(L51:L247),ROW(L51:L247),"")))</f>
        <v>8.3333333333333339</v>
      </c>
      <c r="N51" s="14">
        <f>IF('Données projet'!$A$36&gt;35,N50+M51-V50,IF(A51&lt;'Données projet'!$A$36,$K$205^A51,IF(A51='Données projet'!$A$36,'Données projet'!$B$36,N50+M51-V50)))</f>
        <v>157.00000000000011</v>
      </c>
      <c r="O51" s="14">
        <f>N51*VLOOKUP('Données projet'!$B$9,Paramètres!$A$1:$I$89,3,0)*VLOOKUP('Données projet'!$B$9,Paramètres!$A$1:$I$89,5,0)</f>
        <v>137.15520000000012</v>
      </c>
      <c r="P51" s="14">
        <f t="shared" si="33"/>
        <v>35.644525151069722</v>
      </c>
      <c r="Q51" s="22">
        <f t="shared" si="53"/>
        <v>300.95952130478003</v>
      </c>
      <c r="R51" s="62">
        <f t="shared" si="0"/>
        <v>554.71938999044778</v>
      </c>
      <c r="S51" s="62">
        <f ca="1">AVERAGE(OFFSET($R$3,0,0,'Données projet'!$E$9+1,1))-AVERAGE(OFFSET($H$3,0,0,'Données projet'!$E$9+1,1))</f>
        <v>401.34220206028908</v>
      </c>
      <c r="T51" s="62">
        <f t="shared" si="34"/>
        <v>265.33314259106987</v>
      </c>
      <c r="U51" s="16">
        <f>IF(ISNA(VLOOKUP(A51,'Données projet'!$A$35:$I$55,3,0)),0,VLOOKUP(A51,'Données projet'!$A$35:$I$55,3,0))</f>
        <v>3</v>
      </c>
      <c r="V51" s="16">
        <f>IF(ISNA(VLOOKUP(A51,'Données projet'!$A$35:$I$55,4,0)),0,VLOOKUP(A51,'Données projet'!$A$35:$I$55,4,0))</f>
        <v>41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6.9</v>
      </c>
      <c r="AI51" s="14">
        <f>IF('Données projet'!$A$62&gt;35,AI50+AH51-AQ50,IF(A51&lt;'Données projet'!$A$62,$AF$205^A51,IF(A51='Données projet'!$A$62,'Données projet'!$B$62,AI50+AH51-AQ50)))</f>
        <v>212.20000000000005</v>
      </c>
      <c r="AJ51" s="14">
        <f>AI51*VLOOKUP('Données projet'!$B$10,Paramètres!$A$1:$I$89,3,0)*VLOOKUP('Données projet'!$B$10,Paramètres!$A$1:$I$89,5,0)</f>
        <v>99.309600000000017</v>
      </c>
      <c r="AK51" s="14">
        <f t="shared" si="35"/>
        <v>26.797453008835507</v>
      </c>
      <c r="AL51" s="22">
        <f t="shared" si="4"/>
        <v>219.63645065705521</v>
      </c>
      <c r="AM51" s="62">
        <f t="shared" si="5"/>
        <v>473.3963193427229</v>
      </c>
      <c r="AN51" s="62">
        <f ca="1">AVERAGE(OFFSET($AM$3,0,0,'Données projet'!$E$10+1,1))-AVERAGE(OFFSET($H$3,0,0,'Données projet'!$E$10+1,1))</f>
        <v>253.48761861464732</v>
      </c>
      <c r="AO51" s="62">
        <f t="shared" si="36"/>
        <v>219.50855998133855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13.143737703007529</v>
      </c>
      <c r="AV51" s="23">
        <f>EXP(-LN(2)/25)*AV50+(1-EXP(-LN(2)/25))/(LN(2)/25)*Calculateur!AQ51*Calculateur!AS51*VLOOKUP('Données projet'!$B$10,Paramètres!$A$1:$I$89,3,0)*0.475*44/12</f>
        <v>4.9100466105825369</v>
      </c>
      <c r="AW51" s="23">
        <f>EXP(-LN(2)/2)*AW50+(1-EXP(-LN(2)/2))/(LN(2)/2)*AQ51*AT51*VLOOKUP('Données projet'!$B$10,Paramètres!$A$1:$I$89,3,0)*0.475*44/12</f>
        <v>0.17240528836825586</v>
      </c>
      <c r="AX51" s="23">
        <f t="shared" si="6"/>
        <v>18.226189601958321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5.875</v>
      </c>
      <c r="BD51" s="13">
        <f>IF('Données projet'!$A$88&gt;35,BD50+BC51-BL50,IF(A51&lt;'Données projet'!$A$88,$BA$205^A51,IF(A51='Données projet'!$A$88,'Données projet'!$B$88,BD50+BC51-BL50)))</f>
        <v>275.75</v>
      </c>
      <c r="BE51" s="14">
        <f>BD51*VLOOKUP('Données projet'!$B$11,Paramètres!$A$1:$I$89,3,0)*VLOOKUP('Données projet'!$B$11,Paramètres!$A$1:$I$89,5,0)</f>
        <v>317.66399999999993</v>
      </c>
      <c r="BF51" s="14">
        <f t="shared" si="37"/>
        <v>74.8670963663061</v>
      </c>
      <c r="BG51" s="22">
        <f t="shared" si="7"/>
        <v>683.65832617131628</v>
      </c>
      <c r="BH51" s="62">
        <f t="shared" si="8"/>
        <v>937.41819485698397</v>
      </c>
      <c r="BI51" s="62">
        <f ca="1">AVERAGE(OFFSET($BH$3,0,0,'Données projet'!$E$11+1,1))-AVERAGE(OFFSET($H$3,0,0,'Données projet'!$E$11+1,1))</f>
        <v>482.85256243111911</v>
      </c>
      <c r="BJ51" s="62">
        <f t="shared" si="38"/>
        <v>517.78430032567064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36.649345049354757</v>
      </c>
      <c r="BQ51" s="23">
        <f>EXP(-LN(2)/25)*BQ50+(1-EXP(-LN(2)/25))/(LN(2)/25)*Calculateur!BL51*Calculateur!BN51*VLOOKUP('Données projet'!$B$11,Paramètres!$A$1:$I$89,3,0)*0.475*44/12</f>
        <v>11.429934616446902</v>
      </c>
      <c r="BR51" s="23">
        <f>EXP(-LN(2)/2)*BR50+(1-EXP(-LN(2)/2))/(LN(2)/2)*BL51*BO51*VLOOKUP('Données projet'!$B$11,Paramètres!$A$1:$I$89,3,0)*0.475*44/12</f>
        <v>1.6044644407670343</v>
      </c>
      <c r="BS51" s="24">
        <f t="shared" si="9"/>
        <v>49.683744106568689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5.875</v>
      </c>
      <c r="BY51" s="13">
        <f>IF('Données projet'!$A$114&gt;35,BY50+BX51-CG50,IF(A51&lt;'Données projet'!$A$114,$BV$205^A51,IF(A51='Données projet'!$A$114,'Données projet'!$B$114,BY50+BX51-CG50)))</f>
        <v>275.75</v>
      </c>
      <c r="BZ51" s="14">
        <f>BY51*VLOOKUP('Données projet'!$B$12,Paramètres!$A$1:$I$89,3,0)*VLOOKUP('Données projet'!$B$12,Paramètres!$A$1:$I$89,5,0)</f>
        <v>164.89850000000001</v>
      </c>
      <c r="CA51" s="14">
        <f t="shared" si="39"/>
        <v>41.94543913753872</v>
      </c>
      <c r="CB51" s="22">
        <f t="shared" si="10"/>
        <v>360.25319399788003</v>
      </c>
      <c r="CC51" s="62">
        <f t="shared" si="11"/>
        <v>614.01306268354779</v>
      </c>
      <c r="CD51" s="62">
        <f ca="1">AVERAGE(OFFSET($CC$3,0,0,'Données projet'!$E$12+1,1))-AVERAGE(OFFSET($H$3,0,0,'Données projet'!$E$12+1,1))</f>
        <v>275.76900776033335</v>
      </c>
      <c r="CE51" s="62">
        <f t="shared" si="40"/>
        <v>299.36898480605191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35.122289005631636</v>
      </c>
      <c r="CL51" s="23">
        <f>EXP(-LN(2)/25)*CL50+(1-EXP(-LN(2)/25))/(LN(2)/25)*Calculateur!CG51*Calculateur!CI51*VLOOKUP('Données projet'!$B$12,Paramètres!$A$1:$I$89,3,0)*0.475*44/12</f>
        <v>10.953687340761615</v>
      </c>
      <c r="CM51" s="23">
        <f>EXP(-LN(2)/2)*CM50+(1-EXP(-LN(2)/2))/(LN(2)/2)*CG51*CJ51*VLOOKUP('Données projet'!$B$12,Paramètres!$A$1:$I$89,3,0)*0.475*44/12</f>
        <v>1.537611755735075</v>
      </c>
      <c r="CN51" s="24">
        <f t="shared" si="12"/>
        <v>47.613588102128325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>
        <f>VLOOKUP(A51,'Données projet'!$A$139:$I$159,2,0)</f>
        <v>157</v>
      </c>
      <c r="CR51" s="13">
        <f>VLOOKUP(A51,'Données projet'!$A$139:$I$159,9,0)</f>
        <v>8.3333333333333339</v>
      </c>
      <c r="CS51" s="13">
        <f t="array" ref="CS51">INDEX(CR:CR,MIN(IF(ISNUMBER(CR51:CR247),ROW(CR51:CR247),"")))</f>
        <v>8.3333333333333339</v>
      </c>
      <c r="CT51" s="13">
        <f>IF('Données projet'!$A$140&gt;35,CT50+CS51-DB50,IF(A51&lt;'Données projet'!$A$140,$CQ$205^A51,IF(A51='Données projet'!$A$140,'Données projet'!$B$140,CT50+CS51-DB50)))</f>
        <v>157.00000000000011</v>
      </c>
      <c r="CU51" s="18">
        <f>CT51*VLOOKUP('Données projet'!$B$13,Paramètres!$A$1:$I$89,3,0)*VLOOKUP('Données projet'!$B$13,Paramètres!$A$1:$I$89,5,0)</f>
        <v>171.44400000000013</v>
      </c>
      <c r="CV51" s="14">
        <f t="shared" si="41"/>
        <v>43.413272173627284</v>
      </c>
      <c r="CW51" s="22">
        <f t="shared" si="13"/>
        <v>374.20974903573443</v>
      </c>
      <c r="CX51" s="62">
        <f t="shared" si="14"/>
        <v>627.96961772140207</v>
      </c>
      <c r="CY51" s="62">
        <f ca="1">AVERAGE(OFFSET($CX$3,0,0,'Données projet'!$E$13+1,1))-AVERAGE(OFFSET($H$3,0,0,'Données projet'!$E$13+1,1))</f>
        <v>482.24068797679558</v>
      </c>
      <c r="CZ51" s="62">
        <f t="shared" si="42"/>
        <v>316.28941055521693</v>
      </c>
      <c r="DA51" s="16">
        <f>IF(ISNA(VLOOKUP(A51,'Données projet'!$A$139:$I$159,3,0)),0,VLOOKUP(A51,'Données projet'!$A$139:$I$159,3,0))</f>
        <v>3</v>
      </c>
      <c r="DB51" s="16">
        <f>IF(ISNA(VLOOKUP(A51,'Données projet'!$A$139:$I$159,4,0)),0,VLOOKUP(A51,'Données projet'!$A$139:$I$159,4,0))</f>
        <v>41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13.4</v>
      </c>
      <c r="DO51" s="13">
        <f>IF('Données projet'!$A$166&gt;35,DO50+DN51-DW50,IF(A51&lt;'Données projet'!$A$166,$DL$205^A51,IF(A51='Données projet'!$A$166,'Données projet'!$B$166,DO50+DN51-DW50)))</f>
        <v>294.2</v>
      </c>
      <c r="DP51" s="18">
        <f>DO51*VLOOKUP('Données projet'!$B$14,Paramètres!$A$1:$I$89,3,0)*VLOOKUP('Données projet'!$B$14,Paramètres!$A$1:$I$89,5,0)</f>
        <v>238.65504000000001</v>
      </c>
      <c r="DQ51" s="14">
        <f t="shared" si="43"/>
        <v>58.150061208610019</v>
      </c>
      <c r="DR51" s="22">
        <f t="shared" si="16"/>
        <v>516.93555127166246</v>
      </c>
      <c r="DS51" s="62">
        <f t="shared" si="17"/>
        <v>770.69541995733016</v>
      </c>
      <c r="DT51" s="62">
        <f ca="1">AVERAGE(OFFSET($DS$3,0,0,'Données projet'!$E$14+1,1))-AVERAGE(OFFSET($H$3,0,0,'Données projet'!$E$14+1,1))</f>
        <v>325.58538970226539</v>
      </c>
      <c r="DU51" s="62">
        <f t="shared" si="44"/>
        <v>361.81085660423457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24.971522442846585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24.971522442846585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>
        <f>VLOOKUP(A51,'Données projet'!$A$191:$I$211,2,0)</f>
        <v>125.6</v>
      </c>
      <c r="EH51" s="13">
        <f>VLOOKUP(A51,'Données projet'!$A$191:$I$211,9,0)</f>
        <v>6.6666666666666643</v>
      </c>
      <c r="EI51" s="13">
        <f t="array" ref="EI51">INDEX(EH:EH,MIN(IF(ISNUMBER(EH51:EH247),ROW(EH51:EH247),"")))</f>
        <v>6.6666666666666643</v>
      </c>
      <c r="EJ51" s="13">
        <f>IF('Données projet'!$A$192&gt;35,EJ50+EI51-ER50,IF(A51&lt;'Données projet'!$A$192,$EG$205^A51,IF(A51='Données projet'!$A$192,'Données projet'!$B$192,EJ50+EI51-ER50)))</f>
        <v>125.59999999999991</v>
      </c>
      <c r="EK51" s="18">
        <f>EJ51*VLOOKUP('Données projet'!$B$15,Paramètres!$A$1:$I$89,3,0)*VLOOKUP('Données projet'!$B$15,Paramètres!$A$1:$I$89,5,0)</f>
        <v>121.48031999999992</v>
      </c>
      <c r="EL51" s="14">
        <f t="shared" si="45"/>
        <v>32.020012873622399</v>
      </c>
      <c r="EM51" s="22">
        <f t="shared" si="19"/>
        <v>267.34641308822552</v>
      </c>
      <c r="EN51" s="62">
        <f t="shared" si="20"/>
        <v>521.10628177389322</v>
      </c>
      <c r="EO51" s="62">
        <f ca="1">AVERAGE(OFFSET($EN$3,0,0,'Données projet'!$E$15+1,1))-AVERAGE(OFFSET($H$3,0,0,'Données projet'!$E$15+1,1))</f>
        <v>364.22267539944085</v>
      </c>
      <c r="EP51" s="62">
        <f t="shared" si="46"/>
        <v>241.947139538615</v>
      </c>
      <c r="EQ51" s="16">
        <f>IF(ISNA(VLOOKUP(A51,'Données projet'!$A$191:$I$211,3,0)),0,VLOOKUP(A51,'Données projet'!$A$191:$I$211,3,0))</f>
        <v>3</v>
      </c>
      <c r="ER51" s="16">
        <f>IF(ISNA(VLOOKUP(A51,'Données projet'!$A$191:$I$211,4,0)),0,VLOOKUP(A51,'Données projet'!$A$191:$I$211,4,0))</f>
        <v>32.799999999999997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11.2</v>
      </c>
      <c r="FE51" s="13">
        <f>IF('Données projet'!$A$218&gt;35,FE50+FD51-FM50,IF(A51&lt;'Données projet'!$A$218,$FB$205^A51,IF(A51='Données projet'!$A$218,'Données projet'!$B$218,FE50+FD51-FM50)))</f>
        <v>235.59999999999988</v>
      </c>
      <c r="FF51" s="18">
        <f>FE51*VLOOKUP('Données projet'!$B$16,Paramètres!$A$1:$I$89,3,0)*VLOOKUP('Données projet'!$B$16,Paramètres!$A$1:$I$89,5,0)</f>
        <v>205.82015999999993</v>
      </c>
      <c r="FG51" s="14">
        <f t="shared" si="47"/>
        <v>51.0211194797537</v>
      </c>
      <c r="FH51" s="22">
        <f t="shared" si="22"/>
        <v>447.33189509390417</v>
      </c>
      <c r="FI51" s="62">
        <f t="shared" si="23"/>
        <v>701.09176377957192</v>
      </c>
      <c r="FJ51" s="62">
        <f ca="1">AVERAGE(OFFSET($FI$3,0,0,'Données projet'!$E$16+1,1))-AVERAGE(OFFSET($H$3,0,0,'Données projet'!$E$16+1,1))</f>
        <v>286.59837239471312</v>
      </c>
      <c r="FK51" s="62">
        <f t="shared" si="48"/>
        <v>319.26091328564689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26.695475714749339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26.695475714749339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13.4</v>
      </c>
      <c r="FZ51" s="13">
        <f>IF('Données projet'!$A$244&gt;35,FZ50+FY51-GH50,IF(A51&lt;'Données projet'!$A$244,$FW$205^A51,IF(A51='Données projet'!$A$244,'Données projet'!$B$244,FZ50+FY51-GH50)))</f>
        <v>294.2</v>
      </c>
      <c r="GA51" s="18">
        <f>FZ51*VLOOKUP('Données projet'!$B$17,Paramètres!$A$1:$I$89,3,0)*VLOOKUP('Données projet'!$B$17,Paramètres!$A$1:$I$89,5,0)</f>
        <v>197.34936000000002</v>
      </c>
      <c r="GB51" s="14">
        <f t="shared" si="49"/>
        <v>49.161185721702296</v>
      </c>
      <c r="GC51" s="22">
        <f t="shared" si="25"/>
        <v>429.33920046529823</v>
      </c>
      <c r="GD51" s="62">
        <f t="shared" si="26"/>
        <v>683.09906915096599</v>
      </c>
      <c r="GE51" s="62">
        <f ca="1">AVERAGE(OFFSET($GD$3,0,0,'Données projet'!$E$17+1,1))-AVERAGE(OFFSET($H$3,0,0,'Données projet'!$E$17+1,1))</f>
        <v>277.37570531842186</v>
      </c>
      <c r="GF51" s="62">
        <f t="shared" si="50"/>
        <v>310.00874200911312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projet'!$B$17,Paramètres!$A$1:$I$89,3,0)*0.475*44/12</f>
        <v>25.451744028285944</v>
      </c>
      <c r="GM51" s="23">
        <f>EXP(-LN(2)/25)*GM50+(1-EXP(-LN(2)/25))/(LN(2)/25)*Calculateur!GH51*Calculateur!GJ51*VLOOKUP('Données projet'!$B$17,Paramètres!$A$1:$I$89,3,0)*0.475*44/12</f>
        <v>0</v>
      </c>
      <c r="GN51" s="23">
        <f>EXP(-LN(2)/2)*GN50+(1-EXP(-LN(2)/2))/(LN(2)/2)*GH51*GK51*VLOOKUP('Données projet'!$B$17,Paramètres!$A$1:$I$89,3,0)*0.475*44/12</f>
        <v>0</v>
      </c>
      <c r="GO51" s="23">
        <f t="shared" si="27"/>
        <v>25.451744028285944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7.833333333333333</v>
      </c>
      <c r="N52" s="14">
        <f>IF('Données projet'!$A$36&gt;35,N51+M52-V51,IF(A52&lt;'Données projet'!$A$36,$K$205^A52,IF(A52='Données projet'!$A$36,'Données projet'!$B$36,N51+M52-V51)))</f>
        <v>123.83333333333346</v>
      </c>
      <c r="O52" s="14">
        <f>N52*VLOOKUP('Données projet'!$B$9,Paramètres!$A$1:$I$89,3,0)*VLOOKUP('Données projet'!$B$9,Paramètres!$A$1:$I$89,5,0)</f>
        <v>108.18080000000013</v>
      </c>
      <c r="P52" s="14">
        <f t="shared" si="33"/>
        <v>28.901951747795152</v>
      </c>
      <c r="Q52" s="22">
        <f t="shared" si="53"/>
        <v>238.75245929407674</v>
      </c>
      <c r="R52" s="62">
        <f t="shared" si="0"/>
        <v>493.19883911836871</v>
      </c>
      <c r="S52" s="62">
        <f ca="1">AVERAGE(OFFSET($R$3,0,0,'Données projet'!$E$9+1,1))-AVERAGE(OFFSET($H$3,0,0,'Données projet'!$E$9+1,1))</f>
        <v>401.34220206028908</v>
      </c>
      <c r="T52" s="62">
        <f t="shared" si="34"/>
        <v>265.33314259106987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6.9</v>
      </c>
      <c r="AI52" s="14">
        <f>IF('Données projet'!$A$62&gt;35,AI51+AH52-AQ51,IF(A52&lt;'Données projet'!$A$62,$AF$205^A52,IF(A52='Données projet'!$A$62,'Données projet'!$B$62,AI51+AH52-AQ51)))</f>
        <v>219.10000000000005</v>
      </c>
      <c r="AJ52" s="14">
        <f>AI52*VLOOKUP('Données projet'!$B$10,Paramètres!$A$1:$I$89,3,0)*VLOOKUP('Données projet'!$B$10,Paramètres!$A$1:$I$89,5,0)</f>
        <v>102.53880000000002</v>
      </c>
      <c r="AK52" s="14">
        <f t="shared" si="35"/>
        <v>27.565946279127903</v>
      </c>
      <c r="AL52" s="22">
        <f t="shared" si="4"/>
        <v>226.59909976948117</v>
      </c>
      <c r="AM52" s="62">
        <f t="shared" si="5"/>
        <v>481.04547959377317</v>
      </c>
      <c r="AN52" s="62">
        <f ca="1">AVERAGE(OFFSET($AM$3,0,0,'Données projet'!$E$10+1,1))-AVERAGE(OFFSET($H$3,0,0,'Données projet'!$E$10+1,1))</f>
        <v>253.48761861464732</v>
      </c>
      <c r="AO52" s="62">
        <f t="shared" si="36"/>
        <v>219.50855998133855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12.885997023539948</v>
      </c>
      <c r="AV52" s="23">
        <f>EXP(-LN(2)/25)*AV51+(1-EXP(-LN(2)/25))/(LN(2)/25)*Calculateur!AQ52*Calculateur!AS52*VLOOKUP('Données projet'!$B$10,Paramètres!$A$1:$I$89,3,0)*0.475*44/12</f>
        <v>4.7757811278080284</v>
      </c>
      <c r="AW52" s="23">
        <f>EXP(-LN(2)/2)*AW51+(1-EXP(-LN(2)/2))/(LN(2)/2)*AQ52*AT52*VLOOKUP('Données projet'!$B$10,Paramètres!$A$1:$I$89,3,0)*0.475*44/12</f>
        <v>0.12190894851761593</v>
      </c>
      <c r="AX52" s="23">
        <f t="shared" si="6"/>
        <v>17.783687099865595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5.875</v>
      </c>
      <c r="BD52" s="13">
        <f>IF('Données projet'!$A$88&gt;35,BD51+BC52-BL51,IF(A52&lt;'Données projet'!$A$88,$BA$205^A52,IF(A52='Données projet'!$A$88,'Données projet'!$B$88,BD51+BC52-BL51)))</f>
        <v>281.625</v>
      </c>
      <c r="BE52" s="14">
        <f>BD52*VLOOKUP('Données projet'!$B$11,Paramètres!$A$1:$I$89,3,0)*VLOOKUP('Données projet'!$B$11,Paramètres!$A$1:$I$89,5,0)</f>
        <v>324.43200000000002</v>
      </c>
      <c r="BF52" s="14">
        <f t="shared" si="37"/>
        <v>76.274777930232375</v>
      </c>
      <c r="BG52" s="22">
        <f t="shared" si="7"/>
        <v>697.89763822848818</v>
      </c>
      <c r="BH52" s="62">
        <f t="shared" si="8"/>
        <v>952.34401805278014</v>
      </c>
      <c r="BI52" s="62">
        <f ca="1">AVERAGE(OFFSET($BH$3,0,0,'Données projet'!$E$11+1,1))-AVERAGE(OFFSET($H$3,0,0,'Données projet'!$E$11+1,1))</f>
        <v>482.85256243111911</v>
      </c>
      <c r="BJ52" s="62">
        <f t="shared" si="38"/>
        <v>517.78430032567064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35.930673746830124</v>
      </c>
      <c r="BQ52" s="23">
        <f>EXP(-LN(2)/25)*BQ51+(1-EXP(-LN(2)/25))/(LN(2)/25)*Calculateur!BL52*Calculateur!BN52*VLOOKUP('Données projet'!$B$11,Paramètres!$A$1:$I$89,3,0)*0.475*44/12</f>
        <v>11.117382453286023</v>
      </c>
      <c r="BR52" s="23">
        <f>EXP(-LN(2)/2)*BR51+(1-EXP(-LN(2)/2))/(LN(2)/2)*BL52*BO52*VLOOKUP('Données projet'!$B$11,Paramètres!$A$1:$I$89,3,0)*0.475*44/12</f>
        <v>1.1345276862390516</v>
      </c>
      <c r="BS52" s="24">
        <f t="shared" si="9"/>
        <v>48.182583886355204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5.875</v>
      </c>
      <c r="BY52" s="13">
        <f>IF('Données projet'!$A$114&gt;35,BY51+BX52-CG51,IF(A52&lt;'Données projet'!$A$114,$BV$205^A52,IF(A52='Données projet'!$A$114,'Données projet'!$B$114,BY51+BX52-CG51)))</f>
        <v>281.625</v>
      </c>
      <c r="BZ52" s="14">
        <f>BY52*VLOOKUP('Données projet'!$B$12,Paramètres!$A$1:$I$89,3,0)*VLOOKUP('Données projet'!$B$12,Paramètres!$A$1:$I$89,5,0)</f>
        <v>168.41175000000001</v>
      </c>
      <c r="CA52" s="14">
        <f t="shared" si="39"/>
        <v>42.73411432638013</v>
      </c>
      <c r="CB52" s="22">
        <f t="shared" si="10"/>
        <v>367.74571370177881</v>
      </c>
      <c r="CC52" s="62">
        <f t="shared" si="11"/>
        <v>622.19209352607072</v>
      </c>
      <c r="CD52" s="62">
        <f ca="1">AVERAGE(OFFSET($CC$3,0,0,'Données projet'!$E$12+1,1))-AVERAGE(OFFSET($H$3,0,0,'Données projet'!$E$12+1,1))</f>
        <v>275.76900776033335</v>
      </c>
      <c r="CE52" s="62">
        <f t="shared" si="40"/>
        <v>299.36898480605191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34.4335623407122</v>
      </c>
      <c r="CL52" s="23">
        <f>EXP(-LN(2)/25)*CL51+(1-EXP(-LN(2)/25))/(LN(2)/25)*Calculateur!CG52*Calculateur!CI52*VLOOKUP('Données projet'!$B$12,Paramètres!$A$1:$I$89,3,0)*0.475*44/12</f>
        <v>10.654158184399106</v>
      </c>
      <c r="CM52" s="23">
        <f>EXP(-LN(2)/2)*CM51+(1-EXP(-LN(2)/2))/(LN(2)/2)*CG52*CJ52*VLOOKUP('Données projet'!$B$12,Paramètres!$A$1:$I$89,3,0)*0.475*44/12</f>
        <v>1.0872556993124249</v>
      </c>
      <c r="CN52" s="24">
        <f t="shared" si="12"/>
        <v>46.17497622442373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7.833333333333333</v>
      </c>
      <c r="CT52" s="13">
        <f>IF('Données projet'!$A$140&gt;35,CT51+CS52-DB51,IF(A52&lt;'Données projet'!$A$140,$CQ$205^A52,IF(A52='Données projet'!$A$140,'Données projet'!$B$140,CT51+CS52-DB51)))</f>
        <v>123.83333333333346</v>
      </c>
      <c r="CU52" s="18">
        <f>CT52*VLOOKUP('Données projet'!$B$13,Paramètres!$A$1:$I$89,3,0)*VLOOKUP('Données projet'!$B$13,Paramètres!$A$1:$I$89,5,0)</f>
        <v>135.22600000000011</v>
      </c>
      <c r="CV52" s="14">
        <f t="shared" si="41"/>
        <v>35.201150590679653</v>
      </c>
      <c r="CW52" s="22">
        <f t="shared" si="13"/>
        <v>296.82728727876724</v>
      </c>
      <c r="CX52" s="62">
        <f t="shared" si="14"/>
        <v>551.27366710305921</v>
      </c>
      <c r="CY52" s="62">
        <f ca="1">AVERAGE(OFFSET($CX$3,0,0,'Données projet'!$E$13+1,1))-AVERAGE(OFFSET($H$3,0,0,'Données projet'!$E$13+1,1))</f>
        <v>482.24068797679558</v>
      </c>
      <c r="CZ52" s="62">
        <f t="shared" si="42"/>
        <v>316.28941055521693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13.4</v>
      </c>
      <c r="DO52" s="13">
        <f>IF('Données projet'!$A$166&gt;35,DO51+DN52-DW51,IF(A52&lt;'Données projet'!$A$166,$DL$205^A52,IF(A52='Données projet'!$A$166,'Données projet'!$B$166,DO51+DN52-DW51)))</f>
        <v>307.59999999999997</v>
      </c>
      <c r="DP52" s="18">
        <f>DO52*VLOOKUP('Données projet'!$B$14,Paramètres!$A$1:$I$89,3,0)*VLOOKUP('Données projet'!$B$14,Paramètres!$A$1:$I$89,5,0)</f>
        <v>249.52512000000002</v>
      </c>
      <c r="DQ52" s="14">
        <f t="shared" si="43"/>
        <v>60.484241197780527</v>
      </c>
      <c r="DR52" s="22">
        <f t="shared" si="16"/>
        <v>539.93297075280111</v>
      </c>
      <c r="DS52" s="62">
        <f t="shared" si="17"/>
        <v>794.37935057709308</v>
      </c>
      <c r="DT52" s="62">
        <f ca="1">AVERAGE(OFFSET($DS$3,0,0,'Données projet'!$E$14+1,1))-AVERAGE(OFFSET($H$3,0,0,'Données projet'!$E$14+1,1))</f>
        <v>325.58538970226539</v>
      </c>
      <c r="DU52" s="62">
        <f t="shared" si="44"/>
        <v>361.81085660423457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24.481846118867104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24.481846118867104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6.2666666666666684</v>
      </c>
      <c r="EJ52" s="13">
        <f>IF('Données projet'!$A$192&gt;35,EJ51+EI52-ER51,IF(A52&lt;'Données projet'!$A$192,$EG$205^A52,IF(A52='Données projet'!$A$192,'Données projet'!$B$192,EJ51+EI52-ER51)))</f>
        <v>99.066666666666592</v>
      </c>
      <c r="EK52" s="18">
        <f>EJ52*VLOOKUP('Données projet'!$B$15,Paramètres!$A$1:$I$89,3,0)*VLOOKUP('Données projet'!$B$15,Paramètres!$A$1:$I$89,5,0)</f>
        <v>95.817279999999926</v>
      </c>
      <c r="EL52" s="14">
        <f t="shared" si="45"/>
        <v>25.963057808035959</v>
      </c>
      <c r="EM52" s="22">
        <f t="shared" si="19"/>
        <v>212.10075501566249</v>
      </c>
      <c r="EN52" s="62">
        <f t="shared" si="20"/>
        <v>466.54713483995442</v>
      </c>
      <c r="EO52" s="62">
        <f ca="1">AVERAGE(OFFSET($EN$3,0,0,'Données projet'!$E$15+1,1))-AVERAGE(OFFSET($H$3,0,0,'Données projet'!$E$15+1,1))</f>
        <v>364.22267539944085</v>
      </c>
      <c r="EP52" s="62">
        <f t="shared" si="46"/>
        <v>241.947139538615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11.2</v>
      </c>
      <c r="FE52" s="13">
        <f>IF('Données projet'!$A$218&gt;35,FE51+FD52-FM51,IF(A52&lt;'Données projet'!$A$218,$FB$205^A52,IF(A52='Données projet'!$A$218,'Données projet'!$B$218,FE51+FD52-FM51)))</f>
        <v>246.79999999999987</v>
      </c>
      <c r="FF52" s="18">
        <f>FE52*VLOOKUP('Données projet'!$B$16,Paramètres!$A$1:$I$89,3,0)*VLOOKUP('Données projet'!$B$16,Paramètres!$A$1:$I$89,5,0)</f>
        <v>215.60447999999991</v>
      </c>
      <c r="FG52" s="14">
        <f t="shared" si="47"/>
        <v>53.158421929211897</v>
      </c>
      <c r="FH52" s="22">
        <f t="shared" si="22"/>
        <v>468.09538752671051</v>
      </c>
      <c r="FI52" s="62">
        <f t="shared" si="23"/>
        <v>722.54176735100248</v>
      </c>
      <c r="FJ52" s="62">
        <f ca="1">AVERAGE(OFFSET($FI$3,0,0,'Données projet'!$E$16+1,1))-AVERAGE(OFFSET($H$3,0,0,'Données projet'!$E$16+1,1))</f>
        <v>286.59837239471312</v>
      </c>
      <c r="FK52" s="62">
        <f t="shared" si="48"/>
        <v>319.26091328564689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26.171993718615514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26.171993718615514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13.4</v>
      </c>
      <c r="FZ52" s="13">
        <f>IF('Données projet'!$A$244&gt;35,FZ51+FY52-GH51,IF(A52&lt;'Données projet'!$A$244,$FW$205^A52,IF(A52='Données projet'!$A$244,'Données projet'!$B$244,FZ51+FY52-GH51)))</f>
        <v>307.59999999999997</v>
      </c>
      <c r="GA52" s="18">
        <f>FZ52*VLOOKUP('Données projet'!$B$17,Paramètres!$A$1:$I$89,3,0)*VLOOKUP('Données projet'!$B$17,Paramètres!$A$1:$I$89,5,0)</f>
        <v>206.33807999999996</v>
      </c>
      <c r="GB52" s="14">
        <f t="shared" si="49"/>
        <v>51.134546601647536</v>
      </c>
      <c r="GC52" s="22">
        <f t="shared" si="25"/>
        <v>448.43149133120272</v>
      </c>
      <c r="GD52" s="62">
        <f t="shared" si="26"/>
        <v>702.87787115549463</v>
      </c>
      <c r="GE52" s="62">
        <f ca="1">AVERAGE(OFFSET($GD$3,0,0,'Données projet'!$E$17+1,1))-AVERAGE(OFFSET($H$3,0,0,'Données projet'!$E$17+1,1))</f>
        <v>277.37570531842186</v>
      </c>
      <c r="GF52" s="62">
        <f t="shared" si="50"/>
        <v>310.00874200911312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projet'!$B$17,Paramètres!$A$1:$I$89,3,0)*0.475*44/12</f>
        <v>24.952650851922243</v>
      </c>
      <c r="GM52" s="23">
        <f>EXP(-LN(2)/25)*GM51+(1-EXP(-LN(2)/25))/(LN(2)/25)*Calculateur!GH52*Calculateur!GJ52*VLOOKUP('Données projet'!$B$17,Paramètres!$A$1:$I$89,3,0)*0.475*44/12</f>
        <v>0</v>
      </c>
      <c r="GN52" s="23">
        <f>EXP(-LN(2)/2)*GN51+(1-EXP(-LN(2)/2))/(LN(2)/2)*GH52*GK52*VLOOKUP('Données projet'!$B$17,Paramètres!$A$1:$I$89,3,0)*0.475*44/12</f>
        <v>0</v>
      </c>
      <c r="GO52" s="23">
        <f t="shared" si="27"/>
        <v>24.952650851922243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7.833333333333333</v>
      </c>
      <c r="N53" s="14">
        <f>IF('Données projet'!$A$36&gt;35,N52+M53-V52,IF(A53&lt;'Données projet'!$A$36,$K$205^A53,IF(A53='Données projet'!$A$36,'Données projet'!$B$36,N52+M53-V52)))</f>
        <v>131.6666666666668</v>
      </c>
      <c r="O53" s="14">
        <f>N53*VLOOKUP('Données projet'!$B$9,Paramètres!$A$1:$I$89,3,0)*VLOOKUP('Données projet'!$B$9,Paramètres!$A$1:$I$89,5,0)</f>
        <v>115.02400000000014</v>
      </c>
      <c r="P53" s="14">
        <f t="shared" si="33"/>
        <v>30.511583941282225</v>
      </c>
      <c r="Q53" s="22">
        <f t="shared" si="53"/>
        <v>253.47447536440015</v>
      </c>
      <c r="R53" s="62">
        <f t="shared" si="0"/>
        <v>508.59545689387028</v>
      </c>
      <c r="S53" s="62">
        <f ca="1">AVERAGE(OFFSET($R$3,0,0,'Données projet'!$E$9+1,1))-AVERAGE(OFFSET($H$3,0,0,'Données projet'!$E$9+1,1))</f>
        <v>401.34220206028908</v>
      </c>
      <c r="T53" s="62">
        <f t="shared" si="34"/>
        <v>265.33314259106987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226</v>
      </c>
      <c r="AG53" s="13">
        <f>VLOOKUP(A53,'Données projet'!$A$61:$I$81,9,0)</f>
        <v>6.9</v>
      </c>
      <c r="AH53" s="13">
        <f t="array" ref="AH53">INDEX(AG:AG,MIN(IF(ISNUMBER(AG53:AG249),ROW(AG53:AG249),"")))</f>
        <v>6.9</v>
      </c>
      <c r="AI53" s="14">
        <f>IF('Données projet'!$A$62&gt;35,AI52+AH53-AQ52,IF(A53&lt;'Données projet'!$A$62,$AF$205^A53,IF(A53='Données projet'!$A$62,'Données projet'!$B$62,AI52+AH53-AQ52)))</f>
        <v>226.00000000000006</v>
      </c>
      <c r="AJ53" s="14">
        <f>AI53*VLOOKUP('Données projet'!$B$10,Paramètres!$A$1:$I$89,3,0)*VLOOKUP('Données projet'!$B$10,Paramètres!$A$1:$I$89,5,0)</f>
        <v>105.76800000000001</v>
      </c>
      <c r="AK53" s="14">
        <f t="shared" si="35"/>
        <v>28.33162713151323</v>
      </c>
      <c r="AL53" s="22">
        <f t="shared" si="4"/>
        <v>233.55685058738553</v>
      </c>
      <c r="AM53" s="62">
        <f t="shared" si="5"/>
        <v>488.6778321168556</v>
      </c>
      <c r="AN53" s="62">
        <f ca="1">AVERAGE(OFFSET($AM$3,0,0,'Données projet'!$E$10+1,1))-AVERAGE(OFFSET($H$3,0,0,'Données projet'!$E$10+1,1))</f>
        <v>253.48761861464732</v>
      </c>
      <c r="AO53" s="62">
        <f t="shared" si="36"/>
        <v>219.50855998133855</v>
      </c>
      <c r="AP53" s="16">
        <f>IF(ISNA(VLOOKUP(A53,'Données projet'!$A$61:$I$81,3,0)),0,VLOOKUP(A53,'Données projet'!$A$61:$I$81,3,0))</f>
        <v>4</v>
      </c>
      <c r="AQ53" s="16">
        <f>IF(ISNA(VLOOKUP(A53,'Données projet'!$A$61:$I$81,4,0)),0,VLOOKUP(A53,'Données projet'!$A$61:$I$81,4,0))</f>
        <v>45</v>
      </c>
      <c r="AR53" s="17">
        <f>IF(ISNA(VLOOKUP(A53,'Données projet'!$A$61:$I$81,5,0)),0%,VLOOKUP(A53,'Données projet'!$A$61:$I$81,5,0)*VLOOKUP('Données projet'!$B$10,Paramètres!$A$1:$I$89,7,0))</f>
        <v>0.38500000000000001</v>
      </c>
      <c r="AS53" s="17">
        <f>IF(ISNA(VLOOKUP(A53,'Données projet'!$A$61:$I$81,6,0)),0%,VLOOKUP(A53,'Données projet'!$A$61:$I$81,6,0)*VLOOKUP('Données projet'!$B$10,Paramètres!$A$1:$I$89,7,0))</f>
        <v>9.3500000000000014E-2</v>
      </c>
      <c r="AT53" s="17">
        <f>IF(ISNA(VLOOKUP(A53,'Données projet'!$A$61:$I$81,7,0)),0%,VLOOKUP(A53,'Données projet'!$A$61:$I$81,7,0))</f>
        <v>0.13</v>
      </c>
      <c r="AU53" s="23">
        <f>EXP(-LN(2)/35)*AU52+(1-EXP(-LN(2)/35))/(LN(2)/35)*AQ53*AR53*VLOOKUP('Données projet'!$B$10,Paramètres!$A$1:$I$89,3,0)*0.475*44/12</f>
        <v>23.38922774273977</v>
      </c>
      <c r="AV53" s="23">
        <f>EXP(-LN(2)/25)*AV52+(1-EXP(-LN(2)/25))/(LN(2)/25)*Calculateur!AQ53*Calculateur!AS53*VLOOKUP('Données projet'!$B$10,Paramètres!$A$1:$I$89,3,0)*0.475*44/12</f>
        <v>7.2470534414582612</v>
      </c>
      <c r="AW53" s="23">
        <f>EXP(-LN(2)/2)*AW52+(1-EXP(-LN(2)/2))/(LN(2)/2)*AQ53*AT53*VLOOKUP('Données projet'!$B$10,Paramètres!$A$1:$I$89,3,0)*0.475*44/12</f>
        <v>3.186028228352086</v>
      </c>
      <c r="AX53" s="23">
        <f t="shared" si="6"/>
        <v>33.822309412550119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5.875</v>
      </c>
      <c r="BD53" s="13">
        <f>IF('Données projet'!$A$88&gt;35,BD52+BC53-BL52,IF(A53&lt;'Données projet'!$A$88,$BA$205^A53,IF(A53='Données projet'!$A$88,'Données projet'!$B$88,BD52+BC53-BL52)))</f>
        <v>287.5</v>
      </c>
      <c r="BE53" s="14">
        <f>BD53*VLOOKUP('Données projet'!$B$11,Paramètres!$A$1:$I$89,3,0)*VLOOKUP('Données projet'!$B$11,Paramètres!$A$1:$I$89,5,0)</f>
        <v>331.2</v>
      </c>
      <c r="BF53" s="14">
        <f t="shared" si="37"/>
        <v>77.679045205856539</v>
      </c>
      <c r="BG53" s="22">
        <f t="shared" si="7"/>
        <v>712.13100373353336</v>
      </c>
      <c r="BH53" s="62">
        <f t="shared" si="8"/>
        <v>967.25198526300346</v>
      </c>
      <c r="BI53" s="62">
        <f ca="1">AVERAGE(OFFSET($BH$3,0,0,'Données projet'!$E$11+1,1))-AVERAGE(OFFSET($H$3,0,0,'Données projet'!$E$11+1,1))</f>
        <v>482.85256243111911</v>
      </c>
      <c r="BJ53" s="62">
        <f t="shared" si="38"/>
        <v>517.78430032567064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35.226095150201793</v>
      </c>
      <c r="BQ53" s="23">
        <f>EXP(-LN(2)/25)*BQ52+(1-EXP(-LN(2)/25))/(LN(2)/25)*Calculateur!BL53*Calculateur!BN53*VLOOKUP('Données projet'!$B$11,Paramètres!$A$1:$I$89,3,0)*0.475*44/12</f>
        <v>10.813377045463183</v>
      </c>
      <c r="BR53" s="23">
        <f>EXP(-LN(2)/2)*BR52+(1-EXP(-LN(2)/2))/(LN(2)/2)*BL53*BO53*VLOOKUP('Données projet'!$B$11,Paramètres!$A$1:$I$89,3,0)*0.475*44/12</f>
        <v>0.80223222038351716</v>
      </c>
      <c r="BS53" s="24">
        <f t="shared" si="9"/>
        <v>46.841704416048493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5.875</v>
      </c>
      <c r="BY53" s="13">
        <f>IF('Données projet'!$A$114&gt;35,BY52+BX53-CG52,IF(A53&lt;'Données projet'!$A$114,$BV$205^A53,IF(A53='Données projet'!$A$114,'Données projet'!$B$114,BY52+BX53-CG52)))</f>
        <v>287.5</v>
      </c>
      <c r="BZ53" s="14">
        <f>BY53*VLOOKUP('Données projet'!$B$12,Paramètres!$A$1:$I$89,3,0)*VLOOKUP('Données projet'!$B$12,Paramètres!$A$1:$I$89,5,0)</f>
        <v>171.92500000000001</v>
      </c>
      <c r="CA53" s="14">
        <f t="shared" si="39"/>
        <v>43.520876607827979</v>
      </c>
      <c r="CB53" s="22">
        <f t="shared" si="10"/>
        <v>375.23490175863367</v>
      </c>
      <c r="CC53" s="62">
        <f t="shared" si="11"/>
        <v>630.35588328810377</v>
      </c>
      <c r="CD53" s="62">
        <f ca="1">AVERAGE(OFFSET($CC$3,0,0,'Données projet'!$E$12+1,1))-AVERAGE(OFFSET($H$3,0,0,'Données projet'!$E$12+1,1))</f>
        <v>275.76900776033335</v>
      </c>
      <c r="CE53" s="62">
        <f t="shared" si="40"/>
        <v>299.36898480605191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33.75834118561005</v>
      </c>
      <c r="CL53" s="23">
        <f>EXP(-LN(2)/25)*CL52+(1-EXP(-LN(2)/25))/(LN(2)/25)*Calculateur!CG53*Calculateur!CI53*VLOOKUP('Données projet'!$B$12,Paramètres!$A$1:$I$89,3,0)*0.475*44/12</f>
        <v>10.362819668568884</v>
      </c>
      <c r="CM53" s="23">
        <f>EXP(-LN(2)/2)*CM52+(1-EXP(-LN(2)/2))/(LN(2)/2)*CG53*CJ53*VLOOKUP('Données projet'!$B$12,Paramètres!$A$1:$I$89,3,0)*0.475*44/12</f>
        <v>0.76880587786753762</v>
      </c>
      <c r="CN53" s="24">
        <f t="shared" si="12"/>
        <v>44.889966732046467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7.833333333333333</v>
      </c>
      <c r="CT53" s="13">
        <f>IF('Données projet'!$A$140&gt;35,CT52+CS53-DB52,IF(A53&lt;'Données projet'!$A$140,$CQ$205^A53,IF(A53='Données projet'!$A$140,'Données projet'!$B$140,CT52+CS53-DB52)))</f>
        <v>131.6666666666668</v>
      </c>
      <c r="CU53" s="18">
        <f>CT53*VLOOKUP('Données projet'!$B$13,Paramètres!$A$1:$I$89,3,0)*VLOOKUP('Données projet'!$B$13,Paramètres!$A$1:$I$89,5,0)</f>
        <v>143.78000000000014</v>
      </c>
      <c r="CV53" s="14">
        <f t="shared" si="41"/>
        <v>37.161603148796836</v>
      </c>
      <c r="CW53" s="22">
        <f t="shared" si="13"/>
        <v>315.13995881748809</v>
      </c>
      <c r="CX53" s="62">
        <f t="shared" si="14"/>
        <v>570.26094034695825</v>
      </c>
      <c r="CY53" s="62">
        <f ca="1">AVERAGE(OFFSET($CX$3,0,0,'Données projet'!$E$13+1,1))-AVERAGE(OFFSET($H$3,0,0,'Données projet'!$E$13+1,1))</f>
        <v>482.24068797679558</v>
      </c>
      <c r="CZ53" s="62">
        <f t="shared" si="42"/>
        <v>316.28941055521693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13.4</v>
      </c>
      <c r="DO53" s="13">
        <f>IF('Données projet'!$A$166&gt;35,DO52+DN53-DW52,IF(A53&lt;'Données projet'!$A$166,$DL$205^A53,IF(A53='Données projet'!$A$166,'Données projet'!$B$166,DO52+DN53-DW52)))</f>
        <v>320.99999999999994</v>
      </c>
      <c r="DP53" s="18">
        <f>DO53*VLOOKUP('Données projet'!$B$14,Paramètres!$A$1:$I$89,3,0)*VLOOKUP('Données projet'!$B$14,Paramètres!$A$1:$I$89,5,0)</f>
        <v>260.39519999999999</v>
      </c>
      <c r="DQ53" s="14">
        <f t="shared" si="43"/>
        <v>62.806611177714331</v>
      </c>
      <c r="DR53" s="22">
        <f t="shared" si="16"/>
        <v>562.90982113451912</v>
      </c>
      <c r="DS53" s="62">
        <f t="shared" si="17"/>
        <v>818.03080266398922</v>
      </c>
      <c r="DT53" s="62">
        <f ca="1">AVERAGE(OFFSET($DS$3,0,0,'Données projet'!$E$14+1,1))-AVERAGE(OFFSET($H$3,0,0,'Données projet'!$E$14+1,1))</f>
        <v>325.58538970226539</v>
      </c>
      <c r="DU53" s="62">
        <f t="shared" si="44"/>
        <v>361.81085660423457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24.001772048927794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24.001772048927794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6.2666666666666684</v>
      </c>
      <c r="EJ53" s="13">
        <f>IF('Données projet'!$A$192&gt;35,EJ52+EI53-ER52,IF(A53&lt;'Données projet'!$A$192,$EG$205^A53,IF(A53='Données projet'!$A$192,'Données projet'!$B$192,EJ52+EI53-ER52)))</f>
        <v>105.33333333333326</v>
      </c>
      <c r="EK53" s="18">
        <f>EJ53*VLOOKUP('Données projet'!$B$15,Paramètres!$A$1:$I$89,3,0)*VLOOKUP('Données projet'!$B$15,Paramètres!$A$1:$I$89,5,0)</f>
        <v>101.87839999999993</v>
      </c>
      <c r="EL53" s="14">
        <f t="shared" si="45"/>
        <v>27.409014608941906</v>
      </c>
      <c r="EM53" s="22">
        <f t="shared" si="19"/>
        <v>225.17558044390702</v>
      </c>
      <c r="EN53" s="62">
        <f t="shared" si="20"/>
        <v>480.29656197337715</v>
      </c>
      <c r="EO53" s="62">
        <f ca="1">AVERAGE(OFFSET($EN$3,0,0,'Données projet'!$E$15+1,1))-AVERAGE(OFFSET($H$3,0,0,'Données projet'!$E$15+1,1))</f>
        <v>364.22267539944085</v>
      </c>
      <c r="EP53" s="62">
        <f t="shared" si="46"/>
        <v>241.947139538615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11.2</v>
      </c>
      <c r="FE53" s="13">
        <f>IF('Données projet'!$A$218&gt;35,FE52+FD53-FM52,IF(A53&lt;'Données projet'!$A$218,$FB$205^A53,IF(A53='Données projet'!$A$218,'Données projet'!$B$218,FE52+FD53-FM52)))</f>
        <v>257.99999999999989</v>
      </c>
      <c r="FF53" s="18">
        <f>FE53*VLOOKUP('Données projet'!$B$16,Paramètres!$A$1:$I$89,3,0)*VLOOKUP('Données projet'!$B$16,Paramètres!$A$1:$I$89,5,0)</f>
        <v>225.38879999999995</v>
      </c>
      <c r="FG53" s="14">
        <f t="shared" si="47"/>
        <v>55.284460117161544</v>
      </c>
      <c r="FH53" s="22">
        <f t="shared" si="22"/>
        <v>488.83926137072285</v>
      </c>
      <c r="FI53" s="62">
        <f t="shared" si="23"/>
        <v>743.96024290019295</v>
      </c>
      <c r="FJ53" s="62">
        <f ca="1">AVERAGE(OFFSET($FI$3,0,0,'Données projet'!$E$16+1,1))-AVERAGE(OFFSET($H$3,0,0,'Données projet'!$E$16+1,1))</f>
        <v>286.59837239471312</v>
      </c>
      <c r="FK53" s="62">
        <f t="shared" si="48"/>
        <v>319.26091328564689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25.658776885133385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25.658776885133385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13.4</v>
      </c>
      <c r="FZ53" s="13">
        <f>IF('Données projet'!$A$244&gt;35,FZ52+FY53-GH52,IF(A53&lt;'Données projet'!$A$244,$FW$205^A53,IF(A53='Données projet'!$A$244,'Données projet'!$B$244,FZ52+FY53-GH52)))</f>
        <v>320.99999999999994</v>
      </c>
      <c r="GA53" s="18">
        <f>FZ53*VLOOKUP('Données projet'!$B$17,Paramètres!$A$1:$I$89,3,0)*VLOOKUP('Données projet'!$B$17,Paramètres!$A$1:$I$89,5,0)</f>
        <v>215.32679999999996</v>
      </c>
      <c r="GB53" s="14">
        <f t="shared" si="49"/>
        <v>53.097923071509733</v>
      </c>
      <c r="GC53" s="22">
        <f t="shared" si="25"/>
        <v>467.50639268287932</v>
      </c>
      <c r="GD53" s="62">
        <f t="shared" si="26"/>
        <v>722.62737421234942</v>
      </c>
      <c r="GE53" s="62">
        <f ca="1">AVERAGE(OFFSET($GD$3,0,0,'Données projet'!$E$17+1,1))-AVERAGE(OFFSET($H$3,0,0,'Données projet'!$E$17+1,1))</f>
        <v>277.37570531842186</v>
      </c>
      <c r="GF53" s="62">
        <f t="shared" si="50"/>
        <v>310.00874200911312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projet'!$B$17,Paramètres!$A$1:$I$89,3,0)*0.475*44/12</f>
        <v>24.463344588330255</v>
      </c>
      <c r="GM53" s="23">
        <f>EXP(-LN(2)/25)*GM52+(1-EXP(-LN(2)/25))/(LN(2)/25)*Calculateur!GH53*Calculateur!GJ53*VLOOKUP('Données projet'!$B$17,Paramètres!$A$1:$I$89,3,0)*0.475*44/12</f>
        <v>0</v>
      </c>
      <c r="GN53" s="23">
        <f>EXP(-LN(2)/2)*GN52+(1-EXP(-LN(2)/2))/(LN(2)/2)*GH53*GK53*VLOOKUP('Données projet'!$B$17,Paramètres!$A$1:$I$89,3,0)*0.475*44/12</f>
        <v>0</v>
      </c>
      <c r="GO53" s="23">
        <f t="shared" si="27"/>
        <v>24.463344588330255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7.833333333333333</v>
      </c>
      <c r="N54" s="14">
        <f>IF('Données projet'!$A$36&gt;35,N53+M54-V53,IF(A54&lt;'Données projet'!$A$36,$K$205^A54,IF(A54='Données projet'!$A$36,'Données projet'!$B$36,N53+M54-V53)))</f>
        <v>139.50000000000014</v>
      </c>
      <c r="O54" s="14">
        <f>N54*VLOOKUP('Données projet'!$B$9,Paramètres!$A$1:$I$89,3,0)*VLOOKUP('Données projet'!$B$9,Paramètres!$A$1:$I$89,5,0)</f>
        <v>121.86720000000014</v>
      </c>
      <c r="P54" s="14">
        <f t="shared" si="33"/>
        <v>32.110100916567404</v>
      </c>
      <c r="Q54" s="22">
        <f t="shared" si="53"/>
        <v>268.17713242968847</v>
      </c>
      <c r="R54" s="62">
        <f t="shared" si="0"/>
        <v>523.96101283293524</v>
      </c>
      <c r="S54" s="62">
        <f ca="1">AVERAGE(OFFSET($R$3,0,0,'Données projet'!$E$9+1,1))-AVERAGE(OFFSET($H$3,0,0,'Données projet'!$E$9+1,1))</f>
        <v>401.34220206028908</v>
      </c>
      <c r="T54" s="62">
        <f t="shared" si="34"/>
        <v>265.33314259106987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189.00000000000006</v>
      </c>
      <c r="AJ54" s="14">
        <f>AI54*VLOOKUP('Données projet'!$B$10,Paramètres!$A$1:$I$89,3,0)*VLOOKUP('Données projet'!$B$10,Paramètres!$A$1:$I$89,5,0)</f>
        <v>88.452000000000027</v>
      </c>
      <c r="AK54" s="14">
        <f t="shared" si="35"/>
        <v>24.191508526943956</v>
      </c>
      <c r="AL54" s="22">
        <f t="shared" si="4"/>
        <v>196.18744401776075</v>
      </c>
      <c r="AM54" s="62">
        <f t="shared" si="5"/>
        <v>451.97132442100758</v>
      </c>
      <c r="AN54" s="62">
        <f ca="1">AVERAGE(OFFSET($AM$3,0,0,'Données projet'!$E$10+1,1))-AVERAGE(OFFSET($H$3,0,0,'Données projet'!$E$10+1,1))</f>
        <v>253.48761861464732</v>
      </c>
      <c r="AO54" s="62">
        <f t="shared" si="36"/>
        <v>219.50855998133855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22.930579252724915</v>
      </c>
      <c r="AV54" s="23">
        <f>EXP(-LN(2)/25)*AV53+(1-EXP(-LN(2)/25))/(LN(2)/25)*Calculateur!AQ54*Calculateur!AS54*VLOOKUP('Données projet'!$B$10,Paramètres!$A$1:$I$89,3,0)*0.475*44/12</f>
        <v>7.0488823839956076</v>
      </c>
      <c r="AW54" s="23">
        <f>EXP(-LN(2)/2)*AW53+(1-EXP(-LN(2)/2))/(LN(2)/2)*AQ54*AT54*VLOOKUP('Données projet'!$B$10,Paramètres!$A$1:$I$89,3,0)*0.475*44/12</f>
        <v>2.2528621653195224</v>
      </c>
      <c r="AX54" s="23">
        <f t="shared" si="6"/>
        <v>32.232323802040042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5.875</v>
      </c>
      <c r="BD54" s="13">
        <f>IF('Données projet'!$A$88&gt;35,BD53+BC54-BL53,IF(A54&lt;'Données projet'!$A$88,$BA$205^A54,IF(A54='Données projet'!$A$88,'Données projet'!$B$88,BD53+BC54-BL53)))</f>
        <v>293.375</v>
      </c>
      <c r="BE54" s="14">
        <f>BD54*VLOOKUP('Données projet'!$B$11,Paramètres!$A$1:$I$89,3,0)*VLOOKUP('Données projet'!$B$11,Paramètres!$A$1:$I$89,5,0)</f>
        <v>337.96799999999996</v>
      </c>
      <c r="BF54" s="14">
        <f t="shared" si="37"/>
        <v>79.079976003042063</v>
      </c>
      <c r="BG54" s="22">
        <f t="shared" si="7"/>
        <v>726.35855820529821</v>
      </c>
      <c r="BH54" s="62">
        <f t="shared" si="8"/>
        <v>982.14243860854504</v>
      </c>
      <c r="BI54" s="62">
        <f ca="1">AVERAGE(OFFSET($BH$3,0,0,'Données projet'!$E$11+1,1))-AVERAGE(OFFSET($H$3,0,0,'Données projet'!$E$11+1,1))</f>
        <v>482.85256243111911</v>
      </c>
      <c r="BJ54" s="62">
        <f t="shared" si="38"/>
        <v>517.78430032567064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34.535332910102831</v>
      </c>
      <c r="BQ54" s="23">
        <f>EXP(-LN(2)/25)*BQ53+(1-EXP(-LN(2)/25))/(LN(2)/25)*Calculateur!BL54*Calculateur!BN54*VLOOKUP('Données projet'!$B$11,Paramètres!$A$1:$I$89,3,0)*0.475*44/12</f>
        <v>10.517684681504207</v>
      </c>
      <c r="BR54" s="23">
        <f>EXP(-LN(2)/2)*BR53+(1-EXP(-LN(2)/2))/(LN(2)/2)*BL54*BO54*VLOOKUP('Données projet'!$B$11,Paramètres!$A$1:$I$89,3,0)*0.475*44/12</f>
        <v>0.56726384311952582</v>
      </c>
      <c r="BS54" s="24">
        <f t="shared" si="9"/>
        <v>45.620281434726564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5.875</v>
      </c>
      <c r="BY54" s="13">
        <f>IF('Données projet'!$A$114&gt;35,BY53+BX54-CG53,IF(A54&lt;'Données projet'!$A$114,$BV$205^A54,IF(A54='Données projet'!$A$114,'Données projet'!$B$114,BY53+BX54-CG53)))</f>
        <v>293.375</v>
      </c>
      <c r="BZ54" s="14">
        <f>BY54*VLOOKUP('Données projet'!$B$12,Paramètres!$A$1:$I$89,3,0)*VLOOKUP('Données projet'!$B$12,Paramètres!$A$1:$I$89,5,0)</f>
        <v>175.43825000000004</v>
      </c>
      <c r="CA54" s="14">
        <f t="shared" si="39"/>
        <v>44.305769576051844</v>
      </c>
      <c r="CB54" s="22">
        <f t="shared" si="10"/>
        <v>382.72083409495696</v>
      </c>
      <c r="CC54" s="62">
        <f t="shared" si="11"/>
        <v>638.50471449820384</v>
      </c>
      <c r="CD54" s="62">
        <f ca="1">AVERAGE(OFFSET($CC$3,0,0,'Données projet'!$E$12+1,1))-AVERAGE(OFFSET($H$3,0,0,'Données projet'!$E$12+1,1))</f>
        <v>275.76900776033335</v>
      </c>
      <c r="CE54" s="62">
        <f t="shared" si="40"/>
        <v>299.36898480605191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33.09636070551521</v>
      </c>
      <c r="CL54" s="23">
        <f>EXP(-LN(2)/25)*CL53+(1-EXP(-LN(2)/25))/(LN(2)/25)*Calculateur!CG54*Calculateur!CI54*VLOOKUP('Données projet'!$B$12,Paramètres!$A$1:$I$89,3,0)*0.475*44/12</f>
        <v>10.079447819774867</v>
      </c>
      <c r="CM54" s="23">
        <f>EXP(-LN(2)/2)*CM53+(1-EXP(-LN(2)/2))/(LN(2)/2)*CG54*CJ54*VLOOKUP('Données projet'!$B$12,Paramètres!$A$1:$I$89,3,0)*0.475*44/12</f>
        <v>0.54362784965621258</v>
      </c>
      <c r="CN54" s="24">
        <f t="shared" si="12"/>
        <v>43.719436374946291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7.833333333333333</v>
      </c>
      <c r="CT54" s="13">
        <f>IF('Données projet'!$A$140&gt;35,CT53+CS54-DB53,IF(A54&lt;'Données projet'!$A$140,$CQ$205^A54,IF(A54='Données projet'!$A$140,'Données projet'!$B$140,CT53+CS54-DB53)))</f>
        <v>139.50000000000014</v>
      </c>
      <c r="CU54" s="18">
        <f>CT54*VLOOKUP('Données projet'!$B$13,Paramètres!$A$1:$I$89,3,0)*VLOOKUP('Données projet'!$B$13,Paramètres!$A$1:$I$89,5,0)</f>
        <v>152.33400000000015</v>
      </c>
      <c r="CV54" s="14">
        <f t="shared" si="41"/>
        <v>39.10851791980582</v>
      </c>
      <c r="CW54" s="22">
        <f t="shared" si="13"/>
        <v>333.42905204366207</v>
      </c>
      <c r="CX54" s="62">
        <f t="shared" si="14"/>
        <v>589.21293244690889</v>
      </c>
      <c r="CY54" s="62">
        <f ca="1">AVERAGE(OFFSET($CX$3,0,0,'Données projet'!$E$13+1,1))-AVERAGE(OFFSET($H$3,0,0,'Données projet'!$E$13+1,1))</f>
        <v>482.24068797679558</v>
      </c>
      <c r="CZ54" s="62">
        <f t="shared" si="42"/>
        <v>316.28941055521693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13.4</v>
      </c>
      <c r="DO54" s="13">
        <f>IF('Données projet'!$A$166&gt;35,DO53+DN54-DW53,IF(A54&lt;'Données projet'!$A$166,$DL$205^A54,IF(A54='Données projet'!$A$166,'Données projet'!$B$166,DO53+DN54-DW53)))</f>
        <v>334.39999999999992</v>
      </c>
      <c r="DP54" s="18">
        <f>DO54*VLOOKUP('Données projet'!$B$14,Paramètres!$A$1:$I$89,3,0)*VLOOKUP('Données projet'!$B$14,Paramètres!$A$1:$I$89,5,0)</f>
        <v>271.26527999999996</v>
      </c>
      <c r="DQ54" s="14">
        <f t="shared" si="43"/>
        <v>65.117720527935134</v>
      </c>
      <c r="DR54" s="22">
        <f t="shared" si="16"/>
        <v>585.86705925282024</v>
      </c>
      <c r="DS54" s="62">
        <f t="shared" si="17"/>
        <v>841.65093965606707</v>
      </c>
      <c r="DT54" s="62">
        <f ca="1">AVERAGE(OFFSET($DS$3,0,0,'Données projet'!$E$14+1,1))-AVERAGE(OFFSET($H$3,0,0,'Données projet'!$E$14+1,1))</f>
        <v>325.58538970226539</v>
      </c>
      <c r="DU54" s="62">
        <f t="shared" si="44"/>
        <v>361.81085660423457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23.531111938683726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23.531111938683726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6.2666666666666684</v>
      </c>
      <c r="EJ54" s="13">
        <f>IF('Données projet'!$A$192&gt;35,EJ53+EI54-ER53,IF(A54&lt;'Données projet'!$A$192,$EG$205^A54,IF(A54='Données projet'!$A$192,'Données projet'!$B$192,EJ53+EI54-ER53)))</f>
        <v>111.59999999999992</v>
      </c>
      <c r="EK54" s="18">
        <f>EJ54*VLOOKUP('Données projet'!$B$15,Paramètres!$A$1:$I$89,3,0)*VLOOKUP('Données projet'!$B$15,Paramètres!$A$1:$I$89,5,0)</f>
        <v>107.93951999999993</v>
      </c>
      <c r="EL54" s="14">
        <f t="shared" si="45"/>
        <v>28.844986442215138</v>
      </c>
      <c r="EM54" s="22">
        <f t="shared" si="19"/>
        <v>238.23301538685791</v>
      </c>
      <c r="EN54" s="62">
        <f t="shared" si="20"/>
        <v>494.01689579010474</v>
      </c>
      <c r="EO54" s="62">
        <f ca="1">AVERAGE(OFFSET($EN$3,0,0,'Données projet'!$E$15+1,1))-AVERAGE(OFFSET($H$3,0,0,'Données projet'!$E$15+1,1))</f>
        <v>364.22267539944085</v>
      </c>
      <c r="EP54" s="62">
        <f t="shared" si="46"/>
        <v>241.947139538615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11.2</v>
      </c>
      <c r="FE54" s="13">
        <f>IF('Données projet'!$A$218&gt;35,FE53+FD54-FM53,IF(A54&lt;'Données projet'!$A$218,$FB$205^A54,IF(A54='Données projet'!$A$218,'Données projet'!$B$218,FE53+FD54-FM53)))</f>
        <v>269.19999999999987</v>
      </c>
      <c r="FF54" s="18">
        <f>FE54*VLOOKUP('Données projet'!$B$16,Paramètres!$A$1:$I$89,3,0)*VLOOKUP('Données projet'!$B$16,Paramètres!$A$1:$I$89,5,0)</f>
        <v>235.17311999999993</v>
      </c>
      <c r="FG54" s="14">
        <f t="shared" si="47"/>
        <v>57.399778925799218</v>
      </c>
      <c r="FH54" s="22">
        <f t="shared" si="22"/>
        <v>509.5644656291002</v>
      </c>
      <c r="FI54" s="62">
        <f t="shared" si="23"/>
        <v>765.34834603234708</v>
      </c>
      <c r="FJ54" s="62">
        <f ca="1">AVERAGE(OFFSET($FI$3,0,0,'Données projet'!$E$16+1,1))-AVERAGE(OFFSET($H$3,0,0,'Données projet'!$E$16+1,1))</f>
        <v>286.59837239471312</v>
      </c>
      <c r="FK54" s="62">
        <f t="shared" si="48"/>
        <v>319.26091328564689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25.15562392072448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25.15562392072448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13.4</v>
      </c>
      <c r="FZ54" s="13">
        <f>IF('Données projet'!$A$244&gt;35,FZ53+FY54-GH53,IF(A54&lt;'Données projet'!$A$244,$FW$205^A54,IF(A54='Données projet'!$A$244,'Données projet'!$B$244,FZ53+FY54-GH53)))</f>
        <v>334.39999999999992</v>
      </c>
      <c r="GA54" s="18">
        <f>FZ54*VLOOKUP('Données projet'!$B$17,Paramètres!$A$1:$I$89,3,0)*VLOOKUP('Données projet'!$B$17,Paramètres!$A$1:$I$89,5,0)</f>
        <v>224.31551999999996</v>
      </c>
      <c r="GB54" s="14">
        <f t="shared" si="49"/>
        <v>55.051779587357125</v>
      </c>
      <c r="GC54" s="22">
        <f t="shared" si="25"/>
        <v>486.56471344798018</v>
      </c>
      <c r="GD54" s="62">
        <f t="shared" si="26"/>
        <v>742.34859385122695</v>
      </c>
      <c r="GE54" s="62">
        <f ca="1">AVERAGE(OFFSET($GD$3,0,0,'Données projet'!$E$17+1,1))-AVERAGE(OFFSET($H$3,0,0,'Données projet'!$E$17+1,1))</f>
        <v>277.37570531842186</v>
      </c>
      <c r="GF54" s="62">
        <f t="shared" si="50"/>
        <v>310.00874200911312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projet'!$B$17,Paramètres!$A$1:$I$89,3,0)*0.475*44/12</f>
        <v>23.983633322119953</v>
      </c>
      <c r="GM54" s="23">
        <f>EXP(-LN(2)/25)*GM53+(1-EXP(-LN(2)/25))/(LN(2)/25)*Calculateur!GH54*Calculateur!GJ54*VLOOKUP('Données projet'!$B$17,Paramètres!$A$1:$I$89,3,0)*0.475*44/12</f>
        <v>0</v>
      </c>
      <c r="GN54" s="23">
        <f>EXP(-LN(2)/2)*GN53+(1-EXP(-LN(2)/2))/(LN(2)/2)*GH54*GK54*VLOOKUP('Données projet'!$B$17,Paramètres!$A$1:$I$89,3,0)*0.475*44/12</f>
        <v>0</v>
      </c>
      <c r="GO54" s="23">
        <f t="shared" si="27"/>
        <v>23.983633322119953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7.833333333333333</v>
      </c>
      <c r="N55" s="14">
        <f>IF('Données projet'!$A$36&gt;35,N54+M55-V54,IF(A55&lt;'Données projet'!$A$36,$K$205^A55,IF(A55='Données projet'!$A$36,'Données projet'!$B$36,N54+M55-V54)))</f>
        <v>147.33333333333348</v>
      </c>
      <c r="O55" s="14">
        <f>N55*VLOOKUP('Données projet'!$B$9,Paramètres!$A$1:$I$89,3,0)*VLOOKUP('Données projet'!$B$9,Paramètres!$A$1:$I$89,5,0)</f>
        <v>128.71040000000016</v>
      </c>
      <c r="P55" s="14">
        <f t="shared" si="33"/>
        <v>33.69819795549374</v>
      </c>
      <c r="Q55" s="22">
        <f t="shared" si="53"/>
        <v>282.86164143915192</v>
      </c>
      <c r="R55" s="62">
        <f t="shared" si="0"/>
        <v>539.29692090273534</v>
      </c>
      <c r="S55" s="62">
        <f ca="1">AVERAGE(OFFSET($R$3,0,0,'Données projet'!$E$9+1,1))-AVERAGE(OFFSET($H$3,0,0,'Données projet'!$E$9+1,1))</f>
        <v>401.34220206028908</v>
      </c>
      <c r="T55" s="62">
        <f t="shared" si="34"/>
        <v>265.33314259106987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197.00000000000006</v>
      </c>
      <c r="AJ55" s="14">
        <f>AI55*VLOOKUP('Données projet'!$B$10,Paramètres!$A$1:$I$89,3,0)*VLOOKUP('Données projet'!$B$10,Paramètres!$A$1:$I$89,5,0)</f>
        <v>92.196000000000026</v>
      </c>
      <c r="AK55" s="14">
        <f t="shared" si="35"/>
        <v>25.09410195059451</v>
      </c>
      <c r="AL55" s="22">
        <f t="shared" si="4"/>
        <v>204.2802608972855</v>
      </c>
      <c r="AM55" s="62">
        <f t="shared" si="5"/>
        <v>460.71554036086889</v>
      </c>
      <c r="AN55" s="62">
        <f ca="1">AVERAGE(OFFSET($AM$3,0,0,'Données projet'!$E$10+1,1))-AVERAGE(OFFSET($H$3,0,0,'Données projet'!$E$10+1,1))</f>
        <v>253.48761861464732</v>
      </c>
      <c r="AO55" s="62">
        <f t="shared" si="36"/>
        <v>219.50855998133855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22.480924579851294</v>
      </c>
      <c r="AV55" s="23">
        <f>EXP(-LN(2)/25)*AV54+(1-EXP(-LN(2)/25))/(LN(2)/25)*Calculateur!AQ55*Calculateur!AS55*VLOOKUP('Données projet'!$B$10,Paramètres!$A$1:$I$89,3,0)*0.475*44/12</f>
        <v>6.8561303245206338</v>
      </c>
      <c r="AW55" s="23">
        <f>EXP(-LN(2)/2)*AW54+(1-EXP(-LN(2)/2))/(LN(2)/2)*AQ55*AT55*VLOOKUP('Données projet'!$B$10,Paramètres!$A$1:$I$89,3,0)*0.475*44/12</f>
        <v>1.5930141141760432</v>
      </c>
      <c r="AX55" s="23">
        <f t="shared" si="6"/>
        <v>30.930069018547972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5.875</v>
      </c>
      <c r="BD55" s="13">
        <f>IF('Données projet'!$A$88&gt;35,BD54+BC55-BL54,IF(A55&lt;'Données projet'!$A$88,$BA$205^A55,IF(A55='Données projet'!$A$88,'Données projet'!$B$88,BD54+BC55-BL54)))</f>
        <v>299.25</v>
      </c>
      <c r="BE55" s="14">
        <f>BD55*VLOOKUP('Données projet'!$B$11,Paramètres!$A$1:$I$89,3,0)*VLOOKUP('Données projet'!$B$11,Paramètres!$A$1:$I$89,5,0)</f>
        <v>344.73599999999993</v>
      </c>
      <c r="BF55" s="14">
        <f t="shared" si="37"/>
        <v>80.477644837086672</v>
      </c>
      <c r="BG55" s="22">
        <f t="shared" si="7"/>
        <v>740.58043142459246</v>
      </c>
      <c r="BH55" s="62">
        <f t="shared" si="8"/>
        <v>997.01571088817582</v>
      </c>
      <c r="BI55" s="62">
        <f ca="1">AVERAGE(OFFSET($BH$3,0,0,'Données projet'!$E$11+1,1))-AVERAGE(OFFSET($H$3,0,0,'Données projet'!$E$11+1,1))</f>
        <v>482.85256243111911</v>
      </c>
      <c r="BJ55" s="62">
        <f t="shared" si="38"/>
        <v>517.78430032567064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33.858116096208846</v>
      </c>
      <c r="BQ55" s="23">
        <f>EXP(-LN(2)/25)*BQ54+(1-EXP(-LN(2)/25))/(LN(2)/25)*Calculateur!BL55*Calculateur!BN55*VLOOKUP('Données projet'!$B$11,Paramètres!$A$1:$I$89,3,0)*0.475*44/12</f>
        <v>10.230078040787475</v>
      </c>
      <c r="BR55" s="23">
        <f>EXP(-LN(2)/2)*BR54+(1-EXP(-LN(2)/2))/(LN(2)/2)*BL55*BO55*VLOOKUP('Données projet'!$B$11,Paramètres!$A$1:$I$89,3,0)*0.475*44/12</f>
        <v>0.40111611019175858</v>
      </c>
      <c r="BS55" s="24">
        <f t="shared" si="9"/>
        <v>44.489310247188079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5.875</v>
      </c>
      <c r="BY55" s="13">
        <f>IF('Données projet'!$A$114&gt;35,BY54+BX55-CG54,IF(A55&lt;'Données projet'!$A$114,$BV$205^A55,IF(A55='Données projet'!$A$114,'Données projet'!$B$114,BY54+BX55-CG54)))</f>
        <v>299.25</v>
      </c>
      <c r="BZ55" s="14">
        <f>BY55*VLOOKUP('Données projet'!$B$12,Paramètres!$A$1:$I$89,3,0)*VLOOKUP('Données projet'!$B$12,Paramètres!$A$1:$I$89,5,0)</f>
        <v>178.95150000000001</v>
      </c>
      <c r="CA55" s="14">
        <f t="shared" si="39"/>
        <v>45.088834979390157</v>
      </c>
      <c r="CB55" s="22">
        <f t="shared" si="10"/>
        <v>390.20358342243782</v>
      </c>
      <c r="CC55" s="62">
        <f t="shared" si="11"/>
        <v>646.63886288602112</v>
      </c>
      <c r="CD55" s="62">
        <f ca="1">AVERAGE(OFFSET($CC$3,0,0,'Données projet'!$E$12+1,1))-AVERAGE(OFFSET($H$3,0,0,'Données projet'!$E$12+1,1))</f>
        <v>275.76900776033335</v>
      </c>
      <c r="CE55" s="62">
        <f t="shared" si="40"/>
        <v>299.36898480605191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32.447361258866806</v>
      </c>
      <c r="CL55" s="23">
        <f>EXP(-LN(2)/25)*CL54+(1-EXP(-LN(2)/25))/(LN(2)/25)*Calculateur!CG55*Calculateur!CI55*VLOOKUP('Données projet'!$B$12,Paramètres!$A$1:$I$89,3,0)*0.475*44/12</f>
        <v>9.803824789087999</v>
      </c>
      <c r="CM55" s="23">
        <f>EXP(-LN(2)/2)*CM54+(1-EXP(-LN(2)/2))/(LN(2)/2)*CG55*CJ55*VLOOKUP('Données projet'!$B$12,Paramètres!$A$1:$I$89,3,0)*0.475*44/12</f>
        <v>0.38440293893376887</v>
      </c>
      <c r="CN55" s="24">
        <f t="shared" si="12"/>
        <v>42.635588986888571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7.833333333333333</v>
      </c>
      <c r="CT55" s="13">
        <f>IF('Données projet'!$A$140&gt;35,CT54+CS55-DB54,IF(A55&lt;'Données projet'!$A$140,$CQ$205^A55,IF(A55='Données projet'!$A$140,'Données projet'!$B$140,CT54+CS55-DB54)))</f>
        <v>147.33333333333348</v>
      </c>
      <c r="CU55" s="18">
        <f>CT55*VLOOKUP('Données projet'!$B$13,Paramètres!$A$1:$I$89,3,0)*VLOOKUP('Données projet'!$B$13,Paramètres!$A$1:$I$89,5,0)</f>
        <v>160.88800000000018</v>
      </c>
      <c r="CV55" s="14">
        <f t="shared" si="41"/>
        <v>41.04274172267138</v>
      </c>
      <c r="CW55" s="22">
        <f t="shared" si="13"/>
        <v>351.69604183365294</v>
      </c>
      <c r="CX55" s="62">
        <f t="shared" si="14"/>
        <v>608.13132129723635</v>
      </c>
      <c r="CY55" s="62">
        <f ca="1">AVERAGE(OFFSET($CX$3,0,0,'Données projet'!$E$13+1,1))-AVERAGE(OFFSET($H$3,0,0,'Données projet'!$E$13+1,1))</f>
        <v>482.24068797679558</v>
      </c>
      <c r="CZ55" s="62">
        <f t="shared" si="42"/>
        <v>316.28941055521693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13.4</v>
      </c>
      <c r="DO55" s="13">
        <f>IF('Données projet'!$A$166&gt;35,DO54+DN55-DW54,IF(A55&lt;'Données projet'!$A$166,$DL$205^A55,IF(A55='Données projet'!$A$166,'Données projet'!$B$166,DO54+DN55-DW54)))</f>
        <v>347.7999999999999</v>
      </c>
      <c r="DP55" s="18">
        <f>DO55*VLOOKUP('Données projet'!$B$14,Paramètres!$A$1:$I$89,3,0)*VLOOKUP('Données projet'!$B$14,Paramètres!$A$1:$I$89,5,0)</f>
        <v>282.13535999999993</v>
      </c>
      <c r="DQ55" s="14">
        <f t="shared" si="43"/>
        <v>67.418072106606431</v>
      </c>
      <c r="DR55" s="22">
        <f t="shared" si="16"/>
        <v>608.8055609190061</v>
      </c>
      <c r="DS55" s="62">
        <f t="shared" si="17"/>
        <v>865.24084038258945</v>
      </c>
      <c r="DT55" s="62">
        <f ca="1">AVERAGE(OFFSET($DS$3,0,0,'Données projet'!$E$14+1,1))-AVERAGE(OFFSET($H$3,0,0,'Données projet'!$E$14+1,1))</f>
        <v>325.58538970226539</v>
      </c>
      <c r="DU55" s="62">
        <f t="shared" si="44"/>
        <v>361.81085660423457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23.069681186127223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23.069681186127223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6.2666666666666684</v>
      </c>
      <c r="EJ55" s="13">
        <f>IF('Données projet'!$A$192&gt;35,EJ54+EI55-ER54,IF(A55&lt;'Données projet'!$A$192,$EG$205^A55,IF(A55='Données projet'!$A$192,'Données projet'!$B$192,EJ54+EI55-ER54)))</f>
        <v>117.86666666666659</v>
      </c>
      <c r="EK55" s="18">
        <f>EJ55*VLOOKUP('Données projet'!$B$15,Paramètres!$A$1:$I$89,3,0)*VLOOKUP('Données projet'!$B$15,Paramètres!$A$1:$I$89,5,0)</f>
        <v>114.00063999999993</v>
      </c>
      <c r="EL55" s="14">
        <f t="shared" si="45"/>
        <v>30.271597889989092</v>
      </c>
      <c r="EM55" s="22">
        <f t="shared" si="19"/>
        <v>251.27414765839754</v>
      </c>
      <c r="EN55" s="62">
        <f t="shared" si="20"/>
        <v>507.70942712198087</v>
      </c>
      <c r="EO55" s="62">
        <f ca="1">AVERAGE(OFFSET($EN$3,0,0,'Données projet'!$E$15+1,1))-AVERAGE(OFFSET($H$3,0,0,'Données projet'!$E$15+1,1))</f>
        <v>364.22267539944085</v>
      </c>
      <c r="EP55" s="62">
        <f t="shared" si="46"/>
        <v>241.947139538615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11.2</v>
      </c>
      <c r="FE55" s="13">
        <f>IF('Données projet'!$A$218&gt;35,FE54+FD55-FM54,IF(A55&lt;'Données projet'!$A$218,$FB$205^A55,IF(A55='Données projet'!$A$218,'Données projet'!$B$218,FE54+FD55-FM54)))</f>
        <v>280.39999999999986</v>
      </c>
      <c r="FF55" s="18">
        <f>FE55*VLOOKUP('Données projet'!$B$16,Paramètres!$A$1:$I$89,3,0)*VLOOKUP('Données projet'!$B$16,Paramètres!$A$1:$I$89,5,0)</f>
        <v>244.95743999999993</v>
      </c>
      <c r="FG55" s="14">
        <f t="shared" si="47"/>
        <v>59.504875332780216</v>
      </c>
      <c r="FH55" s="22">
        <f t="shared" si="22"/>
        <v>530.27186587125868</v>
      </c>
      <c r="FI55" s="62">
        <f t="shared" si="23"/>
        <v>786.70714533484204</v>
      </c>
      <c r="FJ55" s="62">
        <f ca="1">AVERAGE(OFFSET($FI$3,0,0,'Données projet'!$E$16+1,1))-AVERAGE(OFFSET($H$3,0,0,'Données projet'!$E$16+1,1))</f>
        <v>286.59837239471312</v>
      </c>
      <c r="FK55" s="62">
        <f t="shared" si="48"/>
        <v>319.26091328564689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24.662337479054628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24.662337479054628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13.4</v>
      </c>
      <c r="FZ55" s="13">
        <f>IF('Données projet'!$A$244&gt;35,FZ54+FY55-GH54,IF(A55&lt;'Données projet'!$A$244,$FW$205^A55,IF(A55='Données projet'!$A$244,'Données projet'!$B$244,FZ54+FY55-GH54)))</f>
        <v>347.7999999999999</v>
      </c>
      <c r="GA55" s="18">
        <f>FZ55*VLOOKUP('Données projet'!$B$17,Paramètres!$A$1:$I$89,3,0)*VLOOKUP('Données projet'!$B$17,Paramètres!$A$1:$I$89,5,0)</f>
        <v>233.30423999999994</v>
      </c>
      <c r="GB55" s="14">
        <f t="shared" si="49"/>
        <v>56.996541275200876</v>
      </c>
      <c r="GC55" s="22">
        <f t="shared" si="25"/>
        <v>505.60719405430797</v>
      </c>
      <c r="GD55" s="62">
        <f t="shared" si="26"/>
        <v>762.04247351789127</v>
      </c>
      <c r="GE55" s="62">
        <f ca="1">AVERAGE(OFFSET($GD$3,0,0,'Données projet'!$E$17+1,1))-AVERAGE(OFFSET($H$3,0,0,'Données projet'!$E$17+1,1))</f>
        <v>277.37570531842186</v>
      </c>
      <c r="GF55" s="62">
        <f t="shared" si="50"/>
        <v>310.00874200911312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projet'!$B$17,Paramètres!$A$1:$I$89,3,0)*0.475*44/12</f>
        <v>23.513328901245057</v>
      </c>
      <c r="GM55" s="23">
        <f>EXP(-LN(2)/25)*GM54+(1-EXP(-LN(2)/25))/(LN(2)/25)*Calculateur!GH55*Calculateur!GJ55*VLOOKUP('Données projet'!$B$17,Paramètres!$A$1:$I$89,3,0)*0.475*44/12</f>
        <v>0</v>
      </c>
      <c r="GN55" s="23">
        <f>EXP(-LN(2)/2)*GN54+(1-EXP(-LN(2)/2))/(LN(2)/2)*GH55*GK55*VLOOKUP('Données projet'!$B$17,Paramètres!$A$1:$I$89,3,0)*0.475*44/12</f>
        <v>0</v>
      </c>
      <c r="GO55" s="23">
        <f t="shared" si="27"/>
        <v>23.513328901245057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7.833333333333333</v>
      </c>
      <c r="N56" s="14">
        <f>IF('Données projet'!$A$36&gt;35,N55+M56-V55,IF(A56&lt;'Données projet'!$A$36,$K$205^A56,IF(A56='Données projet'!$A$36,'Données projet'!$B$36,N55+M56-V55)))</f>
        <v>155.16666666666683</v>
      </c>
      <c r="O56" s="14">
        <f>N56*VLOOKUP('Données projet'!$B$9,Paramètres!$A$1:$I$89,3,0)*VLOOKUP('Données projet'!$B$9,Paramètres!$A$1:$I$89,5,0)</f>
        <v>135.55360000000016</v>
      </c>
      <c r="P56" s="14">
        <f t="shared" si="33"/>
        <v>35.276492231590382</v>
      </c>
      <c r="Q56" s="22">
        <f t="shared" si="53"/>
        <v>297.52907730335346</v>
      </c>
      <c r="R56" s="62">
        <f t="shared" si="0"/>
        <v>554.60445550988675</v>
      </c>
      <c r="S56" s="62">
        <f ca="1">AVERAGE(OFFSET($R$3,0,0,'Données projet'!$E$9+1,1))-AVERAGE(OFFSET($H$3,0,0,'Données projet'!$E$9+1,1))</f>
        <v>401.34220206028908</v>
      </c>
      <c r="T56" s="62">
        <f t="shared" si="34"/>
        <v>265.33314259106987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205.00000000000006</v>
      </c>
      <c r="AJ56" s="14">
        <f>AI56*VLOOKUP('Données projet'!$B$10,Paramètres!$A$1:$I$89,3,0)*VLOOKUP('Données projet'!$B$10,Paramètres!$A$1:$I$89,5,0)</f>
        <v>95.940000000000012</v>
      </c>
      <c r="AK56" s="14">
        <f t="shared" si="35"/>
        <v>25.992437734025188</v>
      </c>
      <c r="AL56" s="22">
        <f t="shared" si="4"/>
        <v>212.36566238676053</v>
      </c>
      <c r="AM56" s="62">
        <f t="shared" si="5"/>
        <v>469.44104059329379</v>
      </c>
      <c r="AN56" s="62">
        <f ca="1">AVERAGE(OFFSET($AM$3,0,0,'Données projet'!$E$10+1,1))-AVERAGE(OFFSET($H$3,0,0,'Données projet'!$E$10+1,1))</f>
        <v>253.48761861464732</v>
      </c>
      <c r="AO56" s="62">
        <f t="shared" si="36"/>
        <v>219.50855998133855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22.040087360850457</v>
      </c>
      <c r="AV56" s="23">
        <f>EXP(-LN(2)/25)*AV55+(1-EXP(-LN(2)/25))/(LN(2)/25)*Calculateur!AQ56*Calculateur!AS56*VLOOKUP('Données projet'!$B$10,Paramètres!$A$1:$I$89,3,0)*0.475*44/12</f>
        <v>6.6686490802483931</v>
      </c>
      <c r="AW56" s="23">
        <f>EXP(-LN(2)/2)*AW55+(1-EXP(-LN(2)/2))/(LN(2)/2)*AQ56*AT56*VLOOKUP('Données projet'!$B$10,Paramètres!$A$1:$I$89,3,0)*0.475*44/12</f>
        <v>1.1264310826597612</v>
      </c>
      <c r="AX56" s="23">
        <f t="shared" si="6"/>
        <v>29.83516752375861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5.875</v>
      </c>
      <c r="BD56" s="13">
        <f>IF('Données projet'!$A$88&gt;35,BD55+BC56-BL55,IF(A56&lt;'Données projet'!$A$88,$BA$205^A56,IF(A56='Données projet'!$A$88,'Données projet'!$B$88,BD55+BC56-BL55)))</f>
        <v>305.125</v>
      </c>
      <c r="BE56" s="14">
        <f>BD56*VLOOKUP('Données projet'!$B$11,Paramètres!$A$1:$I$89,3,0)*VLOOKUP('Données projet'!$B$11,Paramètres!$A$1:$I$89,5,0)</f>
        <v>351.50400000000002</v>
      </c>
      <c r="BF56" s="14">
        <f t="shared" si="37"/>
        <v>81.872123130113252</v>
      </c>
      <c r="BG56" s="22">
        <f t="shared" si="7"/>
        <v>754.79674778494734</v>
      </c>
      <c r="BH56" s="62">
        <f t="shared" si="8"/>
        <v>1011.8721259914805</v>
      </c>
      <c r="BI56" s="62">
        <f ca="1">AVERAGE(OFFSET($BH$3,0,0,'Données projet'!$E$11+1,1))-AVERAGE(OFFSET($H$3,0,0,'Données projet'!$E$11+1,1))</f>
        <v>482.85256243111911</v>
      </c>
      <c r="BJ56" s="62">
        <f t="shared" si="38"/>
        <v>517.78430032567064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33.194179090973854</v>
      </c>
      <c r="BQ56" s="23">
        <f>EXP(-LN(2)/25)*BQ55+(1-EXP(-LN(2)/25))/(LN(2)/25)*Calculateur!BL56*Calculateur!BN56*VLOOKUP('Données projet'!$B$11,Paramètres!$A$1:$I$89,3,0)*0.475*44/12</f>
        <v>9.9503360187857197</v>
      </c>
      <c r="BR56" s="23">
        <f>EXP(-LN(2)/2)*BR55+(1-EXP(-LN(2)/2))/(LN(2)/2)*BL56*BO56*VLOOKUP('Données projet'!$B$11,Paramètres!$A$1:$I$89,3,0)*0.475*44/12</f>
        <v>0.28363192155976291</v>
      </c>
      <c r="BS56" s="24">
        <f t="shared" si="9"/>
        <v>43.428147031319334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5.875</v>
      </c>
      <c r="BY56" s="13">
        <f>IF('Données projet'!$A$114&gt;35,BY55+BX56-CG55,IF(A56&lt;'Données projet'!$A$114,$BV$205^A56,IF(A56='Données projet'!$A$114,'Données projet'!$B$114,BY55+BX56-CG55)))</f>
        <v>305.125</v>
      </c>
      <c r="BZ56" s="14">
        <f>BY56*VLOOKUP('Données projet'!$B$12,Paramètres!$A$1:$I$89,3,0)*VLOOKUP('Données projet'!$B$12,Paramètres!$A$1:$I$89,5,0)</f>
        <v>182.46475000000004</v>
      </c>
      <c r="CA56" s="14">
        <f t="shared" si="39"/>
        <v>45.870112833182944</v>
      </c>
      <c r="CB56" s="22">
        <f t="shared" si="10"/>
        <v>397.68321943446034</v>
      </c>
      <c r="CC56" s="62">
        <f t="shared" si="11"/>
        <v>654.75859764099357</v>
      </c>
      <c r="CD56" s="62">
        <f ca="1">AVERAGE(OFFSET($CC$3,0,0,'Données projet'!$E$12+1,1))-AVERAGE(OFFSET($H$3,0,0,'Données projet'!$E$12+1,1))</f>
        <v>275.76900776033335</v>
      </c>
      <c r="CE56" s="62">
        <f t="shared" si="40"/>
        <v>299.36898480605191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31.811088295516605</v>
      </c>
      <c r="CL56" s="23">
        <f>EXP(-LN(2)/25)*CL55+(1-EXP(-LN(2)/25))/(LN(2)/25)*Calculateur!CG56*Calculateur!CI56*VLOOKUP('Données projet'!$B$12,Paramètres!$A$1:$I$89,3,0)*0.475*44/12</f>
        <v>9.5357386846696492</v>
      </c>
      <c r="CM56" s="23">
        <f>EXP(-LN(2)/2)*CM55+(1-EXP(-LN(2)/2))/(LN(2)/2)*CG56*CJ56*VLOOKUP('Données projet'!$B$12,Paramètres!$A$1:$I$89,3,0)*0.475*44/12</f>
        <v>0.27181392482810629</v>
      </c>
      <c r="CN56" s="24">
        <f t="shared" si="12"/>
        <v>41.61864090501436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7.833333333333333</v>
      </c>
      <c r="CT56" s="13">
        <f>IF('Données projet'!$A$140&gt;35,CT55+CS56-DB55,IF(A56&lt;'Données projet'!$A$140,$CQ$205^A56,IF(A56='Données projet'!$A$140,'Données projet'!$B$140,CT55+CS56-DB55)))</f>
        <v>155.16666666666683</v>
      </c>
      <c r="CU56" s="18">
        <f>CT56*VLOOKUP('Données projet'!$B$13,Paramètres!$A$1:$I$89,3,0)*VLOOKUP('Données projet'!$B$13,Paramètres!$A$1:$I$89,5,0)</f>
        <v>169.44200000000018</v>
      </c>
      <c r="CV56" s="14">
        <f t="shared" si="41"/>
        <v>42.96502624428765</v>
      </c>
      <c r="CW56" s="22">
        <f t="shared" si="13"/>
        <v>369.94223737546798</v>
      </c>
      <c r="CX56" s="62">
        <f t="shared" si="14"/>
        <v>627.01761558200121</v>
      </c>
      <c r="CY56" s="62">
        <f ca="1">AVERAGE(OFFSET($CX$3,0,0,'Données projet'!$E$13+1,1))-AVERAGE(OFFSET($H$3,0,0,'Données projet'!$E$13+1,1))</f>
        <v>482.24068797679558</v>
      </c>
      <c r="CZ56" s="62">
        <f t="shared" si="42"/>
        <v>316.28941055521693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13.4</v>
      </c>
      <c r="DO56" s="13">
        <f>IF('Données projet'!$A$166&gt;35,DO55+DN56-DW55,IF(A56&lt;'Données projet'!$A$166,$DL$205^A56,IF(A56='Données projet'!$A$166,'Données projet'!$B$166,DO55+DN56-DW55)))</f>
        <v>361.19999999999987</v>
      </c>
      <c r="DP56" s="18">
        <f>DO56*VLOOKUP('Données projet'!$B$14,Paramètres!$A$1:$I$89,3,0)*VLOOKUP('Données projet'!$B$14,Paramètres!$A$1:$I$89,5,0)</f>
        <v>293.00543999999996</v>
      </c>
      <c r="DQ56" s="14">
        <f t="shared" si="43"/>
        <v>69.708127829457979</v>
      </c>
      <c r="DR56" s="22">
        <f t="shared" si="16"/>
        <v>631.72613063630581</v>
      </c>
      <c r="DS56" s="62">
        <f t="shared" si="17"/>
        <v>888.80150884283898</v>
      </c>
      <c r="DT56" s="62">
        <f ca="1">AVERAGE(OFFSET($DS$3,0,0,'Données projet'!$E$14+1,1))-AVERAGE(OFFSET($H$3,0,0,'Données projet'!$E$14+1,1))</f>
        <v>325.58538970226539</v>
      </c>
      <c r="DU56" s="62">
        <f t="shared" si="44"/>
        <v>361.81085660423457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22.617298809183385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22.617298809183385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6.2666666666666684</v>
      </c>
      <c r="EJ56" s="13">
        <f>IF('Données projet'!$A$192&gt;35,EJ55+EI56-ER55,IF(A56&lt;'Données projet'!$A$192,$EG$205^A56,IF(A56='Données projet'!$A$192,'Données projet'!$B$192,EJ55+EI56-ER55)))</f>
        <v>124.13333333333325</v>
      </c>
      <c r="EK56" s="18">
        <f>EJ56*VLOOKUP('Données projet'!$B$15,Paramètres!$A$1:$I$89,3,0)*VLOOKUP('Données projet'!$B$15,Paramètres!$A$1:$I$89,5,0)</f>
        <v>120.06175999999994</v>
      </c>
      <c r="EL56" s="14">
        <f t="shared" si="45"/>
        <v>31.689403368524484</v>
      </c>
      <c r="EM56" s="22">
        <f t="shared" si="19"/>
        <v>264.29994286684672</v>
      </c>
      <c r="EN56" s="62">
        <f t="shared" si="20"/>
        <v>521.37532107337995</v>
      </c>
      <c r="EO56" s="62">
        <f ca="1">AVERAGE(OFFSET($EN$3,0,0,'Données projet'!$E$15+1,1))-AVERAGE(OFFSET($H$3,0,0,'Données projet'!$E$15+1,1))</f>
        <v>364.22267539944085</v>
      </c>
      <c r="EP56" s="62">
        <f t="shared" si="46"/>
        <v>241.947139538615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11.2</v>
      </c>
      <c r="FE56" s="13">
        <f>IF('Données projet'!$A$218&gt;35,FE55+FD56-FM55,IF(A56&lt;'Données projet'!$A$218,$FB$205^A56,IF(A56='Données projet'!$A$218,'Données projet'!$B$218,FE55+FD56-FM55)))</f>
        <v>291.59999999999985</v>
      </c>
      <c r="FF56" s="18">
        <f>FE56*VLOOKUP('Données projet'!$B$16,Paramètres!$A$1:$I$89,3,0)*VLOOKUP('Données projet'!$B$16,Paramètres!$A$1:$I$89,5,0)</f>
        <v>254.74175999999991</v>
      </c>
      <c r="FG56" s="14">
        <f t="shared" si="47"/>
        <v>61.600204366992962</v>
      </c>
      <c r="FH56" s="22">
        <f t="shared" si="22"/>
        <v>550.96225460584594</v>
      </c>
      <c r="FI56" s="62">
        <f t="shared" si="23"/>
        <v>808.03763281237912</v>
      </c>
      <c r="FJ56" s="62">
        <f ca="1">AVERAGE(OFFSET($FI$3,0,0,'Données projet'!$E$16+1,1))-AVERAGE(OFFSET($H$3,0,0,'Données projet'!$E$16+1,1))</f>
        <v>286.59837239471312</v>
      </c>
      <c r="FK56" s="62">
        <f t="shared" si="48"/>
        <v>319.26091328564689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24.1787240836309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24.1787240836309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13.4</v>
      </c>
      <c r="FZ56" s="13">
        <f>IF('Données projet'!$A$244&gt;35,FZ55+FY56-GH55,IF(A56&lt;'Données projet'!$A$244,$FW$205^A56,IF(A56='Données projet'!$A$244,'Données projet'!$B$244,FZ55+FY56-GH55)))</f>
        <v>361.19999999999987</v>
      </c>
      <c r="GA56" s="18">
        <f>FZ56*VLOOKUP('Données projet'!$B$17,Paramètres!$A$1:$I$89,3,0)*VLOOKUP('Données projet'!$B$17,Paramètres!$A$1:$I$89,5,0)</f>
        <v>242.29295999999994</v>
      </c>
      <c r="GB56" s="14">
        <f t="shared" si="49"/>
        <v>58.932598647527087</v>
      </c>
      <c r="GC56" s="22">
        <f t="shared" si="25"/>
        <v>524.6345146444429</v>
      </c>
      <c r="GD56" s="62">
        <f t="shared" si="26"/>
        <v>781.70989285097608</v>
      </c>
      <c r="GE56" s="62">
        <f ca="1">AVERAGE(OFFSET($GD$3,0,0,'Données projet'!$E$17+1,1))-AVERAGE(OFFSET($H$3,0,0,'Données projet'!$E$17+1,1))</f>
        <v>277.37570531842186</v>
      </c>
      <c r="GF56" s="62">
        <f t="shared" si="50"/>
        <v>310.00874200911312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projet'!$B$17,Paramètres!$A$1:$I$89,3,0)*0.475*44/12</f>
        <v>23.052246863206143</v>
      </c>
      <c r="GM56" s="23">
        <f>EXP(-LN(2)/25)*GM55+(1-EXP(-LN(2)/25))/(LN(2)/25)*Calculateur!GH56*Calculateur!GJ56*VLOOKUP('Données projet'!$B$17,Paramètres!$A$1:$I$89,3,0)*0.475*44/12</f>
        <v>0</v>
      </c>
      <c r="GN56" s="23">
        <f>EXP(-LN(2)/2)*GN55+(1-EXP(-LN(2)/2))/(LN(2)/2)*GH56*GK56*VLOOKUP('Données projet'!$B$17,Paramètres!$A$1:$I$89,3,0)*0.475*44/12</f>
        <v>0</v>
      </c>
      <c r="GO56" s="23">
        <f t="shared" si="27"/>
        <v>23.052246863206143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>
        <f>VLOOKUP(A57,'Données projet'!$A$35:$I$55,2,0)</f>
        <v>163</v>
      </c>
      <c r="L57" s="13">
        <f>VLOOKUP(A57,'Données projet'!$A$35:$I$55,9,0)</f>
        <v>7.833333333333333</v>
      </c>
      <c r="M57" s="13">
        <f t="array" ref="M57">INDEX(L:L,MIN(IF(ISNUMBER(L57:L253),ROW(L57:L253),"")))</f>
        <v>7.833333333333333</v>
      </c>
      <c r="N57" s="14">
        <f>IF('Données projet'!$A$36&gt;35,N56+M57-V56,IF(A57&lt;'Données projet'!$A$36,$K$205^A57,IF(A57='Données projet'!$A$36,'Données projet'!$B$36,N56+M57-V56)))</f>
        <v>163.00000000000017</v>
      </c>
      <c r="O57" s="14">
        <f>N57*VLOOKUP('Données projet'!$B$9,Paramètres!$A$1:$I$89,3,0)*VLOOKUP('Données projet'!$B$9,Paramètres!$A$1:$I$89,5,0)</f>
        <v>142.39680000000016</v>
      </c>
      <c r="P57" s="14">
        <f t="shared" si="33"/>
        <v>36.845535084477021</v>
      </c>
      <c r="Q57" s="22">
        <f t="shared" si="53"/>
        <v>312.18040027213107</v>
      </c>
      <c r="R57" s="62">
        <f t="shared" si="0"/>
        <v>569.88477293947039</v>
      </c>
      <c r="S57" s="62">
        <f ca="1">AVERAGE(OFFSET($R$3,0,0,'Données projet'!$E$9+1,1))-AVERAGE(OFFSET($H$3,0,0,'Données projet'!$E$9+1,1))</f>
        <v>401.34220206028908</v>
      </c>
      <c r="T57" s="62">
        <f t="shared" si="34"/>
        <v>265.33314259106987</v>
      </c>
      <c r="U57" s="16">
        <f>IF(ISNA(VLOOKUP(A57,'Données projet'!$A$35:$I$55,3,0)),0,VLOOKUP(A57,'Données projet'!$A$35:$I$55,3,0))</f>
        <v>4</v>
      </c>
      <c r="V57" s="16">
        <f>IF(ISNA(VLOOKUP(A57,'Données projet'!$A$35:$I$55,4,0)),0,VLOOKUP(A57,'Données projet'!$A$35:$I$55,4,0))</f>
        <v>31</v>
      </c>
      <c r="W57" s="17">
        <f>IF(ISNA(VLOOKUP(A57,'Données projet'!$A$35:$I$55,5,0)),0%,VLOOKUP(A57,'Données projet'!$A$35:$I$55,5,0)*VLOOKUP('Données projet'!$B$9,Paramètres!$A$1:$I$89,7,0))</f>
        <v>0.30099999999999999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9.0113098957382238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9.0113098957382238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213.00000000000006</v>
      </c>
      <c r="AJ57" s="14">
        <f>AI57*VLOOKUP('Données projet'!$B$10,Paramètres!$A$1:$I$89,3,0)*VLOOKUP('Données projet'!$B$10,Paramètres!$A$1:$I$89,5,0)</f>
        <v>99.684000000000026</v>
      </c>
      <c r="AK57" s="14">
        <f t="shared" si="35"/>
        <v>26.886701044194457</v>
      </c>
      <c r="AL57" s="22">
        <f t="shared" si="4"/>
        <v>220.44397098530536</v>
      </c>
      <c r="AM57" s="62">
        <f t="shared" si="5"/>
        <v>478.14834365264471</v>
      </c>
      <c r="AN57" s="62">
        <f ca="1">AVERAGE(OFFSET($AM$3,0,0,'Données projet'!$E$10+1,1))-AVERAGE(OFFSET($H$3,0,0,'Données projet'!$E$10+1,1))</f>
        <v>253.48761861464732</v>
      </c>
      <c r="AO57" s="62">
        <f t="shared" si="36"/>
        <v>219.50855998133855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21.607894690830072</v>
      </c>
      <c r="AV57" s="23">
        <f>EXP(-LN(2)/25)*AV56+(1-EXP(-LN(2)/25))/(LN(2)/25)*Calculateur!AQ57*Calculateur!AS57*VLOOKUP('Données projet'!$B$10,Paramètres!$A$1:$I$89,3,0)*0.475*44/12</f>
        <v>6.4862945204599871</v>
      </c>
      <c r="AW57" s="23">
        <f>EXP(-LN(2)/2)*AW56+(1-EXP(-LN(2)/2))/(LN(2)/2)*AQ57*AT57*VLOOKUP('Données projet'!$B$10,Paramètres!$A$1:$I$89,3,0)*0.475*44/12</f>
        <v>0.79650705708802161</v>
      </c>
      <c r="AX57" s="23">
        <f t="shared" si="6"/>
        <v>28.890696268378079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>
        <f>VLOOKUP(A57,'Données projet'!$A$87:$I$107,2,0)</f>
        <v>311</v>
      </c>
      <c r="BB57" s="13">
        <f>VLOOKUP(A57,'Données projet'!$A$87:$I$107,9,0)</f>
        <v>5.875</v>
      </c>
      <c r="BC57" s="13">
        <f t="array" ref="BC57">INDEX(BB:BB,MIN(IF(ISNUMBER(BB57:BB253),ROW(BB57:BB253),"")))</f>
        <v>5.875</v>
      </c>
      <c r="BD57" s="13">
        <f>IF('Données projet'!$A$88&gt;35,BD56+BC57-BL56,IF(A57&lt;'Données projet'!$A$88,$BA$205^A57,IF(A57='Données projet'!$A$88,'Données projet'!$B$88,BD56+BC57-BL56)))</f>
        <v>311</v>
      </c>
      <c r="BE57" s="14">
        <f>BD57*VLOOKUP('Données projet'!$B$11,Paramètres!$A$1:$I$89,3,0)*VLOOKUP('Données projet'!$B$11,Paramètres!$A$1:$I$89,5,0)</f>
        <v>358.27199999999999</v>
      </c>
      <c r="BF57" s="14">
        <f t="shared" si="37"/>
        <v>83.263479396512693</v>
      </c>
      <c r="BG57" s="22">
        <f t="shared" si="7"/>
        <v>769.00762661559293</v>
      </c>
      <c r="BH57" s="62">
        <f t="shared" si="8"/>
        <v>1026.7119992829323</v>
      </c>
      <c r="BI57" s="62">
        <f ca="1">AVERAGE(OFFSET($BH$3,0,0,'Données projet'!$E$11+1,1))-AVERAGE(OFFSET($H$3,0,0,'Données projet'!$E$11+1,1))</f>
        <v>482.85256243111911</v>
      </c>
      <c r="BJ57" s="62">
        <f t="shared" si="38"/>
        <v>517.78430032567064</v>
      </c>
      <c r="BK57" s="16">
        <f>IF(ISNA(VLOOKUP(A57,'Données projet'!$A$87:$I$107,3,0)),0,VLOOKUP(A57,'Données projet'!$A$87:$I$107,3,0))</f>
        <v>8</v>
      </c>
      <c r="BL57" s="16">
        <f>IF(ISNA(VLOOKUP(A57,'Données projet'!$A$87:$I$107,4,0)),0,VLOOKUP(A57,'Données projet'!$A$87:$I$107,4,0))</f>
        <v>16</v>
      </c>
      <c r="BM57" s="17">
        <f>IF(ISNA(VLOOKUP(A57,'Données projet'!$A$87:$I$107,5,0)),0%,VLOOKUP(A57,'Données projet'!$A$87:$I$107,5,0)*VLOOKUP('Données projet'!$B$11,Paramètres!$A$1:$I$89,7,0))</f>
        <v>0.315</v>
      </c>
      <c r="BN57" s="17">
        <f>IF(ISNA(VLOOKUP(A57,'Données projet'!$A$87:$I$107,6,0)),0%,VLOOKUP(A57,'Données projet'!$A$87:$I$107,6,0)*VLOOKUP('Données projet'!$B$11,Paramètres!$A$1:$I$89,7,0))</f>
        <v>7.6500000000000012E-2</v>
      </c>
      <c r="BO57" s="17">
        <f>IF(ISNA(VLOOKUP(A57,'Données projet'!$A$87:$I$107,7,0)),0%,VLOOKUP(A57,'Données projet'!$A$87:$I$107,7,0))</f>
        <v>0.13</v>
      </c>
      <c r="BP57" s="23">
        <f>EXP(-LN(2)/35)*BP56+(1-EXP(-LN(2)/35))/(LN(2)/35)*BL57*BM57*VLOOKUP('Données projet'!$B$11,Paramètres!$A$1:$I$89,3,0)*0.475*44/12</f>
        <v>36.715253635229068</v>
      </c>
      <c r="BQ57" s="23">
        <f>EXP(-LN(2)/25)*BQ56+(1-EXP(-LN(2)/25))/(LN(2)/25)*Calculateur!BL57*Calculateur!BN57*VLOOKUP('Données projet'!$B$11,Paramètres!$A$1:$I$89,3,0)*0.475*44/12</f>
        <v>10.687452303651467</v>
      </c>
      <c r="BR57" s="23">
        <f>EXP(-LN(2)/2)*BR56+(1-EXP(-LN(2)/2))/(LN(2)/2)*BL57*BO57*VLOOKUP('Données projet'!$B$11,Paramètres!$A$1:$I$89,3,0)*0.475*44/12</f>
        <v>1.6701049987014298</v>
      </c>
      <c r="BS57" s="24">
        <f t="shared" si="9"/>
        <v>49.07281093758197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>
        <f>VLOOKUP(A57,'Données projet'!$A$113:$I$133,2,0)</f>
        <v>311</v>
      </c>
      <c r="BW57" s="13">
        <f>VLOOKUP(A57,'Données projet'!$A$113:$I$133,9,0)</f>
        <v>5.875</v>
      </c>
      <c r="BX57" s="13">
        <f t="array" ref="BX57">INDEX(BW:BW,MIN(IF(ISNUMBER(BW57:BW253),ROW(BW57:BW253),"")))</f>
        <v>5.875</v>
      </c>
      <c r="BY57" s="13">
        <f>IF('Données projet'!$A$114&gt;35,BY56+BX57-CG56,IF(A57&lt;'Données projet'!$A$114,$BV$205^A57,IF(A57='Données projet'!$A$114,'Données projet'!$B$114,BY56+BX57-CG56)))</f>
        <v>311</v>
      </c>
      <c r="BZ57" s="14">
        <f>BY57*VLOOKUP('Données projet'!$B$12,Paramètres!$A$1:$I$89,3,0)*VLOOKUP('Données projet'!$B$12,Paramètres!$A$1:$I$89,5,0)</f>
        <v>185.97800000000001</v>
      </c>
      <c r="CA57" s="14">
        <f t="shared" si="39"/>
        <v>46.649641523668571</v>
      </c>
      <c r="CB57" s="22">
        <f t="shared" si="10"/>
        <v>405.15980898705612</v>
      </c>
      <c r="CC57" s="62">
        <f t="shared" si="11"/>
        <v>662.86418165439545</v>
      </c>
      <c r="CD57" s="62">
        <f ca="1">AVERAGE(OFFSET($CC$3,0,0,'Données projet'!$E$12+1,1))-AVERAGE(OFFSET($H$3,0,0,'Données projet'!$E$12+1,1))</f>
        <v>275.76900776033335</v>
      </c>
      <c r="CE57" s="62">
        <f t="shared" si="40"/>
        <v>299.36898480605191</v>
      </c>
      <c r="CF57" s="16">
        <f>IF(ISNA(VLOOKUP(A57,'Données projet'!$A$113:$I$133,3,0)),0,VLOOKUP(A57,'Données projet'!$A$113:$I$133,3,0))</f>
        <v>8</v>
      </c>
      <c r="CG57" s="16">
        <f>IF(ISNA(VLOOKUP(A57,'Données projet'!$A$113:$I$133,4,0)),0,VLOOKUP(A57,'Données projet'!$A$113:$I$133,4,0))</f>
        <v>16</v>
      </c>
      <c r="CH57" s="17">
        <f>IF(ISNA(VLOOKUP(A57,'Données projet'!$A$113:$I$133,5,0)),0%,VLOOKUP(A57,'Données projet'!$A$113:$I$133,5,0)*VLOOKUP('Données projet'!$B$12,Paramètres!$A$1:$I$89,7,0))</f>
        <v>0.315</v>
      </c>
      <c r="CI57" s="17">
        <f>IF(ISNA(VLOOKUP(A57,'Données projet'!$A$113:$I$133,6,0)),0%,VLOOKUP(A57,'Données projet'!$A$113:$I$133,6,0)*VLOOKUP('Données projet'!$B$12,Paramètres!$A$1:$I$89,7,0))</f>
        <v>7.6500000000000012E-2</v>
      </c>
      <c r="CJ57" s="17">
        <f>IF(ISNA(VLOOKUP(A57,'Données projet'!$A$113:$I$133,7,0)),0%,VLOOKUP(A57,'Données projet'!$A$113:$I$133,7,0))</f>
        <v>0.13</v>
      </c>
      <c r="CK57" s="23">
        <f>EXP(-LN(2)/35)*CK56+(1-EXP(-LN(2)/35))/(LN(2)/35)*CG57*CH57*VLOOKUP('Données projet'!$B$12,Paramètres!$A$1:$I$89,3,0)*0.475*44/12</f>
        <v>35.185451400427851</v>
      </c>
      <c r="CL57" s="23">
        <f>EXP(-LN(2)/25)*CL56+(1-EXP(-LN(2)/25))/(LN(2)/25)*Calculateur!CG57*Calculateur!CI57*VLOOKUP('Données projet'!$B$12,Paramètres!$A$1:$I$89,3,0)*0.475*44/12</f>
        <v>10.242141790999321</v>
      </c>
      <c r="CM57" s="23">
        <f>EXP(-LN(2)/2)*CM56+(1-EXP(-LN(2)/2))/(LN(2)/2)*CG57*CJ57*VLOOKUP('Données projet'!$B$12,Paramètres!$A$1:$I$89,3,0)*0.475*44/12</f>
        <v>1.600517290422204</v>
      </c>
      <c r="CN57" s="24">
        <f t="shared" si="12"/>
        <v>47.028110481849374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>
        <f>VLOOKUP(A57,'Données projet'!$A$139:$I$159,2,0)</f>
        <v>163</v>
      </c>
      <c r="CR57" s="13">
        <f>VLOOKUP(A57,'Données projet'!$A$139:$I$159,9,0)</f>
        <v>7.833333333333333</v>
      </c>
      <c r="CS57" s="13">
        <f t="array" ref="CS57">INDEX(CR:CR,MIN(IF(ISNUMBER(CR57:CR253),ROW(CR57:CR253),"")))</f>
        <v>7.833333333333333</v>
      </c>
      <c r="CT57" s="13">
        <f>IF('Données projet'!$A$140&gt;35,CT56+CS57-DB56,IF(A57&lt;'Données projet'!$A$140,$CQ$205^A57,IF(A57='Données projet'!$A$140,'Données projet'!$B$140,CT56+CS57-DB56)))</f>
        <v>163.00000000000017</v>
      </c>
      <c r="CU57" s="18">
        <f>CT57*VLOOKUP('Données projet'!$B$13,Paramètres!$A$1:$I$89,3,0)*VLOOKUP('Données projet'!$B$13,Paramètres!$A$1:$I$89,5,0)</f>
        <v>177.99600000000018</v>
      </c>
      <c r="CV57" s="14">
        <f t="shared" si="41"/>
        <v>44.876042989096433</v>
      </c>
      <c r="CW57" s="22">
        <f t="shared" si="13"/>
        <v>388.16880820600994</v>
      </c>
      <c r="CX57" s="62">
        <f t="shared" si="14"/>
        <v>645.87318087334927</v>
      </c>
      <c r="CY57" s="62">
        <f ca="1">AVERAGE(OFFSET($CX$3,0,0,'Données projet'!$E$13+1,1))-AVERAGE(OFFSET($H$3,0,0,'Données projet'!$E$13+1,1))</f>
        <v>482.24068797679558</v>
      </c>
      <c r="CZ57" s="62">
        <f t="shared" si="42"/>
        <v>316.28941055521693</v>
      </c>
      <c r="DA57" s="16">
        <f>IF(ISNA(VLOOKUP(A57,'Données projet'!$A$139:$I$159,3,0)),0,VLOOKUP(A57,'Données projet'!$A$139:$I$159,3,0))</f>
        <v>4</v>
      </c>
      <c r="DB57" s="16">
        <f>IF(ISNA(VLOOKUP(A57,'Données projet'!$A$139:$I$159,4,0)),0,VLOOKUP(A57,'Données projet'!$A$139:$I$159,4,0))</f>
        <v>31</v>
      </c>
      <c r="DC57" s="17">
        <f>IF(ISNA(VLOOKUP(A57,'Données projet'!$A$139:$I$159,5,0)),0%,VLOOKUP(A57,'Données projet'!$A$139:$I$159,5,0)*VLOOKUP('Données projet'!$B$13,Paramètres!$A$1:$I$89,7,0))</f>
        <v>0.30099999999999999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11.264137369672776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11.264137369672776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13.4</v>
      </c>
      <c r="DO57" s="13">
        <f>IF('Données projet'!$A$166&gt;35,DO56+DN57-DW56,IF(A57&lt;'Données projet'!$A$166,$DL$205^A57,IF(A57='Données projet'!$A$166,'Données projet'!$B$166,DO56+DN57-DW56)))</f>
        <v>374.59999999999985</v>
      </c>
      <c r="DP57" s="18">
        <f>DO57*VLOOKUP('Données projet'!$B$14,Paramètres!$A$1:$I$89,3,0)*VLOOKUP('Données projet'!$B$14,Paramètres!$A$1:$I$89,5,0)</f>
        <v>303.87551999999988</v>
      </c>
      <c r="DQ57" s="14">
        <f t="shared" si="43"/>
        <v>71.98831339755732</v>
      </c>
      <c r="DR57" s="22">
        <f t="shared" si="16"/>
        <v>654.6295098340787</v>
      </c>
      <c r="DS57" s="62">
        <f t="shared" si="17"/>
        <v>912.33388250141797</v>
      </c>
      <c r="DT57" s="62">
        <f ca="1">AVERAGE(OFFSET($DS$3,0,0,'Données projet'!$E$14+1,1))-AVERAGE(OFFSET($H$3,0,0,'Données projet'!$E$14+1,1))</f>
        <v>325.58538970226539</v>
      </c>
      <c r="DU57" s="62">
        <f t="shared" si="44"/>
        <v>361.81085660423457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22.173787374725411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22.173787374725411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>
        <f>VLOOKUP(A57,'Données projet'!$A$191:$I$211,2,0)</f>
        <v>130.4</v>
      </c>
      <c r="EH57" s="13">
        <f>VLOOKUP(A57,'Données projet'!$A$191:$I$211,9,0)</f>
        <v>6.2666666666666684</v>
      </c>
      <c r="EI57" s="13">
        <f t="array" ref="EI57">INDEX(EH:EH,MIN(IF(ISNUMBER(EH57:EH253),ROW(EH57:EH253),"")))</f>
        <v>6.2666666666666684</v>
      </c>
      <c r="EJ57" s="13">
        <f>IF('Données projet'!$A$192&gt;35,EJ56+EI57-ER56,IF(A57&lt;'Données projet'!$A$192,$EG$205^A57,IF(A57='Données projet'!$A$192,'Données projet'!$B$192,EJ56+EI57-ER56)))</f>
        <v>130.39999999999992</v>
      </c>
      <c r="EK57" s="18">
        <f>EJ57*VLOOKUP('Données projet'!$B$15,Paramètres!$A$1:$I$89,3,0)*VLOOKUP('Données projet'!$B$15,Paramètres!$A$1:$I$89,5,0)</f>
        <v>126.12287999999994</v>
      </c>
      <c r="EL57" s="14">
        <f t="shared" si="45"/>
        <v>33.09889815449128</v>
      </c>
      <c r="EM57" s="22">
        <f t="shared" si="19"/>
        <v>277.31126361907224</v>
      </c>
      <c r="EN57" s="62">
        <f t="shared" si="20"/>
        <v>535.01563628641156</v>
      </c>
      <c r="EO57" s="62">
        <f ca="1">AVERAGE(OFFSET($EN$3,0,0,'Données projet'!$E$15+1,1))-AVERAGE(OFFSET($H$3,0,0,'Données projet'!$E$15+1,1))</f>
        <v>364.22267539944085</v>
      </c>
      <c r="EP57" s="62">
        <f t="shared" si="46"/>
        <v>241.947139538615</v>
      </c>
      <c r="EQ57" s="16">
        <f>IF(ISNA(VLOOKUP(A57,'Données projet'!$A$191:$I$211,3,0)),0,VLOOKUP(A57,'Données projet'!$A$191:$I$211,3,0))</f>
        <v>4</v>
      </c>
      <c r="ER57" s="16">
        <f>IF(ISNA(VLOOKUP(A57,'Données projet'!$A$191:$I$211,4,0)),0,VLOOKUP(A57,'Données projet'!$A$191:$I$211,4,0))</f>
        <v>24.8</v>
      </c>
      <c r="ES57" s="17">
        <f>IF(ISNA(VLOOKUP(A57,'Données projet'!$A$191:$I$211,5,0)),0%,VLOOKUP(A57,'Données projet'!$A$191:$I$211,5,0)*VLOOKUP('Données projet'!$B$15,Paramètres!$A$1:$I$89,7,0))</f>
        <v>0.30099999999999999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7.9814459076538542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7.9814459076538542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11.2</v>
      </c>
      <c r="FE57" s="13">
        <f>IF('Données projet'!$A$218&gt;35,FE56+FD57-FM56,IF(A57&lt;'Données projet'!$A$218,$FB$205^A57,IF(A57='Données projet'!$A$218,'Données projet'!$B$218,FE56+FD57-FM56)))</f>
        <v>302.79999999999984</v>
      </c>
      <c r="FF57" s="18">
        <f>FE57*VLOOKUP('Données projet'!$B$16,Paramètres!$A$1:$I$89,3,0)*VLOOKUP('Données projet'!$B$16,Paramètres!$A$1:$I$89,5,0)</f>
        <v>264.52607999999992</v>
      </c>
      <c r="FG57" s="14">
        <f t="shared" si="47"/>
        <v>63.686184123581342</v>
      </c>
      <c r="FH57" s="22">
        <f t="shared" si="22"/>
        <v>571.6363600152373</v>
      </c>
      <c r="FI57" s="62">
        <f t="shared" si="23"/>
        <v>829.34073268257657</v>
      </c>
      <c r="FJ57" s="62">
        <f ca="1">AVERAGE(OFFSET($FI$3,0,0,'Données projet'!$E$16+1,1))-AVERAGE(OFFSET($H$3,0,0,'Données projet'!$E$16+1,1))</f>
        <v>286.59837239471312</v>
      </c>
      <c r="FK57" s="62">
        <f t="shared" si="48"/>
        <v>319.26091328564689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23.704594051916388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23.704594051916388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13.4</v>
      </c>
      <c r="FZ57" s="13">
        <f>IF('Données projet'!$A$244&gt;35,FZ56+FY57-GH56,IF(A57&lt;'Données projet'!$A$244,$FW$205^A57,IF(A57='Données projet'!$A$244,'Données projet'!$B$244,FZ56+FY57-GH56)))</f>
        <v>374.59999999999985</v>
      </c>
      <c r="GA57" s="18">
        <f>FZ57*VLOOKUP('Données projet'!$B$17,Paramètres!$A$1:$I$89,3,0)*VLOOKUP('Données projet'!$B$17,Paramètres!$A$1:$I$89,5,0)</f>
        <v>251.28167999999994</v>
      </c>
      <c r="GB57" s="14">
        <f t="shared" si="49"/>
        <v>60.860311600246767</v>
      </c>
      <c r="GC57" s="22">
        <f t="shared" si="25"/>
        <v>543.64730203709632</v>
      </c>
      <c r="GD57" s="62">
        <f t="shared" si="26"/>
        <v>801.35167470443571</v>
      </c>
      <c r="GE57" s="62">
        <f ca="1">AVERAGE(OFFSET($GD$3,0,0,'Données projet'!$E$17+1,1))-AVERAGE(OFFSET($H$3,0,0,'Données projet'!$E$17+1,1))</f>
        <v>277.37570531842186</v>
      </c>
      <c r="GF57" s="62">
        <f t="shared" si="50"/>
        <v>310.00874200911312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projet'!$B$17,Paramètres!$A$1:$I$89,3,0)*0.475*44/12</f>
        <v>22.600206362700899</v>
      </c>
      <c r="GM57" s="23">
        <f>EXP(-LN(2)/25)*GM56+(1-EXP(-LN(2)/25))/(LN(2)/25)*Calculateur!GH57*Calculateur!GJ57*VLOOKUP('Données projet'!$B$17,Paramètres!$A$1:$I$89,3,0)*0.475*44/12</f>
        <v>0</v>
      </c>
      <c r="GN57" s="23">
        <f>EXP(-LN(2)/2)*GN56+(1-EXP(-LN(2)/2))/(LN(2)/2)*GH57*GK57*VLOOKUP('Données projet'!$B$17,Paramètres!$A$1:$I$89,3,0)*0.475*44/12</f>
        <v>0</v>
      </c>
      <c r="GO57" s="23">
        <f t="shared" si="27"/>
        <v>22.600206362700899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7.75</v>
      </c>
      <c r="N58" s="14">
        <f>IF('Données projet'!$A$36&gt;35,N57+M58-V57,IF(A58&lt;'Données projet'!$A$36,$K$205^A58,IF(A58='Données projet'!$A$36,'Données projet'!$B$36,N57+M58-V57)))</f>
        <v>139.75000000000017</v>
      </c>
      <c r="O58" s="14">
        <f>N58*VLOOKUP('Données projet'!$B$9,Paramètres!$A$1:$I$89,3,0)*VLOOKUP('Données projet'!$B$9,Paramètres!$A$1:$I$89,5,0)</f>
        <v>122.08560000000017</v>
      </c>
      <c r="P58" s="14">
        <f t="shared" si="33"/>
        <v>32.160942364346752</v>
      </c>
      <c r="Q58" s="22">
        <f t="shared" si="53"/>
        <v>268.64606128457086</v>
      </c>
      <c r="R58" s="62">
        <f t="shared" si="0"/>
        <v>526.9685167650423</v>
      </c>
      <c r="S58" s="62">
        <f ca="1">AVERAGE(OFFSET($R$3,0,0,'Données projet'!$E$9+1,1))-AVERAGE(OFFSET($H$3,0,0,'Données projet'!$E$9+1,1))</f>
        <v>401.34220206028908</v>
      </c>
      <c r="T58" s="62">
        <f t="shared" si="34"/>
        <v>265.33314259106987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8.8346036050391135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8.8346036050391135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221.00000000000006</v>
      </c>
      <c r="AJ58" s="14">
        <f>AI58*VLOOKUP('Données projet'!$B$10,Paramètres!$A$1:$I$89,3,0)*VLOOKUP('Données projet'!$B$10,Paramètres!$A$1:$I$89,5,0)</f>
        <v>103.42800000000003</v>
      </c>
      <c r="AK58" s="14">
        <f t="shared" si="35"/>
        <v>27.777062350859747</v>
      </c>
      <c r="AL58" s="22">
        <f t="shared" si="4"/>
        <v>228.51548359441412</v>
      </c>
      <c r="AM58" s="62">
        <f t="shared" si="5"/>
        <v>486.83793907488553</v>
      </c>
      <c r="AN58" s="62">
        <f ca="1">AVERAGE(OFFSET($AM$3,0,0,'Données projet'!$E$10+1,1))-AVERAGE(OFFSET($H$3,0,0,'Données projet'!$E$10+1,1))</f>
        <v>253.48761861464732</v>
      </c>
      <c r="AO58" s="62">
        <f t="shared" si="36"/>
        <v>219.50855998133855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21.184177055457287</v>
      </c>
      <c r="AV58" s="23">
        <f>EXP(-LN(2)/25)*AV57+(1-EXP(-LN(2)/25))/(LN(2)/25)*Calculateur!AQ58*Calculateur!AS58*VLOOKUP('Données projet'!$B$10,Paramètres!$A$1:$I$89,3,0)*0.475*44/12</f>
        <v>6.3089264556986047</v>
      </c>
      <c r="AW58" s="23">
        <f>EXP(-LN(2)/2)*AW57+(1-EXP(-LN(2)/2))/(LN(2)/2)*AQ58*AT58*VLOOKUP('Données projet'!$B$10,Paramètres!$A$1:$I$89,3,0)*0.475*44/12</f>
        <v>0.56321554132988061</v>
      </c>
      <c r="AX58" s="23">
        <f t="shared" si="6"/>
        <v>28.056319052485772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2.625</v>
      </c>
      <c r="BD58" s="13">
        <f>IF('Données projet'!$A$88&gt;35,BD57+BC58-BL57,IF(A58&lt;'Données projet'!$A$88,$BA$205^A58,IF(A58='Données projet'!$A$88,'Données projet'!$B$88,BD57+BC58-BL57)))</f>
        <v>297.625</v>
      </c>
      <c r="BE58" s="14">
        <f>BD58*VLOOKUP('Données projet'!$B$11,Paramètres!$A$1:$I$89,3,0)*VLOOKUP('Données projet'!$B$11,Paramètres!$A$1:$I$89,5,0)</f>
        <v>342.86399999999998</v>
      </c>
      <c r="BF58" s="14">
        <f t="shared" si="37"/>
        <v>80.091377769441237</v>
      </c>
      <c r="BG58" s="22">
        <f t="shared" si="7"/>
        <v>736.64728294844338</v>
      </c>
      <c r="BH58" s="62">
        <f t="shared" si="8"/>
        <v>994.96973842891475</v>
      </c>
      <c r="BI58" s="62">
        <f ca="1">AVERAGE(OFFSET($BH$3,0,0,'Données projet'!$E$11+1,1))-AVERAGE(OFFSET($H$3,0,0,'Données projet'!$E$11+1,1))</f>
        <v>482.85256243111911</v>
      </c>
      <c r="BJ58" s="62">
        <f t="shared" si="38"/>
        <v>517.78430032567064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35.995289905535714</v>
      </c>
      <c r="BQ58" s="23">
        <f>EXP(-LN(2)/25)*BQ57+(1-EXP(-LN(2)/25))/(LN(2)/25)*Calculateur!BL58*Calculateur!BN58*VLOOKUP('Données projet'!$B$11,Paramètres!$A$1:$I$89,3,0)*0.475*44/12</f>
        <v>10.395203358379428</v>
      </c>
      <c r="BR58" s="23">
        <f>EXP(-LN(2)/2)*BR57+(1-EXP(-LN(2)/2))/(LN(2)/2)*BL58*BO58*VLOOKUP('Données projet'!$B$11,Paramètres!$A$1:$I$89,3,0)*0.475*44/12</f>
        <v>1.1809425698753313</v>
      </c>
      <c r="BS58" s="24">
        <f t="shared" si="9"/>
        <v>47.571435833790474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2.625</v>
      </c>
      <c r="BY58" s="13">
        <f>IF('Données projet'!$A$114&gt;35,BY57+BX58-CG57,IF(A58&lt;'Données projet'!$A$114,$BV$205^A58,IF(A58='Données projet'!$A$114,'Données projet'!$B$114,BY57+BX58-CG57)))</f>
        <v>297.625</v>
      </c>
      <c r="BZ58" s="14">
        <f>BY58*VLOOKUP('Données projet'!$B$12,Paramètres!$A$1:$I$89,3,0)*VLOOKUP('Données projet'!$B$12,Paramètres!$A$1:$I$89,5,0)</f>
        <v>177.97975</v>
      </c>
      <c r="CA58" s="14">
        <f t="shared" si="39"/>
        <v>44.87242292972973</v>
      </c>
      <c r="CB58" s="22">
        <f t="shared" si="10"/>
        <v>388.13420118594587</v>
      </c>
      <c r="CC58" s="62">
        <f t="shared" si="11"/>
        <v>646.4566566664173</v>
      </c>
      <c r="CD58" s="62">
        <f ca="1">AVERAGE(OFFSET($CC$3,0,0,'Données projet'!$E$12+1,1))-AVERAGE(OFFSET($H$3,0,0,'Données projet'!$E$12+1,1))</f>
        <v>275.76900776033335</v>
      </c>
      <c r="CE58" s="62">
        <f t="shared" si="40"/>
        <v>299.36898480605191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34.495486159471717</v>
      </c>
      <c r="CL58" s="23">
        <f>EXP(-LN(2)/25)*CL57+(1-EXP(-LN(2)/25))/(LN(2)/25)*Calculateur!CG58*Calculateur!CI58*VLOOKUP('Données projet'!$B$12,Paramètres!$A$1:$I$89,3,0)*0.475*44/12</f>
        <v>9.9620698851136176</v>
      </c>
      <c r="CM58" s="23">
        <f>EXP(-LN(2)/2)*CM57+(1-EXP(-LN(2)/2))/(LN(2)/2)*CG58*CJ58*VLOOKUP('Données projet'!$B$12,Paramètres!$A$1:$I$89,3,0)*0.475*44/12</f>
        <v>1.1317366294638593</v>
      </c>
      <c r="CN58" s="24">
        <f t="shared" si="12"/>
        <v>45.58929267404919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7.75</v>
      </c>
      <c r="CT58" s="13">
        <f>IF('Données projet'!$A$140&gt;35,CT57+CS58-DB57,IF(A58&lt;'Données projet'!$A$140,$CQ$205^A58,IF(A58='Données projet'!$A$140,'Données projet'!$B$140,CT57+CS58-DB57)))</f>
        <v>139.75000000000017</v>
      </c>
      <c r="CU58" s="18">
        <f>CT58*VLOOKUP('Données projet'!$B$13,Paramètres!$A$1:$I$89,3,0)*VLOOKUP('Données projet'!$B$13,Paramètres!$A$1:$I$89,5,0)</f>
        <v>152.6070000000002</v>
      </c>
      <c r="CV58" s="14">
        <f t="shared" si="41"/>
        <v>39.170440293600677</v>
      </c>
      <c r="CW58" s="22">
        <f t="shared" si="13"/>
        <v>334.0123751780215</v>
      </c>
      <c r="CX58" s="62">
        <f t="shared" si="14"/>
        <v>592.33483065849282</v>
      </c>
      <c r="CY58" s="62">
        <f ca="1">AVERAGE(OFFSET($CX$3,0,0,'Données projet'!$E$13+1,1))-AVERAGE(OFFSET($H$3,0,0,'Données projet'!$E$13+1,1))</f>
        <v>482.24068797679558</v>
      </c>
      <c r="CZ58" s="62">
        <f t="shared" si="42"/>
        <v>316.28941055521693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11.043254506298888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11.043254506298888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388</v>
      </c>
      <c r="DM58" s="13">
        <f>VLOOKUP(A58,'Données projet'!$A$165:$I$185,9,0)</f>
        <v>13.4</v>
      </c>
      <c r="DN58" s="13">
        <f t="array" ref="DN58">INDEX(DM:DM,MIN(IF(ISNUMBER(DM58:DM254),ROW(DM58:DM254),"")))</f>
        <v>13.4</v>
      </c>
      <c r="DO58" s="13">
        <f>IF('Données projet'!$A$166&gt;35,DO57+DN58-DW57,IF(A58&lt;'Données projet'!$A$166,$DL$205^A58,IF(A58='Données projet'!$A$166,'Données projet'!$B$166,DO57+DN58-DW57)))</f>
        <v>387.99999999999983</v>
      </c>
      <c r="DP58" s="18">
        <f>DO58*VLOOKUP('Données projet'!$B$14,Paramètres!$A$1:$I$89,3,0)*VLOOKUP('Données projet'!$B$14,Paramètres!$A$1:$I$89,5,0)</f>
        <v>314.74559999999985</v>
      </c>
      <c r="DQ58" s="14">
        <f t="shared" si="43"/>
        <v>74.259022329594401</v>
      </c>
      <c r="DR58" s="22">
        <f t="shared" si="16"/>
        <v>677.51638389071002</v>
      </c>
      <c r="DS58" s="62">
        <f t="shared" si="17"/>
        <v>935.83883937118139</v>
      </c>
      <c r="DT58" s="62">
        <f ca="1">AVERAGE(OFFSET($DS$3,0,0,'Données projet'!$E$14+1,1))-AVERAGE(OFFSET($H$3,0,0,'Données projet'!$E$14+1,1))</f>
        <v>325.58538970226539</v>
      </c>
      <c r="DU58" s="62">
        <f t="shared" si="44"/>
        <v>361.81085660423457</v>
      </c>
      <c r="DV58" s="16" t="str">
        <f>IF(ISNA(VLOOKUP(A58,'Données projet'!$A$165:$I$185,3,0)),0,VLOOKUP(A58,'Données projet'!$A$165:$I$185,3,0))</f>
        <v>CR</v>
      </c>
      <c r="DW58" s="16">
        <f>IF(ISNA(VLOOKUP(A58,'Données projet'!$A$165:$I$185,4,0)),0,VLOOKUP(A58,'Données projet'!$A$165:$I$185,4,0))</f>
        <v>388</v>
      </c>
      <c r="DX58" s="17">
        <f>IF(ISNA(VLOOKUP(A58,'Données projet'!$A$165:$I$185,5,0)),0%,VLOOKUP(A58,'Données projet'!$A$165:$I$185,5,0)*VLOOKUP('Données projet'!$B$14,Paramètres!$A$1:$I$89,7,0))</f>
        <v>0.38700000000000001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156.39250289176411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156.39250289176411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6.1999999999999975</v>
      </c>
      <c r="EJ58" s="13">
        <f>IF('Données projet'!$A$192&gt;35,EJ57+EI58-ER57,IF(A58&lt;'Données projet'!$A$192,$EG$205^A58,IF(A58='Données projet'!$A$192,'Données projet'!$B$192,EJ57+EI58-ER57)))</f>
        <v>111.79999999999991</v>
      </c>
      <c r="EK58" s="18">
        <f>EJ58*VLOOKUP('Données projet'!$B$15,Paramètres!$A$1:$I$89,3,0)*VLOOKUP('Données projet'!$B$15,Paramètres!$A$1:$I$89,5,0)</f>
        <v>108.13295999999991</v>
      </c>
      <c r="EL58" s="14">
        <f t="shared" si="45"/>
        <v>28.890658079177857</v>
      </c>
      <c r="EM58" s="22">
        <f t="shared" si="19"/>
        <v>238.64946815456793</v>
      </c>
      <c r="EN58" s="62">
        <f t="shared" si="20"/>
        <v>496.97192363503927</v>
      </c>
      <c r="EO58" s="62">
        <f ca="1">AVERAGE(OFFSET($EN$3,0,0,'Données projet'!$E$15+1,1))-AVERAGE(OFFSET($H$3,0,0,'Données projet'!$E$15+1,1))</f>
        <v>364.22267539944085</v>
      </c>
      <c r="EP58" s="62">
        <f t="shared" si="46"/>
        <v>241.947139538615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7.8249346216060705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7.8249346216060705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>
        <f>VLOOKUP(A58,'Données projet'!$A$217:$I$237,2,0)</f>
        <v>314</v>
      </c>
      <c r="FC58" s="13">
        <f>VLOOKUP(A58,'Données projet'!$A$217:$I$237,9,0)</f>
        <v>11.2</v>
      </c>
      <c r="FD58" s="13">
        <f t="array" ref="FD58">INDEX(FC:FC,MIN(IF(ISNUMBER(FC58:FC254),ROW(FC58:FC254),"")))</f>
        <v>11.2</v>
      </c>
      <c r="FE58" s="13">
        <f>IF('Données projet'!$A$218&gt;35,FE57+FD58-FM57,IF(A58&lt;'Données projet'!$A$218,$FB$205^A58,IF(A58='Données projet'!$A$218,'Données projet'!$B$218,FE57+FD58-FM57)))</f>
        <v>313.99999999999983</v>
      </c>
      <c r="FF58" s="18">
        <f>FE58*VLOOKUP('Données projet'!$B$16,Paramètres!$A$1:$I$89,3,0)*VLOOKUP('Données projet'!$B$16,Paramètres!$A$1:$I$89,5,0)</f>
        <v>274.3103999999999</v>
      </c>
      <c r="FG58" s="14">
        <f t="shared" si="47"/>
        <v>65.76320001612396</v>
      </c>
      <c r="FH58" s="22">
        <f t="shared" si="22"/>
        <v>592.29485336141568</v>
      </c>
      <c r="FI58" s="62">
        <f t="shared" si="23"/>
        <v>850.61730884188705</v>
      </c>
      <c r="FJ58" s="62">
        <f ca="1">AVERAGE(OFFSET($FI$3,0,0,'Données projet'!$E$16+1,1))-AVERAGE(OFFSET($H$3,0,0,'Données projet'!$E$16+1,1))</f>
        <v>286.59837239471312</v>
      </c>
      <c r="FK58" s="62">
        <f t="shared" si="48"/>
        <v>319.26091328564689</v>
      </c>
      <c r="FL58" s="16" t="str">
        <f>IF(ISNA(VLOOKUP(A58,'Données projet'!$A$217:$I$237,3,0)),0,VLOOKUP(A58,'Données projet'!$A$217:$I$237,3,0))</f>
        <v>CR</v>
      </c>
      <c r="FM58" s="16">
        <f>IF(ISNA(VLOOKUP(A58,'Données projet'!$A$217:$I$237,4,0)),0,VLOOKUP(A58,'Données projet'!$A$217:$I$237,4,0))</f>
        <v>314</v>
      </c>
      <c r="FN58" s="17">
        <f>IF(ISNA(VLOOKUP(A58,'Données projet'!$A$217:$I$237,5,0)),0%,VLOOKUP(A58,'Données projet'!$A$217:$I$237,5,0)*VLOOKUP('Données projet'!$B$16,Paramètres!$A$1:$I$89,7,0))</f>
        <v>0.371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135.74255158212998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135.74255158212998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>
        <f>VLOOKUP(A58,'Données projet'!$A$243:$I$263,2,0)</f>
        <v>388</v>
      </c>
      <c r="FX58" s="13">
        <f>VLOOKUP(A58,'Données projet'!$A$243:$I$263,9,0)</f>
        <v>13.4</v>
      </c>
      <c r="FY58" s="13">
        <f t="array" ref="FY58">INDEX(FX:FX,MIN(IF(ISNUMBER(FX58:FX254),ROW(FX58:FX254),"")))</f>
        <v>13.4</v>
      </c>
      <c r="FZ58" s="13">
        <f>IF('Données projet'!$A$244&gt;35,FZ57+FY58-GH57,IF(A58&lt;'Données projet'!$A$244,$FW$205^A58,IF(A58='Données projet'!$A$244,'Données projet'!$B$244,FZ57+FY58-GH57)))</f>
        <v>387.99999999999983</v>
      </c>
      <c r="GA58" s="18">
        <f>FZ58*VLOOKUP('Données projet'!$B$17,Paramètres!$A$1:$I$89,3,0)*VLOOKUP('Données projet'!$B$17,Paramètres!$A$1:$I$89,5,0)</f>
        <v>260.27039999999988</v>
      </c>
      <c r="GB58" s="14">
        <f t="shared" si="49"/>
        <v>62.780012821666482</v>
      </c>
      <c r="GC58" s="22">
        <f t="shared" si="25"/>
        <v>562.64613566440221</v>
      </c>
      <c r="GD58" s="62">
        <f t="shared" si="26"/>
        <v>820.96859114487359</v>
      </c>
      <c r="GE58" s="62">
        <f ca="1">AVERAGE(OFFSET($GD$3,0,0,'Données projet'!$E$17+1,1))-AVERAGE(OFFSET($H$3,0,0,'Données projet'!$E$17+1,1))</f>
        <v>277.37570531842186</v>
      </c>
      <c r="GF58" s="62">
        <f t="shared" si="50"/>
        <v>310.00874200911312</v>
      </c>
      <c r="GG58" s="16" t="str">
        <f>IF(ISNA(VLOOKUP(A58,'Données projet'!$A$243:$I$263,3,0)),0,VLOOKUP(A58,'Données projet'!$A$243:$I$263,3,0))</f>
        <v>CR</v>
      </c>
      <c r="GH58" s="16">
        <f>IF(ISNA(VLOOKUP(A58,'Données projet'!$A$243:$I$263,4,0)),0,VLOOKUP(A58,'Données projet'!$A$243:$I$263,4,0))</f>
        <v>388</v>
      </c>
      <c r="GI58" s="17">
        <f>IF(ISNA(VLOOKUP(A58,'Données projet'!$A$243:$I$263,5,0)),0%,VLOOKUP(A58,'Données projet'!$A$243:$I$263,5,0)*VLOOKUP('Données projet'!$B$17,Paramètres!$A$1:$I$89,7,0))</f>
        <v>0.47700000000000004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projet'!$B$17,Paramètres!$A$1:$I$89,3,0)*0.475*44/12</f>
        <v>159.40005102429802</v>
      </c>
      <c r="GM58" s="23">
        <f>EXP(-LN(2)/25)*GM57+(1-EXP(-LN(2)/25))/(LN(2)/25)*Calculateur!GH58*Calculateur!GJ58*VLOOKUP('Données projet'!$B$17,Paramètres!$A$1:$I$89,3,0)*0.475*44/12</f>
        <v>0</v>
      </c>
      <c r="GN58" s="23">
        <f>EXP(-LN(2)/2)*GN57+(1-EXP(-LN(2)/2))/(LN(2)/2)*GH58*GK58*VLOOKUP('Données projet'!$B$17,Paramètres!$A$1:$I$89,3,0)*0.475*44/12</f>
        <v>0</v>
      </c>
      <c r="GO58" s="23">
        <f t="shared" si="27"/>
        <v>159.40005102429802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7.75</v>
      </c>
      <c r="N59" s="14">
        <f>IF('Données projet'!$A$36&gt;35,N58+M59-V58,IF(A59&lt;'Données projet'!$A$36,$K$205^A59,IF(A59='Données projet'!$A$36,'Données projet'!$B$36,N58+M59-V58)))</f>
        <v>147.50000000000017</v>
      </c>
      <c r="O59" s="14">
        <f>N59*VLOOKUP('Données projet'!$B$9,Paramètres!$A$1:$I$89,3,0)*VLOOKUP('Données projet'!$B$9,Paramètres!$A$1:$I$89,5,0)</f>
        <v>128.85600000000017</v>
      </c>
      <c r="P59" s="14">
        <f t="shared" si="33"/>
        <v>33.731878688740935</v>
      </c>
      <c r="Q59" s="22">
        <f t="shared" si="53"/>
        <v>283.1738887162241</v>
      </c>
      <c r="R59" s="62">
        <f t="shared" si="0"/>
        <v>542.10370465484584</v>
      </c>
      <c r="S59" s="62">
        <f ca="1">AVERAGE(OFFSET($R$3,0,0,'Données projet'!$E$9+1,1))-AVERAGE(OFFSET($H$3,0,0,'Données projet'!$E$9+1,1))</f>
        <v>401.34220206028908</v>
      </c>
      <c r="T59" s="62">
        <f t="shared" si="34"/>
        <v>265.33314259106987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8.6613624169204186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8.6613624169204186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8</v>
      </c>
      <c r="AI59" s="14">
        <f>IF('Données projet'!$A$62&gt;35,AI58+AH59-AQ58,IF(A59&lt;'Données projet'!$A$62,$AF$205^A59,IF(A59='Données projet'!$A$62,'Données projet'!$B$62,AI58+AH59-AQ58)))</f>
        <v>229.00000000000006</v>
      </c>
      <c r="AJ59" s="14">
        <f>AI59*VLOOKUP('Données projet'!$B$10,Paramètres!$A$1:$I$89,3,0)*VLOOKUP('Données projet'!$B$10,Paramètres!$A$1:$I$89,5,0)</f>
        <v>107.17200000000003</v>
      </c>
      <c r="AK59" s="14">
        <f t="shared" si="35"/>
        <v>28.663679082578788</v>
      </c>
      <c r="AL59" s="22">
        <f t="shared" si="4"/>
        <v>236.58047440215807</v>
      </c>
      <c r="AM59" s="62">
        <f t="shared" si="5"/>
        <v>495.51029034077982</v>
      </c>
      <c r="AN59" s="62">
        <f ca="1">AVERAGE(OFFSET($AM$3,0,0,'Données projet'!$E$10+1,1))-AVERAGE(OFFSET($H$3,0,0,'Données projet'!$E$10+1,1))</f>
        <v>253.48761861464732</v>
      </c>
      <c r="AO59" s="62">
        <f t="shared" si="36"/>
        <v>219.50855998133855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20.768768264471923</v>
      </c>
      <c r="AV59" s="23">
        <f>EXP(-LN(2)/25)*AV58+(1-EXP(-LN(2)/25))/(LN(2)/25)*Calculateur!AQ59*Calculateur!AS59*VLOOKUP('Données projet'!$B$10,Paramètres!$A$1:$I$89,3,0)*0.475*44/12</f>
        <v>6.1364085299955029</v>
      </c>
      <c r="AW59" s="23">
        <f>EXP(-LN(2)/2)*AW58+(1-EXP(-LN(2)/2))/(LN(2)/2)*AQ59*AT59*VLOOKUP('Données projet'!$B$10,Paramètres!$A$1:$I$89,3,0)*0.475*44/12</f>
        <v>0.3982535285440108</v>
      </c>
      <c r="AX59" s="23">
        <f t="shared" si="6"/>
        <v>27.303430323011437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2.625</v>
      </c>
      <c r="BD59" s="13">
        <f>IF('Données projet'!$A$88&gt;35,BD58+BC59-BL58,IF(A59&lt;'Données projet'!$A$88,$BA$205^A59,IF(A59='Données projet'!$A$88,'Données projet'!$B$88,BD58+BC59-BL58)))</f>
        <v>300.25</v>
      </c>
      <c r="BE59" s="14">
        <f>BD59*VLOOKUP('Données projet'!$B$11,Paramètres!$A$1:$I$89,3,0)*VLOOKUP('Données projet'!$B$11,Paramètres!$A$1:$I$89,5,0)</f>
        <v>345.88799999999998</v>
      </c>
      <c r="BF59" s="14">
        <f t="shared" si="37"/>
        <v>80.715226237995651</v>
      </c>
      <c r="BG59" s="22">
        <f t="shared" si="7"/>
        <v>743.00061903117557</v>
      </c>
      <c r="BH59" s="62">
        <f t="shared" si="8"/>
        <v>1001.9304349697973</v>
      </c>
      <c r="BI59" s="62">
        <f ca="1">AVERAGE(OFFSET($BH$3,0,0,'Données projet'!$E$11+1,1))-AVERAGE(OFFSET($H$3,0,0,'Données projet'!$E$11+1,1))</f>
        <v>482.85256243111911</v>
      </c>
      <c r="BJ59" s="62">
        <f t="shared" si="38"/>
        <v>517.78430032567064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35.289444225447127</v>
      </c>
      <c r="BQ59" s="23">
        <f>EXP(-LN(2)/25)*BQ58+(1-EXP(-LN(2)/25))/(LN(2)/25)*Calculateur!BL59*Calculateur!BN59*VLOOKUP('Données projet'!$B$11,Paramètres!$A$1:$I$89,3,0)*0.475*44/12</f>
        <v>10.110945975884556</v>
      </c>
      <c r="BR59" s="23">
        <f>EXP(-LN(2)/2)*BR58+(1-EXP(-LN(2)/2))/(LN(2)/2)*BL59*BO59*VLOOKUP('Données projet'!$B$11,Paramètres!$A$1:$I$89,3,0)*0.475*44/12</f>
        <v>0.83505249935071502</v>
      </c>
      <c r="BS59" s="24">
        <f t="shared" si="9"/>
        <v>46.235442700682398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2.625</v>
      </c>
      <c r="BY59" s="13">
        <f>IF('Données projet'!$A$114&gt;35,BY58+BX59-CG58,IF(A59&lt;'Données projet'!$A$114,$BV$205^A59,IF(A59='Données projet'!$A$114,'Données projet'!$B$114,BY58+BX59-CG58)))</f>
        <v>300.25</v>
      </c>
      <c r="BZ59" s="14">
        <f>BY59*VLOOKUP('Données projet'!$B$12,Paramètres!$A$1:$I$89,3,0)*VLOOKUP('Données projet'!$B$12,Paramètres!$A$1:$I$89,5,0)</f>
        <v>179.54950000000002</v>
      </c>
      <c r="CA59" s="14">
        <f t="shared" si="39"/>
        <v>45.221943603548368</v>
      </c>
      <c r="CB59" s="22">
        <f t="shared" si="10"/>
        <v>391.47693094284676</v>
      </c>
      <c r="CC59" s="62">
        <f t="shared" si="11"/>
        <v>650.40674688146851</v>
      </c>
      <c r="CD59" s="62">
        <f ca="1">AVERAGE(OFFSET($CC$3,0,0,'Données projet'!$E$12+1,1))-AVERAGE(OFFSET($H$3,0,0,'Données projet'!$E$12+1,1))</f>
        <v>275.76900776033335</v>
      </c>
      <c r="CE59" s="62">
        <f t="shared" si="40"/>
        <v>299.36898480605191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33.819050716053489</v>
      </c>
      <c r="CL59" s="23">
        <f>EXP(-LN(2)/25)*CL58+(1-EXP(-LN(2)/25))/(LN(2)/25)*Calculateur!CG59*Calculateur!CI59*VLOOKUP('Données projet'!$B$12,Paramètres!$A$1:$I$89,3,0)*0.475*44/12</f>
        <v>9.6896565602226996</v>
      </c>
      <c r="CM59" s="23">
        <f>EXP(-LN(2)/2)*CM58+(1-EXP(-LN(2)/2))/(LN(2)/2)*CG59*CJ59*VLOOKUP('Données projet'!$B$12,Paramètres!$A$1:$I$89,3,0)*0.475*44/12</f>
        <v>0.80025864521110202</v>
      </c>
      <c r="CN59" s="24">
        <f t="shared" si="12"/>
        <v>44.308965921487292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7.75</v>
      </c>
      <c r="CT59" s="13">
        <f>IF('Données projet'!$A$140&gt;35,CT58+CS59-DB58,IF(A59&lt;'Données projet'!$A$140,$CQ$205^A59,IF(A59='Données projet'!$A$140,'Données projet'!$B$140,CT58+CS59-DB58)))</f>
        <v>147.50000000000017</v>
      </c>
      <c r="CU59" s="18">
        <f>CT59*VLOOKUP('Données projet'!$B$13,Paramètres!$A$1:$I$89,3,0)*VLOOKUP('Données projet'!$B$13,Paramètres!$A$1:$I$89,5,0)</f>
        <v>161.07000000000019</v>
      </c>
      <c r="CV59" s="14">
        <f t="shared" si="41"/>
        <v>41.083763193241467</v>
      </c>
      <c r="CW59" s="22">
        <f t="shared" si="13"/>
        <v>352.0844708948959</v>
      </c>
      <c r="CX59" s="62">
        <f t="shared" si="14"/>
        <v>611.01428683351764</v>
      </c>
      <c r="CY59" s="62">
        <f ca="1">AVERAGE(OFFSET($CX$3,0,0,'Données projet'!$E$13+1,1))-AVERAGE(OFFSET($H$3,0,0,'Données projet'!$E$13+1,1))</f>
        <v>482.24068797679558</v>
      </c>
      <c r="CZ59" s="62">
        <f t="shared" si="42"/>
        <v>316.28941055521693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10.826703021150518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10.826703021150518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-1.7053025658242404E-13</v>
      </c>
      <c r="DP59" s="18">
        <f>DO59*VLOOKUP('Données projet'!$B$14,Paramètres!$A$1:$I$89,3,0)*VLOOKUP('Données projet'!$B$14,Paramètres!$A$1:$I$89,5,0)</f>
        <v>-1.383341441396624E-13</v>
      </c>
      <c r="DQ59" s="14" t="e">
        <f t="shared" si="43"/>
        <v>#NUM!</v>
      </c>
      <c r="DR59" s="22" t="e">
        <f t="shared" si="16"/>
        <v>#NUM!</v>
      </c>
      <c r="DS59" s="62" t="e">
        <f t="shared" si="17"/>
        <v>#NUM!</v>
      </c>
      <c r="DT59" s="62">
        <f ca="1">AVERAGE(OFFSET($DS$3,0,0,'Données projet'!$E$14+1,1))-AVERAGE(OFFSET($H$3,0,0,'Données projet'!$E$14+1,1))</f>
        <v>325.58538970226539</v>
      </c>
      <c r="DU59" s="62">
        <f t="shared" si="44"/>
        <v>361.81085660423457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153.32574130006441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153.32574130006441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6.1999999999999975</v>
      </c>
      <c r="EJ59" s="13">
        <f>IF('Données projet'!$A$192&gt;35,EJ58+EI59-ER58,IF(A59&lt;'Données projet'!$A$192,$EG$205^A59,IF(A59='Données projet'!$A$192,'Données projet'!$B$192,EJ58+EI59-ER58)))</f>
        <v>117.99999999999991</v>
      </c>
      <c r="EK59" s="18">
        <f>EJ59*VLOOKUP('Données projet'!$B$15,Paramètres!$A$1:$I$89,3,0)*VLOOKUP('Données projet'!$B$15,Paramètres!$A$1:$I$89,5,0)</f>
        <v>114.12959999999991</v>
      </c>
      <c r="EL59" s="14">
        <f t="shared" si="45"/>
        <v>30.301853799069058</v>
      </c>
      <c r="EM59" s="22">
        <f t="shared" si="19"/>
        <v>251.55144870004509</v>
      </c>
      <c r="EN59" s="62">
        <f t="shared" si="20"/>
        <v>510.48126463866686</v>
      </c>
      <c r="EO59" s="62">
        <f ca="1">AVERAGE(OFFSET($EN$3,0,0,'Données projet'!$E$15+1,1))-AVERAGE(OFFSET($H$3,0,0,'Données projet'!$E$15+1,1))</f>
        <v>364.22267539944085</v>
      </c>
      <c r="EP59" s="62">
        <f t="shared" si="46"/>
        <v>241.947139538615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7.6714924264152256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7.6714924264152256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-1.7053025658242404E-13</v>
      </c>
      <c r="FF59" s="18">
        <f>FE59*VLOOKUP('Données projet'!$B$16,Paramètres!$A$1:$I$89,3,0)*VLOOKUP('Données projet'!$B$16,Paramètres!$A$1:$I$89,5,0)</f>
        <v>-1.4897523215040567E-13</v>
      </c>
      <c r="FG59" s="14" t="e">
        <f t="shared" si="47"/>
        <v>#NUM!</v>
      </c>
      <c r="FH59" s="22" t="e">
        <f t="shared" si="22"/>
        <v>#NUM!</v>
      </c>
      <c r="FI59" s="62" t="e">
        <f t="shared" si="23"/>
        <v>#NUM!</v>
      </c>
      <c r="FJ59" s="62">
        <f ca="1">AVERAGE(OFFSET($FI$3,0,0,'Données projet'!$E$16+1,1))-AVERAGE(OFFSET($H$3,0,0,'Données projet'!$E$16+1,1))</f>
        <v>286.59837239471312</v>
      </c>
      <c r="FK59" s="62">
        <f t="shared" si="48"/>
        <v>319.26091328564689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133.08072294038556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133.08072294038556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-1.7053025658242404E-13</v>
      </c>
      <c r="GA59" s="18">
        <f>FZ59*VLOOKUP('Données projet'!$B$17,Paramètres!$A$1:$I$89,3,0)*VLOOKUP('Données projet'!$B$17,Paramètres!$A$1:$I$89,5,0)</f>
        <v>-1.1439169611549005E-13</v>
      </c>
      <c r="GB59" s="14" t="e">
        <f t="shared" si="49"/>
        <v>#NUM!</v>
      </c>
      <c r="GC59" s="22" t="e">
        <f t="shared" si="25"/>
        <v>#NUM!</v>
      </c>
      <c r="GD59" s="62" t="e">
        <f t="shared" si="26"/>
        <v>#NUM!</v>
      </c>
      <c r="GE59" s="62">
        <f ca="1">AVERAGE(OFFSET($GD$3,0,0,'Données projet'!$E$17+1,1))-AVERAGE(OFFSET($H$3,0,0,'Données projet'!$E$17+1,1))</f>
        <v>277.37570531842186</v>
      </c>
      <c r="GF59" s="62">
        <f t="shared" si="50"/>
        <v>310.00874200911312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projet'!$B$17,Paramètres!$A$1:$I$89,3,0)*0.475*44/12</f>
        <v>156.27431324814256</v>
      </c>
      <c r="GM59" s="23">
        <f>EXP(-LN(2)/25)*GM58+(1-EXP(-LN(2)/25))/(LN(2)/25)*Calculateur!GH59*Calculateur!GJ59*VLOOKUP('Données projet'!$B$17,Paramètres!$A$1:$I$89,3,0)*0.475*44/12</f>
        <v>0</v>
      </c>
      <c r="GN59" s="23">
        <f>EXP(-LN(2)/2)*GN58+(1-EXP(-LN(2)/2))/(LN(2)/2)*GH59*GK59*VLOOKUP('Données projet'!$B$17,Paramètres!$A$1:$I$89,3,0)*0.475*44/12</f>
        <v>0</v>
      </c>
      <c r="GO59" s="23">
        <f t="shared" si="27"/>
        <v>156.27431324814256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7.75</v>
      </c>
      <c r="N60" s="14">
        <f>IF('Données projet'!$A$36&gt;35,N59+M60-V59,IF(A60&lt;'Données projet'!$A$36,$K$205^A60,IF(A60='Données projet'!$A$36,'Données projet'!$B$36,N59+M60-V59)))</f>
        <v>155.25000000000017</v>
      </c>
      <c r="O60" s="14">
        <f>N60*VLOOKUP('Données projet'!$B$9,Paramètres!$A$1:$I$89,3,0)*VLOOKUP('Données projet'!$B$9,Paramètres!$A$1:$I$89,5,0)</f>
        <v>135.62640000000016</v>
      </c>
      <c r="P60" s="14">
        <f t="shared" si="33"/>
        <v>35.29323193859851</v>
      </c>
      <c r="Q60" s="22">
        <f t="shared" si="53"/>
        <v>297.6850256263927</v>
      </c>
      <c r="R60" s="62">
        <f t="shared" si="0"/>
        <v>557.21166567707041</v>
      </c>
      <c r="S60" s="62">
        <f ca="1">AVERAGE(OFFSET($R$3,0,0,'Données projet'!$E$9+1,1))-AVERAGE(OFFSET($H$3,0,0,'Données projet'!$E$9+1,1))</f>
        <v>401.34220206028908</v>
      </c>
      <c r="T60" s="62">
        <f t="shared" si="34"/>
        <v>265.33314259106987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8.4915183828340393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8.4915183828340393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8</v>
      </c>
      <c r="AI60" s="14">
        <f>IF('Données projet'!$A$62&gt;35,AI59+AH60-AQ59,IF(A60&lt;'Données projet'!$A$62,$AF$205^A60,IF(A60='Données projet'!$A$62,'Données projet'!$B$62,AI59+AH60-AQ59)))</f>
        <v>237.00000000000006</v>
      </c>
      <c r="AJ60" s="14">
        <f>AI60*VLOOKUP('Données projet'!$B$10,Paramètres!$A$1:$I$89,3,0)*VLOOKUP('Données projet'!$B$10,Paramètres!$A$1:$I$89,5,0)</f>
        <v>110.91600000000003</v>
      </c>
      <c r="AK60" s="14">
        <f t="shared" si="35"/>
        <v>29.546697044802634</v>
      </c>
      <c r="AL60" s="22">
        <f t="shared" si="4"/>
        <v>244.63919735303134</v>
      </c>
      <c r="AM60" s="62">
        <f t="shared" si="5"/>
        <v>504.16583740370902</v>
      </c>
      <c r="AN60" s="62">
        <f ca="1">AVERAGE(OFFSET($AM$3,0,0,'Données projet'!$E$10+1,1))-AVERAGE(OFFSET($H$3,0,0,'Données projet'!$E$10+1,1))</f>
        <v>253.48761861464732</v>
      </c>
      <c r="AO60" s="62">
        <f t="shared" si="36"/>
        <v>219.50855998133855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20.361505386503438</v>
      </c>
      <c r="AV60" s="23">
        <f>EXP(-LN(2)/25)*AV59+(1-EXP(-LN(2)/25))/(LN(2)/25)*Calculateur!AQ60*Calculateur!AS60*VLOOKUP('Données projet'!$B$10,Paramètres!$A$1:$I$89,3,0)*0.475*44/12</f>
        <v>5.9686081160430762</v>
      </c>
      <c r="AW60" s="23">
        <f>EXP(-LN(2)/2)*AW59+(1-EXP(-LN(2)/2))/(LN(2)/2)*AQ60*AT60*VLOOKUP('Données projet'!$B$10,Paramètres!$A$1:$I$89,3,0)*0.475*44/12</f>
        <v>0.2816077706649403</v>
      </c>
      <c r="AX60" s="23">
        <f t="shared" si="6"/>
        <v>26.611721273211455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2.625</v>
      </c>
      <c r="BD60" s="13">
        <f>IF('Données projet'!$A$88&gt;35,BD59+BC60-BL59,IF(A60&lt;'Données projet'!$A$88,$BA$205^A60,IF(A60='Données projet'!$A$88,'Données projet'!$B$88,BD59+BC60-BL59)))</f>
        <v>302.875</v>
      </c>
      <c r="BE60" s="14">
        <f>BD60*VLOOKUP('Données projet'!$B$11,Paramètres!$A$1:$I$89,3,0)*VLOOKUP('Données projet'!$B$11,Paramètres!$A$1:$I$89,5,0)</f>
        <v>348.91199999999998</v>
      </c>
      <c r="BF60" s="14">
        <f t="shared" si="37"/>
        <v>81.338440160309574</v>
      </c>
      <c r="BG60" s="22">
        <f t="shared" si="7"/>
        <v>749.35284994587244</v>
      </c>
      <c r="BH60" s="62">
        <f t="shared" si="8"/>
        <v>1008.8794899965501</v>
      </c>
      <c r="BI60" s="62">
        <f ca="1">AVERAGE(OFFSET($BH$3,0,0,'Données projet'!$E$11+1,1))-AVERAGE(OFFSET($H$3,0,0,'Données projet'!$E$11+1,1))</f>
        <v>482.85256243111911</v>
      </c>
      <c r="BJ60" s="62">
        <f t="shared" si="38"/>
        <v>517.78430032567064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34.597439748621724</v>
      </c>
      <c r="BQ60" s="23">
        <f>EXP(-LN(2)/25)*BQ59+(1-EXP(-LN(2)/25))/(LN(2)/25)*Calculateur!BL60*Calculateur!BN60*VLOOKUP('Données projet'!$B$11,Paramètres!$A$1:$I$89,3,0)*0.475*44/12</f>
        <v>9.8344616264624527</v>
      </c>
      <c r="BR60" s="23">
        <f>EXP(-LN(2)/2)*BR59+(1-EXP(-LN(2)/2))/(LN(2)/2)*BL60*BO60*VLOOKUP('Données projet'!$B$11,Paramètres!$A$1:$I$89,3,0)*0.475*44/12</f>
        <v>0.59047128493766565</v>
      </c>
      <c r="BS60" s="24">
        <f t="shared" si="9"/>
        <v>45.022372660021844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2.625</v>
      </c>
      <c r="BY60" s="13">
        <f>IF('Données projet'!$A$114&gt;35,BY59+BX60-CG59,IF(A60&lt;'Données projet'!$A$114,$BV$205^A60,IF(A60='Données projet'!$A$114,'Données projet'!$B$114,BY59+BX60-CG59)))</f>
        <v>302.875</v>
      </c>
      <c r="BZ60" s="14">
        <f>BY60*VLOOKUP('Données projet'!$B$12,Paramètres!$A$1:$I$89,3,0)*VLOOKUP('Données projet'!$B$12,Paramètres!$A$1:$I$89,5,0)</f>
        <v>181.11925000000002</v>
      </c>
      <c r="CA60" s="14">
        <f t="shared" si="39"/>
        <v>45.571108763102352</v>
      </c>
      <c r="CB60" s="22">
        <f t="shared" si="10"/>
        <v>394.81904151240332</v>
      </c>
      <c r="CC60" s="62">
        <f t="shared" si="11"/>
        <v>654.34568156308103</v>
      </c>
      <c r="CD60" s="62">
        <f ca="1">AVERAGE(OFFSET($CC$3,0,0,'Données projet'!$E$12+1,1))-AVERAGE(OFFSET($H$3,0,0,'Données projet'!$E$12+1,1))</f>
        <v>275.76900776033335</v>
      </c>
      <c r="CE60" s="62">
        <f t="shared" si="40"/>
        <v>299.36898480605191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33.155879759095811</v>
      </c>
      <c r="CL60" s="23">
        <f>EXP(-LN(2)/25)*CL59+(1-EXP(-LN(2)/25))/(LN(2)/25)*Calculateur!CG60*Calculateur!CI60*VLOOKUP('Données projet'!$B$12,Paramètres!$A$1:$I$89,3,0)*0.475*44/12</f>
        <v>9.4246923920265182</v>
      </c>
      <c r="CM60" s="23">
        <f>EXP(-LN(2)/2)*CM59+(1-EXP(-LN(2)/2))/(LN(2)/2)*CG60*CJ60*VLOOKUP('Données projet'!$B$12,Paramètres!$A$1:$I$89,3,0)*0.475*44/12</f>
        <v>0.56586831473192967</v>
      </c>
      <c r="CN60" s="24">
        <f t="shared" si="12"/>
        <v>43.146440465854255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7.75</v>
      </c>
      <c r="CT60" s="13">
        <f>IF('Données projet'!$A$140&gt;35,CT59+CS60-DB59,IF(A60&lt;'Données projet'!$A$140,$CQ$205^A60,IF(A60='Données projet'!$A$140,'Données projet'!$B$140,CT59+CS60-DB59)))</f>
        <v>155.25000000000017</v>
      </c>
      <c r="CU60" s="18">
        <f>CT60*VLOOKUP('Données projet'!$B$13,Paramètres!$A$1:$I$89,3,0)*VLOOKUP('Données projet'!$B$13,Paramètres!$A$1:$I$89,5,0)</f>
        <v>169.53300000000019</v>
      </c>
      <c r="CV60" s="14">
        <f t="shared" si="41"/>
        <v>42.985414381129722</v>
      </c>
      <c r="CW60" s="22">
        <f t="shared" si="13"/>
        <v>370.13623838046789</v>
      </c>
      <c r="CX60" s="62">
        <f t="shared" si="14"/>
        <v>629.6628784311456</v>
      </c>
      <c r="CY60" s="62">
        <f ca="1">AVERAGE(OFFSET($CX$3,0,0,'Données projet'!$E$13+1,1))-AVERAGE(OFFSET($H$3,0,0,'Données projet'!$E$13+1,1))</f>
        <v>482.24068797679558</v>
      </c>
      <c r="CZ60" s="62">
        <f t="shared" si="42"/>
        <v>316.28941055521693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10.614397978542545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10.614397978542545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-1.7053025658242404E-13</v>
      </c>
      <c r="DP60" s="18">
        <f>DO60*VLOOKUP('Données projet'!$B$14,Paramètres!$A$1:$I$89,3,0)*VLOOKUP('Données projet'!$B$14,Paramètres!$A$1:$I$89,5,0)</f>
        <v>-1.383341441396624E-13</v>
      </c>
      <c r="DQ60" s="14" t="e">
        <f t="shared" si="43"/>
        <v>#NUM!</v>
      </c>
      <c r="DR60" s="22" t="e">
        <f t="shared" si="16"/>
        <v>#NUM!</v>
      </c>
      <c r="DS60" s="62" t="e">
        <f t="shared" si="17"/>
        <v>#NUM!</v>
      </c>
      <c r="DT60" s="62">
        <f ca="1">AVERAGE(OFFSET($DS$3,0,0,'Données projet'!$E$14+1,1))-AVERAGE(OFFSET($H$3,0,0,'Données projet'!$E$14+1,1))</f>
        <v>325.58538970226539</v>
      </c>
      <c r="DU60" s="62">
        <f t="shared" si="44"/>
        <v>361.81085660423457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150.31911703263805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150.31911703263805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6.1999999999999975</v>
      </c>
      <c r="EJ60" s="13">
        <f>IF('Données projet'!$A$192&gt;35,EJ59+EI60-ER59,IF(A60&lt;'Données projet'!$A$192,$EG$205^A60,IF(A60='Données projet'!$A$192,'Données projet'!$B$192,EJ59+EI60-ER59)))</f>
        <v>124.19999999999992</v>
      </c>
      <c r="EK60" s="18">
        <f>EJ60*VLOOKUP('Données projet'!$B$15,Paramètres!$A$1:$I$89,3,0)*VLOOKUP('Données projet'!$B$15,Paramètres!$A$1:$I$89,5,0)</f>
        <v>120.12623999999992</v>
      </c>
      <c r="EL60" s="14">
        <f t="shared" si="45"/>
        <v>31.704440899018415</v>
      </c>
      <c r="EM60" s="22">
        <f t="shared" si="19"/>
        <v>264.43843589912359</v>
      </c>
      <c r="EN60" s="62">
        <f t="shared" si="20"/>
        <v>523.9650759498013</v>
      </c>
      <c r="EO60" s="62">
        <f ca="1">AVERAGE(OFFSET($EN$3,0,0,'Données projet'!$E$15+1,1))-AVERAGE(OFFSET($H$3,0,0,'Données projet'!$E$15+1,1))</f>
        <v>364.22267539944085</v>
      </c>
      <c r="EP60" s="62">
        <f t="shared" si="46"/>
        <v>241.947139538615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7.5210591390815758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7.5210591390815758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-1.7053025658242404E-13</v>
      </c>
      <c r="FF60" s="18">
        <f>FE60*VLOOKUP('Données projet'!$B$16,Paramètres!$A$1:$I$89,3,0)*VLOOKUP('Données projet'!$B$16,Paramètres!$A$1:$I$89,5,0)</f>
        <v>-1.4897523215040567E-13</v>
      </c>
      <c r="FG60" s="14" t="e">
        <f t="shared" si="47"/>
        <v>#NUM!</v>
      </c>
      <c r="FH60" s="22" t="e">
        <f t="shared" si="22"/>
        <v>#NUM!</v>
      </c>
      <c r="FI60" s="62" t="e">
        <f t="shared" si="23"/>
        <v>#NUM!</v>
      </c>
      <c r="FJ60" s="62">
        <f ca="1">AVERAGE(OFFSET($FI$3,0,0,'Données projet'!$E$16+1,1))-AVERAGE(OFFSET($H$3,0,0,'Données projet'!$E$16+1,1))</f>
        <v>286.59837239471312</v>
      </c>
      <c r="FK60" s="62">
        <f t="shared" si="48"/>
        <v>319.26091328564689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130.47109113475059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130.47109113475059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-1.7053025658242404E-13</v>
      </c>
      <c r="GA60" s="18">
        <f>FZ60*VLOOKUP('Données projet'!$B$17,Paramètres!$A$1:$I$89,3,0)*VLOOKUP('Données projet'!$B$17,Paramètres!$A$1:$I$89,5,0)</f>
        <v>-1.1439169611549005E-13</v>
      </c>
      <c r="GB60" s="14" t="e">
        <f t="shared" si="49"/>
        <v>#NUM!</v>
      </c>
      <c r="GC60" s="22" t="e">
        <f t="shared" si="25"/>
        <v>#NUM!</v>
      </c>
      <c r="GD60" s="62" t="e">
        <f t="shared" si="26"/>
        <v>#NUM!</v>
      </c>
      <c r="GE60" s="62">
        <f ca="1">AVERAGE(OFFSET($GD$3,0,0,'Données projet'!$E$17+1,1))-AVERAGE(OFFSET($H$3,0,0,'Données projet'!$E$17+1,1))</f>
        <v>277.37570531842186</v>
      </c>
      <c r="GF60" s="62">
        <f t="shared" si="50"/>
        <v>310.00874200911312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projet'!$B$17,Paramètres!$A$1:$I$89,3,0)*0.475*44/12</f>
        <v>153.2098692832657</v>
      </c>
      <c r="GM60" s="23">
        <f>EXP(-LN(2)/25)*GM59+(1-EXP(-LN(2)/25))/(LN(2)/25)*Calculateur!GH60*Calculateur!GJ60*VLOOKUP('Données projet'!$B$17,Paramètres!$A$1:$I$89,3,0)*0.475*44/12</f>
        <v>0</v>
      </c>
      <c r="GN60" s="23">
        <f>EXP(-LN(2)/2)*GN59+(1-EXP(-LN(2)/2))/(LN(2)/2)*GH60*GK60*VLOOKUP('Données projet'!$B$17,Paramètres!$A$1:$I$89,3,0)*0.475*44/12</f>
        <v>0</v>
      </c>
      <c r="GO60" s="23">
        <f t="shared" si="27"/>
        <v>153.2098692832657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7.75</v>
      </c>
      <c r="N61" s="14">
        <f>IF('Données projet'!$A$36&gt;35,N60+M61-V60,IF(A61&lt;'Données projet'!$A$36,$K$205^A61,IF(A61='Données projet'!$A$36,'Données projet'!$B$36,N60+M61-V60)))</f>
        <v>163.00000000000017</v>
      </c>
      <c r="O61" s="14">
        <f>N61*VLOOKUP('Données projet'!$B$9,Paramètres!$A$1:$I$89,3,0)*VLOOKUP('Données projet'!$B$9,Paramètres!$A$1:$I$89,5,0)</f>
        <v>142.39680000000016</v>
      </c>
      <c r="P61" s="14">
        <f t="shared" si="33"/>
        <v>36.845535084477021</v>
      </c>
      <c r="Q61" s="22">
        <f t="shared" si="53"/>
        <v>312.18040027213107</v>
      </c>
      <c r="R61" s="62">
        <f t="shared" si="0"/>
        <v>572.29351087081955</v>
      </c>
      <c r="S61" s="62">
        <f ca="1">AVERAGE(OFFSET($R$3,0,0,'Données projet'!$E$9+1,1))-AVERAGE(OFFSET($H$3,0,0,'Données projet'!$E$9+1,1))</f>
        <v>401.34220206028908</v>
      </c>
      <c r="T61" s="62">
        <f t="shared" si="34"/>
        <v>265.33314259106987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8.3250048866614623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8.3250048866614623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8</v>
      </c>
      <c r="AI61" s="14">
        <f>IF('Données projet'!$A$62&gt;35,AI60+AH61-AQ60,IF(A61&lt;'Données projet'!$A$62,$AF$205^A61,IF(A61='Données projet'!$A$62,'Données projet'!$B$62,AI60+AH61-AQ60)))</f>
        <v>245.00000000000006</v>
      </c>
      <c r="AJ61" s="14">
        <f>AI61*VLOOKUP('Données projet'!$B$10,Paramètres!$A$1:$I$89,3,0)*VLOOKUP('Données projet'!$B$10,Paramètres!$A$1:$I$89,5,0)</f>
        <v>114.66000000000003</v>
      </c>
      <c r="AK61" s="14">
        <f t="shared" si="35"/>
        <v>30.426251641117418</v>
      </c>
      <c r="AL61" s="22">
        <f t="shared" si="4"/>
        <v>252.69188827494614</v>
      </c>
      <c r="AM61" s="62">
        <f t="shared" si="5"/>
        <v>512.80499887363453</v>
      </c>
      <c r="AN61" s="62">
        <f ca="1">AVERAGE(OFFSET($AM$3,0,0,'Données projet'!$E$10+1,1))-AVERAGE(OFFSET($H$3,0,0,'Données projet'!$E$10+1,1))</f>
        <v>253.48761861464732</v>
      </c>
      <c r="AO61" s="62">
        <f t="shared" si="36"/>
        <v>219.50855998133855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19.962228685166089</v>
      </c>
      <c r="AV61" s="23">
        <f>EXP(-LN(2)/25)*AV60+(1-EXP(-LN(2)/25))/(LN(2)/25)*Calculateur!AQ61*Calculateur!AS61*VLOOKUP('Données projet'!$B$10,Paramètres!$A$1:$I$89,3,0)*0.475*44/12</f>
        <v>5.8053962132344186</v>
      </c>
      <c r="AW61" s="23">
        <f>EXP(-LN(2)/2)*AW60+(1-EXP(-LN(2)/2))/(LN(2)/2)*AQ61*AT61*VLOOKUP('Données projet'!$B$10,Paramètres!$A$1:$I$89,3,0)*0.475*44/12</f>
        <v>0.1991267642720054</v>
      </c>
      <c r="AX61" s="23">
        <f t="shared" si="6"/>
        <v>25.966751662672511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2.625</v>
      </c>
      <c r="BD61" s="13">
        <f>IF('Données projet'!$A$88&gt;35,BD60+BC61-BL60,IF(A61&lt;'Données projet'!$A$88,$BA$205^A61,IF(A61='Données projet'!$A$88,'Données projet'!$B$88,BD60+BC61-BL60)))</f>
        <v>305.5</v>
      </c>
      <c r="BE61" s="14">
        <f>BD61*VLOOKUP('Données projet'!$B$11,Paramètres!$A$1:$I$89,3,0)*VLOOKUP('Données projet'!$B$11,Paramètres!$A$1:$I$89,5,0)</f>
        <v>351.93599999999998</v>
      </c>
      <c r="BF61" s="14">
        <f t="shared" si="37"/>
        <v>81.961025673167143</v>
      </c>
      <c r="BG61" s="22">
        <f t="shared" si="7"/>
        <v>755.7039863807662</v>
      </c>
      <c r="BH61" s="62">
        <f t="shared" si="8"/>
        <v>1015.8170969794546</v>
      </c>
      <c r="BI61" s="62">
        <f ca="1">AVERAGE(OFFSET($BH$3,0,0,'Données projet'!$E$11+1,1))-AVERAGE(OFFSET($H$3,0,0,'Données projet'!$E$11+1,1))</f>
        <v>482.85256243111911</v>
      </c>
      <c r="BJ61" s="62">
        <f t="shared" si="38"/>
        <v>517.78430032567064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33.919005057505814</v>
      </c>
      <c r="BQ61" s="23">
        <f>EXP(-LN(2)/25)*BQ60+(1-EXP(-LN(2)/25))/(LN(2)/25)*Calculateur!BL61*Calculateur!BN61*VLOOKUP('Données projet'!$B$11,Paramètres!$A$1:$I$89,3,0)*0.475*44/12</f>
        <v>9.5655377561149777</v>
      </c>
      <c r="BR61" s="23">
        <f>EXP(-LN(2)/2)*BR60+(1-EXP(-LN(2)/2))/(LN(2)/2)*BL61*BO61*VLOOKUP('Données projet'!$B$11,Paramètres!$A$1:$I$89,3,0)*0.475*44/12</f>
        <v>0.41752624967535751</v>
      </c>
      <c r="BS61" s="24">
        <f t="shared" si="9"/>
        <v>43.902069063296146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2.625</v>
      </c>
      <c r="BY61" s="13">
        <f>IF('Données projet'!$A$114&gt;35,BY60+BX61-CG60,IF(A61&lt;'Données projet'!$A$114,$BV$205^A61,IF(A61='Données projet'!$A$114,'Données projet'!$B$114,BY60+BX61-CG60)))</f>
        <v>305.5</v>
      </c>
      <c r="BZ61" s="14">
        <f>BY61*VLOOKUP('Données projet'!$B$12,Paramètres!$A$1:$I$89,3,0)*VLOOKUP('Données projet'!$B$12,Paramètres!$A$1:$I$89,5,0)</f>
        <v>182.68900000000002</v>
      </c>
      <c r="CA61" s="14">
        <f t="shared" si="39"/>
        <v>45.919921846619154</v>
      </c>
      <c r="CB61" s="22">
        <f t="shared" si="10"/>
        <v>398.16053888286166</v>
      </c>
      <c r="CC61" s="62">
        <f t="shared" si="11"/>
        <v>658.27364948155014</v>
      </c>
      <c r="CD61" s="62">
        <f ca="1">AVERAGE(OFFSET($CC$3,0,0,'Données projet'!$E$12+1,1))-AVERAGE(OFFSET($H$3,0,0,'Données projet'!$E$12+1,1))</f>
        <v>275.76900776033335</v>
      </c>
      <c r="CE61" s="62">
        <f t="shared" si="40"/>
        <v>299.36898480605191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32.50571318010973</v>
      </c>
      <c r="CL61" s="23">
        <f>EXP(-LN(2)/25)*CL60+(1-EXP(-LN(2)/25))/(LN(2)/25)*Calculateur!CG61*Calculateur!CI61*VLOOKUP('Données projet'!$B$12,Paramètres!$A$1:$I$89,3,0)*0.475*44/12</f>
        <v>9.1669736829435209</v>
      </c>
      <c r="CM61" s="23">
        <f>EXP(-LN(2)/2)*CM60+(1-EXP(-LN(2)/2))/(LN(2)/2)*CG61*CJ61*VLOOKUP('Données projet'!$B$12,Paramètres!$A$1:$I$89,3,0)*0.475*44/12</f>
        <v>0.40012932260555101</v>
      </c>
      <c r="CN61" s="24">
        <f t="shared" si="12"/>
        <v>42.072816185658802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7.75</v>
      </c>
      <c r="CT61" s="13">
        <f>IF('Données projet'!$A$140&gt;35,CT60+CS61-DB60,IF(A61&lt;'Données projet'!$A$140,$CQ$205^A61,IF(A61='Données projet'!$A$140,'Données projet'!$B$140,CT60+CS61-DB60)))</f>
        <v>163.00000000000017</v>
      </c>
      <c r="CU61" s="18">
        <f>CT61*VLOOKUP('Données projet'!$B$13,Paramètres!$A$1:$I$89,3,0)*VLOOKUP('Données projet'!$B$13,Paramètres!$A$1:$I$89,5,0)</f>
        <v>177.99600000000018</v>
      </c>
      <c r="CV61" s="14">
        <f t="shared" si="41"/>
        <v>44.876042989096433</v>
      </c>
      <c r="CW61" s="22">
        <f t="shared" si="13"/>
        <v>388.16880820600994</v>
      </c>
      <c r="CX61" s="62">
        <f t="shared" si="14"/>
        <v>648.28191880469831</v>
      </c>
      <c r="CY61" s="62">
        <f ca="1">AVERAGE(OFFSET($CX$3,0,0,'Données projet'!$E$13+1,1))-AVERAGE(OFFSET($H$3,0,0,'Données projet'!$E$13+1,1))</f>
        <v>482.24068797679558</v>
      </c>
      <c r="CZ61" s="62">
        <f t="shared" si="42"/>
        <v>316.28941055521693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10.406256108326824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10.406256108326824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-1.7053025658242404E-13</v>
      </c>
      <c r="DP61" s="18">
        <f>DO61*VLOOKUP('Données projet'!$B$14,Paramètres!$A$1:$I$89,3,0)*VLOOKUP('Données projet'!$B$14,Paramètres!$A$1:$I$89,5,0)</f>
        <v>-1.383341441396624E-13</v>
      </c>
      <c r="DQ61" s="14" t="e">
        <f t="shared" si="43"/>
        <v>#NUM!</v>
      </c>
      <c r="DR61" s="22" t="e">
        <f t="shared" si="16"/>
        <v>#NUM!</v>
      </c>
      <c r="DS61" s="62" t="e">
        <f t="shared" si="17"/>
        <v>#NUM!</v>
      </c>
      <c r="DT61" s="62">
        <f ca="1">AVERAGE(OFFSET($DS$3,0,0,'Données projet'!$E$14+1,1))-AVERAGE(OFFSET($H$3,0,0,'Données projet'!$E$14+1,1))</f>
        <v>325.58538970226539</v>
      </c>
      <c r="DU61" s="62">
        <f t="shared" si="44"/>
        <v>361.81085660423457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147.3714508332362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147.3714508332362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6.1999999999999975</v>
      </c>
      <c r="EJ61" s="13">
        <f>IF('Données projet'!$A$192&gt;35,EJ60+EI61-ER60,IF(A61&lt;'Données projet'!$A$192,$EG$205^A61,IF(A61='Données projet'!$A$192,'Données projet'!$B$192,EJ60+EI61-ER60)))</f>
        <v>130.39999999999992</v>
      </c>
      <c r="EK61" s="18">
        <f>EJ61*VLOOKUP('Données projet'!$B$15,Paramètres!$A$1:$I$89,3,0)*VLOOKUP('Données projet'!$B$15,Paramètres!$A$1:$I$89,5,0)</f>
        <v>126.12287999999994</v>
      </c>
      <c r="EL61" s="14">
        <f t="shared" si="45"/>
        <v>33.09889815449128</v>
      </c>
      <c r="EM61" s="22">
        <f t="shared" si="19"/>
        <v>277.31126361907224</v>
      </c>
      <c r="EN61" s="62">
        <f t="shared" si="20"/>
        <v>537.42437421776071</v>
      </c>
      <c r="EO61" s="62">
        <f ca="1">AVERAGE(OFFSET($EN$3,0,0,'Données projet'!$E$15+1,1))-AVERAGE(OFFSET($H$3,0,0,'Données projet'!$E$15+1,1))</f>
        <v>364.22267539944085</v>
      </c>
      <c r="EP61" s="62">
        <f t="shared" si="46"/>
        <v>241.947139538615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7.373575756757293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7.373575756757293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-1.7053025658242404E-13</v>
      </c>
      <c r="FF61" s="18">
        <f>FE61*VLOOKUP('Données projet'!$B$16,Paramètres!$A$1:$I$89,3,0)*VLOOKUP('Données projet'!$B$16,Paramètres!$A$1:$I$89,5,0)</f>
        <v>-1.4897523215040567E-13</v>
      </c>
      <c r="FG61" s="14" t="e">
        <f t="shared" si="47"/>
        <v>#NUM!</v>
      </c>
      <c r="FH61" s="22" t="e">
        <f t="shared" si="22"/>
        <v>#NUM!</v>
      </c>
      <c r="FI61" s="62" t="e">
        <f t="shared" si="23"/>
        <v>#NUM!</v>
      </c>
      <c r="FJ61" s="62">
        <f ca="1">AVERAGE(OFFSET($FI$3,0,0,'Données projet'!$E$16+1,1))-AVERAGE(OFFSET($H$3,0,0,'Données projet'!$E$16+1,1))</f>
        <v>286.59837239471312</v>
      </c>
      <c r="FK61" s="62">
        <f t="shared" si="48"/>
        <v>319.26091328564689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127.9126326171059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127.9126326171059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-1.7053025658242404E-13</v>
      </c>
      <c r="GA61" s="18">
        <f>FZ61*VLOOKUP('Données projet'!$B$17,Paramètres!$A$1:$I$89,3,0)*VLOOKUP('Données projet'!$B$17,Paramètres!$A$1:$I$89,5,0)</f>
        <v>-1.1439169611549005E-13</v>
      </c>
      <c r="GB61" s="14" t="e">
        <f t="shared" si="49"/>
        <v>#NUM!</v>
      </c>
      <c r="GC61" s="22" t="e">
        <f t="shared" si="25"/>
        <v>#NUM!</v>
      </c>
      <c r="GD61" s="62" t="e">
        <f t="shared" si="26"/>
        <v>#NUM!</v>
      </c>
      <c r="GE61" s="62">
        <f ca="1">AVERAGE(OFFSET($GD$3,0,0,'Données projet'!$E$17+1,1))-AVERAGE(OFFSET($H$3,0,0,'Données projet'!$E$17+1,1))</f>
        <v>277.37570531842186</v>
      </c>
      <c r="GF61" s="62">
        <f t="shared" si="50"/>
        <v>310.00874200911312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projet'!$B$17,Paramètres!$A$1:$I$89,3,0)*0.475*44/12</f>
        <v>150.20551719541382</v>
      </c>
      <c r="GM61" s="23">
        <f>EXP(-LN(2)/25)*GM60+(1-EXP(-LN(2)/25))/(LN(2)/25)*Calculateur!GH61*Calculateur!GJ61*VLOOKUP('Données projet'!$B$17,Paramètres!$A$1:$I$89,3,0)*0.475*44/12</f>
        <v>0</v>
      </c>
      <c r="GN61" s="23">
        <f>EXP(-LN(2)/2)*GN60+(1-EXP(-LN(2)/2))/(LN(2)/2)*GH61*GK61*VLOOKUP('Données projet'!$B$17,Paramètres!$A$1:$I$89,3,0)*0.475*44/12</f>
        <v>0</v>
      </c>
      <c r="GO61" s="23">
        <f t="shared" si="27"/>
        <v>150.20551719541382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7.75</v>
      </c>
      <c r="N62" s="14">
        <f>IF('Données projet'!$A$36&gt;35,N61+M62-V61,IF(A62&lt;'Données projet'!$A$36,$K$205^A62,IF(A62='Données projet'!$A$36,'Données projet'!$B$36,N61+M62-V61)))</f>
        <v>170.75000000000017</v>
      </c>
      <c r="O62" s="14">
        <f>N62*VLOOKUP('Données projet'!$B$9,Paramètres!$A$1:$I$89,3,0)*VLOOKUP('Données projet'!$B$9,Paramètres!$A$1:$I$89,5,0)</f>
        <v>149.16720000000018</v>
      </c>
      <c r="P62" s="14">
        <f t="shared" si="33"/>
        <v>38.389267551878078</v>
      </c>
      <c r="Q62" s="22">
        <f t="shared" si="53"/>
        <v>326.66084765285461</v>
      </c>
      <c r="R62" s="62">
        <f t="shared" si="0"/>
        <v>587.35025484669745</v>
      </c>
      <c r="S62" s="62">
        <f ca="1">AVERAGE(OFFSET($R$3,0,0,'Données projet'!$E$9+1,1))-AVERAGE(OFFSET($H$3,0,0,'Données projet'!$E$9+1,1))</f>
        <v>401.34220206028908</v>
      </c>
      <c r="T62" s="62">
        <f t="shared" si="34"/>
        <v>265.33314259106987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8.1617566185856258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8.1617566185856258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8</v>
      </c>
      <c r="AI62" s="14">
        <f>IF('Données projet'!$A$62&gt;35,AI61+AH62-AQ61,IF(A62&lt;'Données projet'!$A$62,$AF$205^A62,IF(A62='Données projet'!$A$62,'Données projet'!$B$62,AI61+AH62-AQ61)))</f>
        <v>253.00000000000006</v>
      </c>
      <c r="AJ62" s="14">
        <f>AI62*VLOOKUP('Données projet'!$B$10,Paramètres!$A$1:$I$89,3,0)*VLOOKUP('Données projet'!$B$10,Paramètres!$A$1:$I$89,5,0)</f>
        <v>118.40400000000002</v>
      </c>
      <c r="AK62" s="14">
        <f t="shared" si="35"/>
        <v>31.302468930496392</v>
      </c>
      <c r="AL62" s="22">
        <f t="shared" si="4"/>
        <v>260.73876672061459</v>
      </c>
      <c r="AM62" s="62">
        <f t="shared" si="5"/>
        <v>521.42817391445737</v>
      </c>
      <c r="AN62" s="62">
        <f ca="1">AVERAGE(OFFSET($AM$3,0,0,'Données projet'!$E$10+1,1))-AVERAGE(OFFSET($H$3,0,0,'Données projet'!$E$10+1,1))</f>
        <v>253.48761861464732</v>
      </c>
      <c r="AO62" s="62">
        <f t="shared" si="36"/>
        <v>219.50855998133855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19.570781556407223</v>
      </c>
      <c r="AV62" s="23">
        <f>EXP(-LN(2)/25)*AV61+(1-EXP(-LN(2)/25))/(LN(2)/25)*Calculateur!AQ62*Calculateur!AS62*VLOOKUP('Données projet'!$B$10,Paramètres!$A$1:$I$89,3,0)*0.475*44/12</f>
        <v>5.6466473484910047</v>
      </c>
      <c r="AW62" s="23">
        <f>EXP(-LN(2)/2)*AW61+(1-EXP(-LN(2)/2))/(LN(2)/2)*AQ62*AT62*VLOOKUP('Données projet'!$B$10,Paramètres!$A$1:$I$89,3,0)*0.475*44/12</f>
        <v>0.14080388533247015</v>
      </c>
      <c r="AX62" s="23">
        <f t="shared" si="6"/>
        <v>25.358232790230698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2.625</v>
      </c>
      <c r="BD62" s="13">
        <f>IF('Données projet'!$A$88&gt;35,BD61+BC62-BL61,IF(A62&lt;'Données projet'!$A$88,$BA$205^A62,IF(A62='Données projet'!$A$88,'Données projet'!$B$88,BD61+BC62-BL61)))</f>
        <v>308.125</v>
      </c>
      <c r="BE62" s="14">
        <f>BD62*VLOOKUP('Données projet'!$B$11,Paramètres!$A$1:$I$89,3,0)*VLOOKUP('Données projet'!$B$11,Paramètres!$A$1:$I$89,5,0)</f>
        <v>354.96</v>
      </c>
      <c r="BF62" s="14">
        <f t="shared" si="37"/>
        <v>82.582988801806337</v>
      </c>
      <c r="BG62" s="22">
        <f t="shared" si="7"/>
        <v>762.05403882981273</v>
      </c>
      <c r="BH62" s="62">
        <f t="shared" si="8"/>
        <v>1022.7434460236555</v>
      </c>
      <c r="BI62" s="62">
        <f ca="1">AVERAGE(OFFSET($BH$3,0,0,'Données projet'!$E$11+1,1))-AVERAGE(OFFSET($H$3,0,0,'Données projet'!$E$11+1,1))</f>
        <v>482.85256243111911</v>
      </c>
      <c r="BJ62" s="62">
        <f t="shared" si="38"/>
        <v>517.78430032567064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33.253874056878388</v>
      </c>
      <c r="BQ62" s="23">
        <f>EXP(-LN(2)/25)*BQ61+(1-EXP(-LN(2)/25))/(LN(2)/25)*Calculateur!BL62*Calculateur!BN62*VLOOKUP('Données projet'!$B$11,Paramètres!$A$1:$I$89,3,0)*0.475*44/12</f>
        <v>9.3039676231442456</v>
      </c>
      <c r="BR62" s="23">
        <f>EXP(-LN(2)/2)*BR61+(1-EXP(-LN(2)/2))/(LN(2)/2)*BL62*BO62*VLOOKUP('Données projet'!$B$11,Paramètres!$A$1:$I$89,3,0)*0.475*44/12</f>
        <v>0.29523564246883283</v>
      </c>
      <c r="BS62" s="24">
        <f t="shared" si="9"/>
        <v>42.853077322491465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2.625</v>
      </c>
      <c r="BY62" s="13">
        <f>IF('Données projet'!$A$114&gt;35,BY61+BX62-CG61,IF(A62&lt;'Données projet'!$A$114,$BV$205^A62,IF(A62='Données projet'!$A$114,'Données projet'!$B$114,BY61+BX62-CG61)))</f>
        <v>308.125</v>
      </c>
      <c r="BZ62" s="14">
        <f>BY62*VLOOKUP('Données projet'!$B$12,Paramètres!$A$1:$I$89,3,0)*VLOOKUP('Données projet'!$B$12,Paramètres!$A$1:$I$89,5,0)</f>
        <v>184.25875000000002</v>
      </c>
      <c r="CA62" s="14">
        <f t="shared" si="39"/>
        <v>46.26838622983076</v>
      </c>
      <c r="CB62" s="22">
        <f t="shared" si="10"/>
        <v>401.50142893362187</v>
      </c>
      <c r="CC62" s="62">
        <f t="shared" si="11"/>
        <v>662.19083612746465</v>
      </c>
      <c r="CD62" s="62">
        <f ca="1">AVERAGE(OFFSET($CC$3,0,0,'Données projet'!$E$12+1,1))-AVERAGE(OFFSET($H$3,0,0,'Données projet'!$E$12+1,1))</f>
        <v>275.76900776033335</v>
      </c>
      <c r="CE62" s="62">
        <f t="shared" si="40"/>
        <v>299.36898480605191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31.868295971175112</v>
      </c>
      <c r="CL62" s="23">
        <f>EXP(-LN(2)/25)*CL61+(1-EXP(-LN(2)/25))/(LN(2)/25)*Calculateur!CG62*Calculateur!CI62*VLOOKUP('Données projet'!$B$12,Paramètres!$A$1:$I$89,3,0)*0.475*44/12</f>
        <v>8.916302305513236</v>
      </c>
      <c r="CM62" s="23">
        <f>EXP(-LN(2)/2)*CM61+(1-EXP(-LN(2)/2))/(LN(2)/2)*CG62*CJ62*VLOOKUP('Données projet'!$B$12,Paramètres!$A$1:$I$89,3,0)*0.475*44/12</f>
        <v>0.28293415736596483</v>
      </c>
      <c r="CN62" s="24">
        <f t="shared" si="12"/>
        <v>41.067532434054314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7.75</v>
      </c>
      <c r="CT62" s="13">
        <f>IF('Données projet'!$A$140&gt;35,CT61+CS62-DB61,IF(A62&lt;'Données projet'!$A$140,$CQ$205^A62,IF(A62='Données projet'!$A$140,'Données projet'!$B$140,CT61+CS62-DB61)))</f>
        <v>170.75000000000017</v>
      </c>
      <c r="CU62" s="18">
        <f>CT62*VLOOKUP('Données projet'!$B$13,Paramètres!$A$1:$I$89,3,0)*VLOOKUP('Données projet'!$B$13,Paramètres!$A$1:$I$89,5,0)</f>
        <v>186.45900000000017</v>
      </c>
      <c r="CV62" s="14">
        <f t="shared" si="41"/>
        <v>46.756232933737508</v>
      </c>
      <c r="CW62" s="22">
        <f t="shared" si="13"/>
        <v>406.18319735959312</v>
      </c>
      <c r="CX62" s="62">
        <f t="shared" si="14"/>
        <v>666.87260455343585</v>
      </c>
      <c r="CY62" s="62">
        <f ca="1">AVERAGE(OFFSET($CX$3,0,0,'Données projet'!$E$13+1,1))-AVERAGE(OFFSET($H$3,0,0,'Données projet'!$E$13+1,1))</f>
        <v>482.24068797679558</v>
      </c>
      <c r="CZ62" s="62">
        <f t="shared" si="42"/>
        <v>316.28941055521693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10.202195773232027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10.202195773232027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-1.7053025658242404E-13</v>
      </c>
      <c r="DP62" s="18">
        <f>DO62*VLOOKUP('Données projet'!$B$14,Paramètres!$A$1:$I$89,3,0)*VLOOKUP('Données projet'!$B$14,Paramètres!$A$1:$I$89,5,0)</f>
        <v>-1.383341441396624E-13</v>
      </c>
      <c r="DQ62" s="14" t="e">
        <f t="shared" si="43"/>
        <v>#NUM!</v>
      </c>
      <c r="DR62" s="22" t="e">
        <f t="shared" si="16"/>
        <v>#NUM!</v>
      </c>
      <c r="DS62" s="62" t="e">
        <f t="shared" si="17"/>
        <v>#NUM!</v>
      </c>
      <c r="DT62" s="62">
        <f ca="1">AVERAGE(OFFSET($DS$3,0,0,'Données projet'!$E$14+1,1))-AVERAGE(OFFSET($H$3,0,0,'Données projet'!$E$14+1,1))</f>
        <v>325.58538970226539</v>
      </c>
      <c r="DU62" s="62">
        <f t="shared" si="44"/>
        <v>361.81085660423457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144.48158657010578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144.48158657010578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6.1999999999999975</v>
      </c>
      <c r="EJ62" s="13">
        <f>IF('Données projet'!$A$192&gt;35,EJ61+EI62-ER61,IF(A62&lt;'Données projet'!$A$192,$EG$205^A62,IF(A62='Données projet'!$A$192,'Données projet'!$B$192,EJ61+EI62-ER61)))</f>
        <v>136.59999999999991</v>
      </c>
      <c r="EK62" s="18">
        <f>EJ62*VLOOKUP('Données projet'!$B$15,Paramètres!$A$1:$I$89,3,0)*VLOOKUP('Données projet'!$B$15,Paramètres!$A$1:$I$89,5,0)</f>
        <v>132.11951999999991</v>
      </c>
      <c r="EL62" s="14">
        <f t="shared" si="45"/>
        <v>34.485656240624103</v>
      </c>
      <c r="EM62" s="22">
        <f t="shared" si="19"/>
        <v>290.17068195242013</v>
      </c>
      <c r="EN62" s="62">
        <f t="shared" si="20"/>
        <v>550.86008914626291</v>
      </c>
      <c r="EO62" s="62">
        <f ca="1">AVERAGE(OFFSET($EN$3,0,0,'Données projet'!$E$15+1,1))-AVERAGE(OFFSET($H$3,0,0,'Données projet'!$E$15+1,1))</f>
        <v>364.22267539944085</v>
      </c>
      <c r="EP62" s="62">
        <f t="shared" si="46"/>
        <v>241.947139538615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7.2289844336044089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7.2289844336044089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-1.7053025658242404E-13</v>
      </c>
      <c r="FF62" s="18">
        <f>FE62*VLOOKUP('Données projet'!$B$16,Paramètres!$A$1:$I$89,3,0)*VLOOKUP('Données projet'!$B$16,Paramètres!$A$1:$I$89,5,0)</f>
        <v>-1.4897523215040567E-13</v>
      </c>
      <c r="FG62" s="14" t="e">
        <f t="shared" si="47"/>
        <v>#NUM!</v>
      </c>
      <c r="FH62" s="22" t="e">
        <f t="shared" si="22"/>
        <v>#NUM!</v>
      </c>
      <c r="FI62" s="62" t="e">
        <f t="shared" si="23"/>
        <v>#NUM!</v>
      </c>
      <c r="FJ62" s="62">
        <f ca="1">AVERAGE(OFFSET($FI$3,0,0,'Données projet'!$E$16+1,1))-AVERAGE(OFFSET($H$3,0,0,'Données projet'!$E$16+1,1))</f>
        <v>286.59837239471312</v>
      </c>
      <c r="FK62" s="62">
        <f t="shared" si="48"/>
        <v>319.26091328564689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125.40434391048662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125.40434391048662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-1.7053025658242404E-13</v>
      </c>
      <c r="GA62" s="18">
        <f>FZ62*VLOOKUP('Données projet'!$B$17,Paramètres!$A$1:$I$89,3,0)*VLOOKUP('Données projet'!$B$17,Paramètres!$A$1:$I$89,5,0)</f>
        <v>-1.1439169611549005E-13</v>
      </c>
      <c r="GB62" s="14" t="e">
        <f t="shared" si="49"/>
        <v>#NUM!</v>
      </c>
      <c r="GC62" s="22" t="e">
        <f t="shared" si="25"/>
        <v>#NUM!</v>
      </c>
      <c r="GD62" s="62" t="e">
        <f t="shared" si="26"/>
        <v>#NUM!</v>
      </c>
      <c r="GE62" s="62">
        <f ca="1">AVERAGE(OFFSET($GD$3,0,0,'Données projet'!$E$17+1,1))-AVERAGE(OFFSET($H$3,0,0,'Données projet'!$E$17+1,1))</f>
        <v>277.37570531842186</v>
      </c>
      <c r="GF62" s="62">
        <f t="shared" si="50"/>
        <v>310.00874200911312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projet'!$B$17,Paramètres!$A$1:$I$89,3,0)*0.475*44/12</f>
        <v>147.26007861953087</v>
      </c>
      <c r="GM62" s="23">
        <f>EXP(-LN(2)/25)*GM61+(1-EXP(-LN(2)/25))/(LN(2)/25)*Calculateur!GH62*Calculateur!GJ62*VLOOKUP('Données projet'!$B$17,Paramètres!$A$1:$I$89,3,0)*0.475*44/12</f>
        <v>0</v>
      </c>
      <c r="GN62" s="23">
        <f>EXP(-LN(2)/2)*GN61+(1-EXP(-LN(2)/2))/(LN(2)/2)*GH62*GK62*VLOOKUP('Données projet'!$B$17,Paramètres!$A$1:$I$89,3,0)*0.475*44/12</f>
        <v>0</v>
      </c>
      <c r="GO62" s="23">
        <f t="shared" si="27"/>
        <v>147.26007861953087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7.75</v>
      </c>
      <c r="N63" s="14">
        <f>IF('Données projet'!$A$36&gt;35,N62+M63-V62,IF(A63&lt;'Données projet'!$A$36,$K$205^A63,IF(A63='Données projet'!$A$36,'Données projet'!$B$36,N62+M63-V62)))</f>
        <v>178.50000000000017</v>
      </c>
      <c r="O63" s="14">
        <f>N63*VLOOKUP('Données projet'!$B$9,Paramètres!$A$1:$I$89,3,0)*VLOOKUP('Données projet'!$B$9,Paramètres!$A$1:$I$89,5,0)</f>
        <v>155.93760000000017</v>
      </c>
      <c r="P63" s="14">
        <f t="shared" si="33"/>
        <v>39.924862785906342</v>
      </c>
      <c r="Q63" s="22">
        <f t="shared" si="53"/>
        <v>341.1271226854538</v>
      </c>
      <c r="R63" s="62">
        <f t="shared" si="0"/>
        <v>602.38282901693128</v>
      </c>
      <c r="S63" s="62">
        <f ca="1">AVERAGE(OFFSET($R$3,0,0,'Données projet'!$E$9+1,1))-AVERAGE(OFFSET($H$3,0,0,'Données projet'!$E$9+1,1))</f>
        <v>401.34220206028908</v>
      </c>
      <c r="T63" s="62">
        <f t="shared" si="34"/>
        <v>265.33314259106987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8.0017095494751445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8.0017095494751445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261</v>
      </c>
      <c r="AG63" s="13">
        <f>VLOOKUP(A63,'Données projet'!$A$61:$I$81,9,0)</f>
        <v>8</v>
      </c>
      <c r="AH63" s="13">
        <f t="array" ref="AH63">INDEX(AG:AG,MIN(IF(ISNUMBER(AG63:AG259),ROW(AG63:AG259),"")))</f>
        <v>8</v>
      </c>
      <c r="AI63" s="14">
        <f>IF('Données projet'!$A$62&gt;35,AI62+AH63-AQ62,IF(A63&lt;'Données projet'!$A$62,$AF$205^A63,IF(A63='Données projet'!$A$62,'Données projet'!$B$62,AI62+AH63-AQ62)))</f>
        <v>261.00000000000006</v>
      </c>
      <c r="AJ63" s="14">
        <f>AI63*VLOOKUP('Données projet'!$B$10,Paramètres!$A$1:$I$89,3,0)*VLOOKUP('Données projet'!$B$10,Paramètres!$A$1:$I$89,5,0)</f>
        <v>122.14800000000004</v>
      </c>
      <c r="AK63" s="14">
        <f t="shared" si="35"/>
        <v>32.175466547071615</v>
      </c>
      <c r="AL63" s="22">
        <f t="shared" si="4"/>
        <v>268.78003756948311</v>
      </c>
      <c r="AM63" s="62">
        <f t="shared" si="5"/>
        <v>530.0357439009606</v>
      </c>
      <c r="AN63" s="62">
        <f ca="1">AVERAGE(OFFSET($AM$3,0,0,'Données projet'!$E$10+1,1))-AVERAGE(OFFSET($H$3,0,0,'Données projet'!$E$10+1,1))</f>
        <v>253.48761861464732</v>
      </c>
      <c r="AO63" s="62">
        <f t="shared" si="36"/>
        <v>219.50855998133855</v>
      </c>
      <c r="AP63" s="16">
        <f>IF(ISNA(VLOOKUP(A63,'Données projet'!$A$61:$I$81,3,0)),0,VLOOKUP(A63,'Données projet'!$A$61:$I$81,3,0))</f>
        <v>5</v>
      </c>
      <c r="AQ63" s="16">
        <f>IF(ISNA(VLOOKUP(A63,'Données projet'!$A$61:$I$81,4,0)),0,VLOOKUP(A63,'Données projet'!$A$61:$I$81,4,0))</f>
        <v>52</v>
      </c>
      <c r="AR63" s="17">
        <f>IF(ISNA(VLOOKUP(A63,'Données projet'!$A$61:$I$81,5,0)),0%,VLOOKUP(A63,'Données projet'!$A$61:$I$81,5,0)*VLOOKUP('Données projet'!$B$10,Paramètres!$A$1:$I$89,7,0))</f>
        <v>0.38500000000000001</v>
      </c>
      <c r="AS63" s="17">
        <f>IF(ISNA(VLOOKUP(A63,'Données projet'!$A$61:$I$81,6,0)),0%,VLOOKUP(A63,'Données projet'!$A$61:$I$81,6,0)*VLOOKUP('Données projet'!$B$10,Paramètres!$A$1:$I$89,7,0))</f>
        <v>9.3500000000000014E-2</v>
      </c>
      <c r="AT63" s="17">
        <f>IF(ISNA(VLOOKUP(A63,'Données projet'!$A$61:$I$81,7,0)),0%,VLOOKUP(A63,'Données projet'!$A$61:$I$81,7,0))</f>
        <v>0.13</v>
      </c>
      <c r="AU63" s="23">
        <f>EXP(-LN(2)/35)*AU62+(1-EXP(-LN(2)/35))/(LN(2)/35)*AQ63*AR63*VLOOKUP('Données projet'!$B$10,Paramètres!$A$1:$I$89,3,0)*0.475*44/12</f>
        <v>31.616070413301156</v>
      </c>
      <c r="AV63" s="23">
        <f>EXP(-LN(2)/25)*AV62+(1-EXP(-LN(2)/25))/(LN(2)/25)*Calculateur!AQ63*Calculateur!AS63*VLOOKUP('Données projet'!$B$10,Paramètres!$A$1:$I$89,3,0)*0.475*44/12</f>
        <v>8.4988405372767488</v>
      </c>
      <c r="AW63" s="23">
        <f>EXP(-LN(2)/2)*AW62+(1-EXP(-LN(2)/2))/(LN(2)/2)*AQ63*AT63*VLOOKUP('Données projet'!$B$10,Paramètres!$A$1:$I$89,3,0)*0.475*44/12</f>
        <v>3.6815840571745322</v>
      </c>
      <c r="AX63" s="23">
        <f t="shared" si="6"/>
        <v>43.796495007752441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2.625</v>
      </c>
      <c r="BD63" s="13">
        <f>IF('Données projet'!$A$88&gt;35,BD62+BC63-BL62,IF(A63&lt;'Données projet'!$A$88,$BA$205^A63,IF(A63='Données projet'!$A$88,'Données projet'!$B$88,BD62+BC63-BL62)))</f>
        <v>310.75</v>
      </c>
      <c r="BE63" s="14">
        <f>BD63*VLOOKUP('Données projet'!$B$11,Paramètres!$A$1:$I$89,3,0)*VLOOKUP('Données projet'!$B$11,Paramètres!$A$1:$I$89,5,0)</f>
        <v>357.98399999999998</v>
      </c>
      <c r="BF63" s="14">
        <f t="shared" si="37"/>
        <v>83.204335462878674</v>
      </c>
      <c r="BG63" s="22">
        <f t="shared" si="7"/>
        <v>768.40301759784688</v>
      </c>
      <c r="BH63" s="62">
        <f t="shared" si="8"/>
        <v>1029.6587239293244</v>
      </c>
      <c r="BI63" s="62">
        <f ca="1">AVERAGE(OFFSET($BH$3,0,0,'Données projet'!$E$11+1,1))-AVERAGE(OFFSET($H$3,0,0,'Données projet'!$E$11+1,1))</f>
        <v>482.85256243111911</v>
      </c>
      <c r="BJ63" s="62">
        <f t="shared" si="38"/>
        <v>517.78430032567064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32.601785869483415</v>
      </c>
      <c r="BQ63" s="23">
        <f>EXP(-LN(2)/25)*BQ62+(1-EXP(-LN(2)/25))/(LN(2)/25)*Calculateur!BL63*Calculateur!BN63*VLOOKUP('Données projet'!$B$11,Paramètres!$A$1:$I$89,3,0)*0.475*44/12</f>
        <v>9.0495501392149738</v>
      </c>
      <c r="BR63" s="23">
        <f>EXP(-LN(2)/2)*BR62+(1-EXP(-LN(2)/2))/(LN(2)/2)*BL63*BO63*VLOOKUP('Données projet'!$B$11,Paramètres!$A$1:$I$89,3,0)*0.475*44/12</f>
        <v>0.20876312483767875</v>
      </c>
      <c r="BS63" s="24">
        <f t="shared" si="9"/>
        <v>41.860099133536067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2.625</v>
      </c>
      <c r="BY63" s="13">
        <f>IF('Données projet'!$A$114&gt;35,BY62+BX63-CG62,IF(A63&lt;'Données projet'!$A$114,$BV$205^A63,IF(A63='Données projet'!$A$114,'Données projet'!$B$114,BY62+BX63-CG62)))</f>
        <v>310.75</v>
      </c>
      <c r="BZ63" s="14">
        <f>BY63*VLOOKUP('Données projet'!$B$12,Paramètres!$A$1:$I$89,3,0)*VLOOKUP('Données projet'!$B$12,Paramètres!$A$1:$I$89,5,0)</f>
        <v>185.82849999999999</v>
      </c>
      <c r="CA63" s="14">
        <f t="shared" si="39"/>
        <v>46.616505227631926</v>
      </c>
      <c r="CB63" s="22">
        <f t="shared" si="10"/>
        <v>404.84171743812561</v>
      </c>
      <c r="CC63" s="62">
        <f t="shared" si="11"/>
        <v>666.0974237696031</v>
      </c>
      <c r="CD63" s="62">
        <f ca="1">AVERAGE(OFFSET($CC$3,0,0,'Données projet'!$E$12+1,1))-AVERAGE(OFFSET($H$3,0,0,'Données projet'!$E$12+1,1))</f>
        <v>275.76900776033335</v>
      </c>
      <c r="CE63" s="62">
        <f t="shared" si="40"/>
        <v>299.36898480605191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31.243378124921591</v>
      </c>
      <c r="CL63" s="23">
        <f>EXP(-LN(2)/25)*CL62+(1-EXP(-LN(2)/25))/(LN(2)/25)*Calculateur!CG63*Calculateur!CI63*VLOOKUP('Données projet'!$B$12,Paramètres!$A$1:$I$89,3,0)*0.475*44/12</f>
        <v>8.6724855500810172</v>
      </c>
      <c r="CM63" s="23">
        <f>EXP(-LN(2)/2)*CM62+(1-EXP(-LN(2)/2))/(LN(2)/2)*CG63*CJ63*VLOOKUP('Données projet'!$B$12,Paramètres!$A$1:$I$89,3,0)*0.475*44/12</f>
        <v>0.2000646613027755</v>
      </c>
      <c r="CN63" s="24">
        <f t="shared" si="12"/>
        <v>40.115928336305387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7.75</v>
      </c>
      <c r="CT63" s="13">
        <f>IF('Données projet'!$A$140&gt;35,CT62+CS63-DB62,IF(A63&lt;'Données projet'!$A$140,$CQ$205^A63,IF(A63='Données projet'!$A$140,'Données projet'!$B$140,CT62+CS63-DB62)))</f>
        <v>178.50000000000017</v>
      </c>
      <c r="CU63" s="18">
        <f>CT63*VLOOKUP('Données projet'!$B$13,Paramètres!$A$1:$I$89,3,0)*VLOOKUP('Données projet'!$B$13,Paramètres!$A$1:$I$89,5,0)</f>
        <v>194.9220000000002</v>
      </c>
      <c r="CV63" s="14">
        <f t="shared" si="41"/>
        <v>48.62651212979501</v>
      </c>
      <c r="CW63" s="22">
        <f t="shared" si="13"/>
        <v>424.18032529272659</v>
      </c>
      <c r="CX63" s="62">
        <f t="shared" si="14"/>
        <v>685.43603162420413</v>
      </c>
      <c r="CY63" s="62">
        <f ca="1">AVERAGE(OFFSET($CX$3,0,0,'Données projet'!$E$13+1,1))-AVERAGE(OFFSET($H$3,0,0,'Données projet'!$E$13+1,1))</f>
        <v>482.24068797679558</v>
      </c>
      <c r="CZ63" s="62">
        <f t="shared" si="42"/>
        <v>316.28941055521693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10.002136936843925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10.002136936843925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-1.7053025658242404E-13</v>
      </c>
      <c r="DP63" s="18">
        <f>DO63*VLOOKUP('Données projet'!$B$14,Paramètres!$A$1:$I$89,3,0)*VLOOKUP('Données projet'!$B$14,Paramètres!$A$1:$I$89,5,0)</f>
        <v>-1.383341441396624E-13</v>
      </c>
      <c r="DQ63" s="14" t="e">
        <f t="shared" si="43"/>
        <v>#NUM!</v>
      </c>
      <c r="DR63" s="22" t="e">
        <f t="shared" si="16"/>
        <v>#NUM!</v>
      </c>
      <c r="DS63" s="62" t="e">
        <f t="shared" si="17"/>
        <v>#NUM!</v>
      </c>
      <c r="DT63" s="62">
        <f ca="1">AVERAGE(OFFSET($DS$3,0,0,'Données projet'!$E$14+1,1))-AVERAGE(OFFSET($H$3,0,0,'Données projet'!$E$14+1,1))</f>
        <v>325.58538970226539</v>
      </c>
      <c r="DU63" s="62">
        <f t="shared" si="44"/>
        <v>361.81085660423457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141.64839078253218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141.64839078253218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6.1999999999999975</v>
      </c>
      <c r="EJ63" s="13">
        <f>IF('Données projet'!$A$192&gt;35,EJ62+EI63-ER62,IF(A63&lt;'Données projet'!$A$192,$EG$205^A63,IF(A63='Données projet'!$A$192,'Données projet'!$B$192,EJ62+EI63-ER62)))</f>
        <v>142.7999999999999</v>
      </c>
      <c r="EK63" s="18">
        <f>EJ63*VLOOKUP('Données projet'!$B$15,Paramètres!$A$1:$I$89,3,0)*VLOOKUP('Données projet'!$B$15,Paramètres!$A$1:$I$89,5,0)</f>
        <v>138.11615999999989</v>
      </c>
      <c r="EL63" s="14">
        <f t="shared" si="45"/>
        <v>35.865104527671456</v>
      </c>
      <c r="EM63" s="22">
        <f t="shared" si="19"/>
        <v>303.01736905236095</v>
      </c>
      <c r="EN63" s="62">
        <f t="shared" si="20"/>
        <v>564.27307538383843</v>
      </c>
      <c r="EO63" s="62">
        <f ca="1">AVERAGE(OFFSET($EN$3,0,0,'Données projet'!$E$15+1,1))-AVERAGE(OFFSET($H$3,0,0,'Données projet'!$E$15+1,1))</f>
        <v>364.22267539944085</v>
      </c>
      <c r="EP63" s="62">
        <f t="shared" si="46"/>
        <v>241.947139538615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7.0872284581065541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7.0872284581065541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-1.7053025658242404E-13</v>
      </c>
      <c r="FF63" s="18">
        <f>FE63*VLOOKUP('Données projet'!$B$16,Paramètres!$A$1:$I$89,3,0)*VLOOKUP('Données projet'!$B$16,Paramètres!$A$1:$I$89,5,0)</f>
        <v>-1.4897523215040567E-13</v>
      </c>
      <c r="FG63" s="14" t="e">
        <f t="shared" si="47"/>
        <v>#NUM!</v>
      </c>
      <c r="FH63" s="22" t="e">
        <f t="shared" si="22"/>
        <v>#NUM!</v>
      </c>
      <c r="FI63" s="62" t="e">
        <f t="shared" si="23"/>
        <v>#NUM!</v>
      </c>
      <c r="FJ63" s="62">
        <f ca="1">AVERAGE(OFFSET($FI$3,0,0,'Données projet'!$E$16+1,1))-AVERAGE(OFFSET($H$3,0,0,'Données projet'!$E$16+1,1))</f>
        <v>286.59837239471312</v>
      </c>
      <c r="FK63" s="62">
        <f t="shared" si="48"/>
        <v>319.26091328564689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122.9452412154991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122.9452412154991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-1.7053025658242404E-13</v>
      </c>
      <c r="GA63" s="18">
        <f>FZ63*VLOOKUP('Données projet'!$B$17,Paramètres!$A$1:$I$89,3,0)*VLOOKUP('Données projet'!$B$17,Paramètres!$A$1:$I$89,5,0)</f>
        <v>-1.1439169611549005E-13</v>
      </c>
      <c r="GB63" s="14" t="e">
        <f t="shared" si="49"/>
        <v>#NUM!</v>
      </c>
      <c r="GC63" s="22" t="e">
        <f t="shared" si="25"/>
        <v>#NUM!</v>
      </c>
      <c r="GD63" s="62" t="e">
        <f t="shared" si="26"/>
        <v>#NUM!</v>
      </c>
      <c r="GE63" s="62">
        <f ca="1">AVERAGE(OFFSET($GD$3,0,0,'Données projet'!$E$17+1,1))-AVERAGE(OFFSET($H$3,0,0,'Données projet'!$E$17+1,1))</f>
        <v>277.37570531842186</v>
      </c>
      <c r="GF63" s="62">
        <f t="shared" si="50"/>
        <v>310.00874200911312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projet'!$B$17,Paramètres!$A$1:$I$89,3,0)*0.475*44/12</f>
        <v>144.37239829758087</v>
      </c>
      <c r="GM63" s="23">
        <f>EXP(-LN(2)/25)*GM62+(1-EXP(-LN(2)/25))/(LN(2)/25)*Calculateur!GH63*Calculateur!GJ63*VLOOKUP('Données projet'!$B$17,Paramètres!$A$1:$I$89,3,0)*0.475*44/12</f>
        <v>0</v>
      </c>
      <c r="GN63" s="23">
        <f>EXP(-LN(2)/2)*GN62+(1-EXP(-LN(2)/2))/(LN(2)/2)*GH63*GK63*VLOOKUP('Données projet'!$B$17,Paramètres!$A$1:$I$89,3,0)*0.475*44/12</f>
        <v>0</v>
      </c>
      <c r="GO63" s="23">
        <f t="shared" si="27"/>
        <v>144.37239829758087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7.75</v>
      </c>
      <c r="N64" s="14">
        <f>IF('Données projet'!$A$36&gt;35,N63+M64-V63,IF(A64&lt;'Données projet'!$A$36,$K$205^A64,IF(A64='Données projet'!$A$36,'Données projet'!$B$36,N63+M64-V63)))</f>
        <v>186.25000000000017</v>
      </c>
      <c r="O64" s="14">
        <f>N64*VLOOKUP('Données projet'!$B$9,Paramètres!$A$1:$I$89,3,0)*VLOOKUP('Données projet'!$B$9,Paramètres!$A$1:$I$89,5,0)</f>
        <v>162.70800000000017</v>
      </c>
      <c r="P64" s="14">
        <f t="shared" si="33"/>
        <v>41.452714465110297</v>
      </c>
      <c r="Q64" s="22">
        <f t="shared" si="53"/>
        <v>355.57991102673401</v>
      </c>
      <c r="R64" s="62">
        <f t="shared" si="0"/>
        <v>617.39209247186341</v>
      </c>
      <c r="S64" s="62">
        <f ca="1">AVERAGE(OFFSET($R$3,0,0,'Données projet'!$E$9+1,1))-AVERAGE(OFFSET($H$3,0,0,'Données projet'!$E$9+1,1))</f>
        <v>401.34220206028908</v>
      </c>
      <c r="T64" s="62">
        <f t="shared" si="34"/>
        <v>265.33314259106987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7.844800905770847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7.844800905770847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7.5</v>
      </c>
      <c r="AI64" s="14">
        <f>IF('Données projet'!$A$62&gt;35,AI63+AH64-AQ63,IF(A64&lt;'Données projet'!$A$62,$AF$205^A64,IF(A64='Données projet'!$A$62,'Données projet'!$B$62,AI63+AH64-AQ63)))</f>
        <v>216.50000000000006</v>
      </c>
      <c r="AJ64" s="14">
        <f>AI64*VLOOKUP('Données projet'!$B$10,Paramètres!$A$1:$I$89,3,0)*VLOOKUP('Données projet'!$B$10,Paramètres!$A$1:$I$89,5,0)</f>
        <v>101.32200000000002</v>
      </c>
      <c r="AK64" s="14">
        <f t="shared" si="35"/>
        <v>27.276704679817733</v>
      </c>
      <c r="AL64" s="22">
        <f t="shared" si="4"/>
        <v>223.97607731734925</v>
      </c>
      <c r="AM64" s="62">
        <f t="shared" si="5"/>
        <v>485.78825876247856</v>
      </c>
      <c r="AN64" s="62">
        <f ca="1">AVERAGE(OFFSET($AM$3,0,0,'Données projet'!$E$10+1,1))-AVERAGE(OFFSET($H$3,0,0,'Données projet'!$E$10+1,1))</f>
        <v>253.48761861464732</v>
      </c>
      <c r="AO64" s="62">
        <f t="shared" si="36"/>
        <v>219.50855998133855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30.996098556395147</v>
      </c>
      <c r="AV64" s="23">
        <f>EXP(-LN(2)/25)*AV63+(1-EXP(-LN(2)/25))/(LN(2)/25)*Calculateur!AQ64*Calculateur!AS64*VLOOKUP('Données projet'!$B$10,Paramètres!$A$1:$I$89,3,0)*0.475*44/12</f>
        <v>8.2664392958503168</v>
      </c>
      <c r="AW64" s="23">
        <f>EXP(-LN(2)/2)*AW63+(1-EXP(-LN(2)/2))/(LN(2)/2)*AQ64*AT64*VLOOKUP('Données projet'!$B$10,Paramètres!$A$1:$I$89,3,0)*0.475*44/12</f>
        <v>2.6032730523363941</v>
      </c>
      <c r="AX64" s="23">
        <f t="shared" si="6"/>
        <v>41.865810904581856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2.625</v>
      </c>
      <c r="BD64" s="13">
        <f>IF('Données projet'!$A$88&gt;35,BD63+BC64-BL63,IF(A64&lt;'Données projet'!$A$88,$BA$205^A64,IF(A64='Données projet'!$A$88,'Données projet'!$B$88,BD63+BC64-BL63)))</f>
        <v>313.375</v>
      </c>
      <c r="BE64" s="14">
        <f>BD64*VLOOKUP('Données projet'!$B$11,Paramètres!$A$1:$I$89,3,0)*VLOOKUP('Données projet'!$B$11,Paramètres!$A$1:$I$89,5,0)</f>
        <v>361.00799999999998</v>
      </c>
      <c r="BF64" s="14">
        <f t="shared" si="37"/>
        <v>83.825071467307055</v>
      </c>
      <c r="BG64" s="22">
        <f t="shared" si="7"/>
        <v>774.75093280555973</v>
      </c>
      <c r="BH64" s="62">
        <f t="shared" si="8"/>
        <v>1036.5631142506891</v>
      </c>
      <c r="BI64" s="62">
        <f ca="1">AVERAGE(OFFSET($BH$3,0,0,'Données projet'!$E$11+1,1))-AVERAGE(OFFSET($H$3,0,0,'Données projet'!$E$11+1,1))</f>
        <v>482.85256243111911</v>
      </c>
      <c r="BJ64" s="62">
        <f t="shared" si="38"/>
        <v>517.78430032567064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31.962484733708731</v>
      </c>
      <c r="BQ64" s="23">
        <f>EXP(-LN(2)/25)*BQ63+(1-EXP(-LN(2)/25))/(LN(2)/25)*Calculateur!BL64*Calculateur!BN64*VLOOKUP('Données projet'!$B$11,Paramètres!$A$1:$I$89,3,0)*0.475*44/12</f>
        <v>8.8020897147629817</v>
      </c>
      <c r="BR64" s="23">
        <f>EXP(-LN(2)/2)*BR63+(1-EXP(-LN(2)/2))/(LN(2)/2)*BL64*BO64*VLOOKUP('Données projet'!$B$11,Paramètres!$A$1:$I$89,3,0)*0.475*44/12</f>
        <v>0.14761782123441641</v>
      </c>
      <c r="BS64" s="24">
        <f t="shared" si="9"/>
        <v>40.912192269706132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2.625</v>
      </c>
      <c r="BY64" s="13">
        <f>IF('Données projet'!$A$114&gt;35,BY63+BX64-CG63,IF(A64&lt;'Données projet'!$A$114,$BV$205^A64,IF(A64='Données projet'!$A$114,'Données projet'!$B$114,BY63+BX64-CG63)))</f>
        <v>313.375</v>
      </c>
      <c r="BZ64" s="14">
        <f>BY64*VLOOKUP('Données projet'!$B$12,Paramètres!$A$1:$I$89,3,0)*VLOOKUP('Données projet'!$B$12,Paramètres!$A$1:$I$89,5,0)</f>
        <v>187.39825000000002</v>
      </c>
      <c r="CA64" s="14">
        <f t="shared" si="39"/>
        <v>46.964282095681376</v>
      </c>
      <c r="CB64" s="22">
        <f t="shared" si="10"/>
        <v>408.18141006664501</v>
      </c>
      <c r="CC64" s="62">
        <f t="shared" si="11"/>
        <v>669.99359151177441</v>
      </c>
      <c r="CD64" s="62">
        <f ca="1">AVERAGE(OFFSET($CC$3,0,0,'Données projet'!$E$12+1,1))-AVERAGE(OFFSET($H$3,0,0,'Données projet'!$E$12+1,1))</f>
        <v>275.76900776033335</v>
      </c>
      <c r="CE64" s="62">
        <f t="shared" si="40"/>
        <v>299.36898480605191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30.630714536470855</v>
      </c>
      <c r="CL64" s="23">
        <f>EXP(-LN(2)/25)*CL63+(1-EXP(-LN(2)/25))/(LN(2)/25)*Calculateur!CG64*Calculateur!CI64*VLOOKUP('Données projet'!$B$12,Paramètres!$A$1:$I$89,3,0)*0.475*44/12</f>
        <v>8.4353359766478579</v>
      </c>
      <c r="CM64" s="23">
        <f>EXP(-LN(2)/2)*CM63+(1-EXP(-LN(2)/2))/(LN(2)/2)*CG64*CJ64*VLOOKUP('Données projet'!$B$12,Paramètres!$A$1:$I$89,3,0)*0.475*44/12</f>
        <v>0.14146707868298242</v>
      </c>
      <c r="CN64" s="24">
        <f t="shared" si="12"/>
        <v>39.207517591801697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7.75</v>
      </c>
      <c r="CT64" s="13">
        <f>IF('Données projet'!$A$140&gt;35,CT63+CS64-DB63,IF(A64&lt;'Données projet'!$A$140,$CQ$205^A64,IF(A64='Données projet'!$A$140,'Données projet'!$B$140,CT63+CS64-DB63)))</f>
        <v>186.25000000000017</v>
      </c>
      <c r="CU64" s="18">
        <f>CT64*VLOOKUP('Données projet'!$B$13,Paramètres!$A$1:$I$89,3,0)*VLOOKUP('Données projet'!$B$13,Paramètres!$A$1:$I$89,5,0)</f>
        <v>203.38500000000019</v>
      </c>
      <c r="CV64" s="14">
        <f t="shared" si="41"/>
        <v>50.487360058308489</v>
      </c>
      <c r="CW64" s="22">
        <f t="shared" si="13"/>
        <v>442.16102710155428</v>
      </c>
      <c r="CX64" s="62">
        <f t="shared" si="14"/>
        <v>703.97320854668362</v>
      </c>
      <c r="CY64" s="62">
        <f ca="1">AVERAGE(OFFSET($CX$3,0,0,'Données projet'!$E$13+1,1))-AVERAGE(OFFSET($H$3,0,0,'Données projet'!$E$13+1,1))</f>
        <v>482.24068797679558</v>
      </c>
      <c r="CZ64" s="62">
        <f t="shared" si="42"/>
        <v>316.28941055521693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9.8060011322135523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9.8060011322135523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-1.7053025658242404E-13</v>
      </c>
      <c r="DP64" s="18">
        <f>DO64*VLOOKUP('Données projet'!$B$14,Paramètres!$A$1:$I$89,3,0)*VLOOKUP('Données projet'!$B$14,Paramètres!$A$1:$I$89,5,0)</f>
        <v>-1.383341441396624E-13</v>
      </c>
      <c r="DQ64" s="14" t="e">
        <f t="shared" si="43"/>
        <v>#NUM!</v>
      </c>
      <c r="DR64" s="22" t="e">
        <f t="shared" si="16"/>
        <v>#NUM!</v>
      </c>
      <c r="DS64" s="62" t="e">
        <f t="shared" si="17"/>
        <v>#NUM!</v>
      </c>
      <c r="DT64" s="62">
        <f ca="1">AVERAGE(OFFSET($DS$3,0,0,'Données projet'!$E$14+1,1))-AVERAGE(OFFSET($H$3,0,0,'Données projet'!$E$14+1,1))</f>
        <v>325.58538970226539</v>
      </c>
      <c r="DU64" s="62">
        <f t="shared" si="44"/>
        <v>361.81085660423457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138.87075223627411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138.87075223627411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6.1999999999999975</v>
      </c>
      <c r="EJ64" s="13">
        <f>IF('Données projet'!$A$192&gt;35,EJ63+EI64-ER63,IF(A64&lt;'Données projet'!$A$192,$EG$205^A64,IF(A64='Données projet'!$A$192,'Données projet'!$B$192,EJ63+EI64-ER63)))</f>
        <v>148.99999999999989</v>
      </c>
      <c r="EK64" s="18">
        <f>EJ64*VLOOKUP('Données projet'!$B$15,Paramètres!$A$1:$I$89,3,0)*VLOOKUP('Données projet'!$B$15,Paramètres!$A$1:$I$89,5,0)</f>
        <v>144.11279999999988</v>
      </c>
      <c r="EL64" s="14">
        <f t="shared" si="45"/>
        <v>37.237596662992466</v>
      </c>
      <c r="EM64" s="22">
        <f t="shared" si="19"/>
        <v>315.8519408547117</v>
      </c>
      <c r="EN64" s="62">
        <f t="shared" si="20"/>
        <v>577.66412229984098</v>
      </c>
      <c r="EO64" s="62">
        <f ca="1">AVERAGE(OFFSET($EN$3,0,0,'Données projet'!$E$15+1,1))-AVERAGE(OFFSET($H$3,0,0,'Données projet'!$E$15+1,1))</f>
        <v>364.22267539944085</v>
      </c>
      <c r="EP64" s="62">
        <f t="shared" si="46"/>
        <v>241.947139538615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6.9482522308256049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6.9482522308256049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-1.7053025658242404E-13</v>
      </c>
      <c r="FF64" s="18">
        <f>FE64*VLOOKUP('Données projet'!$B$16,Paramètres!$A$1:$I$89,3,0)*VLOOKUP('Données projet'!$B$16,Paramètres!$A$1:$I$89,5,0)</f>
        <v>-1.4897523215040567E-13</v>
      </c>
      <c r="FG64" s="14" t="e">
        <f t="shared" si="47"/>
        <v>#NUM!</v>
      </c>
      <c r="FH64" s="22" t="e">
        <f t="shared" si="22"/>
        <v>#NUM!</v>
      </c>
      <c r="FI64" s="62" t="e">
        <f t="shared" si="23"/>
        <v>#NUM!</v>
      </c>
      <c r="FJ64" s="62">
        <f ca="1">AVERAGE(OFFSET($FI$3,0,0,'Données projet'!$E$16+1,1))-AVERAGE(OFFSET($H$3,0,0,'Données projet'!$E$16+1,1))</f>
        <v>286.59837239471312</v>
      </c>
      <c r="FK64" s="62">
        <f t="shared" si="48"/>
        <v>319.26091328564689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120.53436002445574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120.53436002445574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-1.7053025658242404E-13</v>
      </c>
      <c r="GA64" s="18">
        <f>FZ64*VLOOKUP('Données projet'!$B$17,Paramètres!$A$1:$I$89,3,0)*VLOOKUP('Données projet'!$B$17,Paramètres!$A$1:$I$89,5,0)</f>
        <v>-1.1439169611549005E-13</v>
      </c>
      <c r="GB64" s="14" t="e">
        <f t="shared" si="49"/>
        <v>#NUM!</v>
      </c>
      <c r="GC64" s="22" t="e">
        <f t="shared" si="25"/>
        <v>#NUM!</v>
      </c>
      <c r="GD64" s="62" t="e">
        <f t="shared" si="26"/>
        <v>#NUM!</v>
      </c>
      <c r="GE64" s="62">
        <f ca="1">AVERAGE(OFFSET($GD$3,0,0,'Données projet'!$E$17+1,1))-AVERAGE(OFFSET($H$3,0,0,'Données projet'!$E$17+1,1))</f>
        <v>277.37570531842186</v>
      </c>
      <c r="GF64" s="62">
        <f t="shared" si="50"/>
        <v>310.00874200911312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projet'!$B$17,Paramètres!$A$1:$I$89,3,0)*0.475*44/12</f>
        <v>141.54134362543323</v>
      </c>
      <c r="GM64" s="23">
        <f>EXP(-LN(2)/25)*GM63+(1-EXP(-LN(2)/25))/(LN(2)/25)*Calculateur!GH64*Calculateur!GJ64*VLOOKUP('Données projet'!$B$17,Paramètres!$A$1:$I$89,3,0)*0.475*44/12</f>
        <v>0</v>
      </c>
      <c r="GN64" s="23">
        <f>EXP(-LN(2)/2)*GN63+(1-EXP(-LN(2)/2))/(LN(2)/2)*GH64*GK64*VLOOKUP('Données projet'!$B$17,Paramètres!$A$1:$I$89,3,0)*0.475*44/12</f>
        <v>0</v>
      </c>
      <c r="GO64" s="23">
        <f t="shared" si="27"/>
        <v>141.54134362543323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>
        <f>VLOOKUP(A65,'Données projet'!$A$35:$I$55,2,0)</f>
        <v>194</v>
      </c>
      <c r="L65" s="13">
        <f>VLOOKUP(A65,'Données projet'!$A$35:$I$55,9,0)</f>
        <v>7.75</v>
      </c>
      <c r="M65" s="13">
        <f t="array" ref="M65">INDEX(L:L,MIN(IF(ISNUMBER(L65:L261),ROW(L65:L261),"")))</f>
        <v>7.75</v>
      </c>
      <c r="N65" s="14">
        <f>IF('Données projet'!$A$36&gt;35,N64+M65-V64,IF(A65&lt;'Données projet'!$A$36,$K$205^A65,IF(A65='Données projet'!$A$36,'Données projet'!$B$36,N64+M65-V64)))</f>
        <v>194.00000000000017</v>
      </c>
      <c r="O65" s="14">
        <f>N65*VLOOKUP('Données projet'!$B$9,Paramètres!$A$1:$I$89,3,0)*VLOOKUP('Données projet'!$B$9,Paramètres!$A$1:$I$89,5,0)</f>
        <v>169.47840000000016</v>
      </c>
      <c r="P65" s="14">
        <f t="shared" si="33"/>
        <v>42.973181651930332</v>
      </c>
      <c r="Q65" s="22">
        <f t="shared" si="53"/>
        <v>370.01983804377892</v>
      </c>
      <c r="R65" s="62">
        <f t="shared" si="0"/>
        <v>632.37884100343024</v>
      </c>
      <c r="S65" s="62">
        <f ca="1">AVERAGE(OFFSET($R$3,0,0,'Données projet'!$E$9+1,1))-AVERAGE(OFFSET($H$3,0,0,'Données projet'!$E$9+1,1))</f>
        <v>401.34220206028908</v>
      </c>
      <c r="T65" s="62">
        <f t="shared" si="34"/>
        <v>265.33314259106987</v>
      </c>
      <c r="U65" s="16">
        <f>IF(ISNA(VLOOKUP(A65,'Données projet'!$A$35:$I$55,3,0)),0,VLOOKUP(A65,'Données projet'!$A$35:$I$55,3,0))</f>
        <v>5</v>
      </c>
      <c r="V65" s="16">
        <f>IF(ISNA(VLOOKUP(A65,'Données projet'!$A$35:$I$55,4,0)),0,VLOOKUP(A65,'Données projet'!$A$35:$I$55,4,0))</f>
        <v>39</v>
      </c>
      <c r="W65" s="17">
        <f>IF(ISNA(VLOOKUP(A65,'Données projet'!$A$35:$I$55,5,0)),0%,VLOOKUP(A65,'Données projet'!$A$35:$I$55,5,0)*VLOOKUP('Données projet'!$B$9,Paramètres!$A$1:$I$89,7,0))</f>
        <v>0.30099999999999999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19.027778368535436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19.027778368535436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7.5</v>
      </c>
      <c r="AI65" s="14">
        <f>IF('Données projet'!$A$62&gt;35,AI64+AH65-AQ64,IF(A65&lt;'Données projet'!$A$62,$AF$205^A65,IF(A65='Données projet'!$A$62,'Données projet'!$B$62,AI64+AH65-AQ64)))</f>
        <v>224.00000000000006</v>
      </c>
      <c r="AJ65" s="14">
        <f>AI65*VLOOKUP('Données projet'!$B$10,Paramètres!$A$1:$I$89,3,0)*VLOOKUP('Données projet'!$B$10,Paramètres!$A$1:$I$89,5,0)</f>
        <v>104.83200000000002</v>
      </c>
      <c r="AK65" s="14">
        <f t="shared" si="35"/>
        <v>28.109974371137717</v>
      </c>
      <c r="AL65" s="22">
        <f t="shared" si="4"/>
        <v>231.54060536306488</v>
      </c>
      <c r="AM65" s="62">
        <f t="shared" si="5"/>
        <v>493.89960832271618</v>
      </c>
      <c r="AN65" s="62">
        <f ca="1">AVERAGE(OFFSET($AM$3,0,0,'Données projet'!$E$10+1,1))-AVERAGE(OFFSET($H$3,0,0,'Données projet'!$E$10+1,1))</f>
        <v>253.48761861464732</v>
      </c>
      <c r="AO65" s="62">
        <f t="shared" si="36"/>
        <v>219.50855998133855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30.388283969457568</v>
      </c>
      <c r="AV65" s="23">
        <f>EXP(-LN(2)/25)*AV64+(1-EXP(-LN(2)/25))/(LN(2)/25)*Calculateur!AQ65*Calculateur!AS65*VLOOKUP('Données projet'!$B$10,Paramètres!$A$1:$I$89,3,0)*0.475*44/12</f>
        <v>8.0403930785921407</v>
      </c>
      <c r="AW65" s="23">
        <f>EXP(-LN(2)/2)*AW64+(1-EXP(-LN(2)/2))/(LN(2)/2)*AQ65*AT65*VLOOKUP('Données projet'!$B$10,Paramètres!$A$1:$I$89,3,0)*0.475*44/12</f>
        <v>1.8407920285872663</v>
      </c>
      <c r="AX65" s="23">
        <f t="shared" si="6"/>
        <v>40.269469076636973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>
        <f>VLOOKUP(A65,'Données projet'!$A$87:$I$107,2,0)</f>
        <v>316</v>
      </c>
      <c r="BB65" s="13">
        <f>VLOOKUP(A65,'Données projet'!$A$87:$I$107,9,0)</f>
        <v>2.625</v>
      </c>
      <c r="BC65" s="13">
        <f t="array" ref="BC65">INDEX(BB:BB,MIN(IF(ISNUMBER(BB65:BB261),ROW(BB65:BB261),"")))</f>
        <v>2.625</v>
      </c>
      <c r="BD65" s="13">
        <f>IF('Données projet'!$A$88&gt;35,BD64+BC65-BL64,IF(A65&lt;'Données projet'!$A$88,$BA$205^A65,IF(A65='Données projet'!$A$88,'Données projet'!$B$88,BD64+BC65-BL64)))</f>
        <v>316</v>
      </c>
      <c r="BE65" s="14">
        <f>BD65*VLOOKUP('Données projet'!$B$11,Paramètres!$A$1:$I$89,3,0)*VLOOKUP('Données projet'!$B$11,Paramètres!$A$1:$I$89,5,0)</f>
        <v>364.03199999999998</v>
      </c>
      <c r="BF65" s="14">
        <f t="shared" si="37"/>
        <v>84.445202523044074</v>
      </c>
      <c r="BG65" s="22">
        <f t="shared" si="7"/>
        <v>781.09779439430167</v>
      </c>
      <c r="BH65" s="62">
        <f t="shared" si="8"/>
        <v>1043.4567973539529</v>
      </c>
      <c r="BI65" s="62">
        <f ca="1">AVERAGE(OFFSET($BH$3,0,0,'Données projet'!$E$11+1,1))-AVERAGE(OFFSET($H$3,0,0,'Données projet'!$E$11+1,1))</f>
        <v>482.85256243111911</v>
      </c>
      <c r="BJ65" s="62">
        <f t="shared" si="38"/>
        <v>517.78430032567064</v>
      </c>
      <c r="BK65" s="16" t="str">
        <f>IF(ISNA(VLOOKUP(A65,'Données projet'!$A$87:$I$107,3,0)),0,VLOOKUP(A65,'Données projet'!$A$87:$I$107,3,0))</f>
        <v>CR</v>
      </c>
      <c r="BL65" s="16">
        <f>IF(ISNA(VLOOKUP(A65,'Données projet'!$A$87:$I$107,4,0)),0,VLOOKUP(A65,'Données projet'!$A$87:$I$107,4,0))</f>
        <v>316</v>
      </c>
      <c r="BM65" s="17">
        <f>IF(ISNA(VLOOKUP(A65,'Données projet'!$A$87:$I$107,5,0)),0%,VLOOKUP(A65,'Données projet'!$A$87:$I$107,5,0)*VLOOKUP('Données projet'!$B$11,Paramètres!$A$1:$I$89,7,0))</f>
        <v>0.315</v>
      </c>
      <c r="BN65" s="17">
        <f>IF(ISNA(VLOOKUP(A65,'Données projet'!$A$87:$I$107,6,0)),0%,VLOOKUP(A65,'Données projet'!$A$87:$I$107,6,0)*VLOOKUP('Données projet'!$B$11,Paramètres!$A$1:$I$89,7,0))</f>
        <v>7.6500000000000012E-2</v>
      </c>
      <c r="BO65" s="17">
        <f>IF(ISNA(VLOOKUP(A65,'Données projet'!$A$87:$I$107,7,0)),0%,VLOOKUP(A65,'Données projet'!$A$87:$I$107,7,0))</f>
        <v>0.13</v>
      </c>
      <c r="BP65" s="23">
        <f>EXP(-LN(2)/35)*BP64+(1-EXP(-LN(2)/35))/(LN(2)/35)*BL65*BM65*VLOOKUP('Données projet'!$B$11,Paramètres!$A$1:$I$89,3,0)*0.475*44/12</f>
        <v>113.73256486140934</v>
      </c>
      <c r="BQ65" s="23">
        <f>EXP(-LN(2)/25)*BQ64+(1-EXP(-LN(2)/25))/(LN(2)/25)*Calculateur!BL65*Calculateur!BN65*VLOOKUP('Données projet'!$B$11,Paramètres!$A$1:$I$89,3,0)*0.475*44/12</f>
        <v>28.493268853287205</v>
      </c>
      <c r="BR65" s="23">
        <f>EXP(-LN(2)/2)*BR64+(1-EXP(-LN(2)/2))/(LN(2)/2)*BL65*BO65*VLOOKUP('Données projet'!$B$11,Paramètres!$A$1:$I$89,3,0)*0.475*44/12</f>
        <v>29.127933698628457</v>
      </c>
      <c r="BS65" s="24">
        <f t="shared" si="9"/>
        <v>171.35376741332499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>
        <f>VLOOKUP(A65,'Données projet'!$A$113:$I$133,2,0)</f>
        <v>316</v>
      </c>
      <c r="BW65" s="13">
        <f>VLOOKUP(A65,'Données projet'!$A$113:$I$133,9,0)</f>
        <v>2.625</v>
      </c>
      <c r="BX65" s="13">
        <f t="array" ref="BX65">INDEX(BW:BW,MIN(IF(ISNUMBER(BW65:BW261),ROW(BW65:BW261),"")))</f>
        <v>2.625</v>
      </c>
      <c r="BY65" s="13">
        <f>IF('Données projet'!$A$114&gt;35,BY64+BX65-CG64,IF(A65&lt;'Données projet'!$A$114,$BV$205^A65,IF(A65='Données projet'!$A$114,'Données projet'!$B$114,BY64+BX65-CG64)))</f>
        <v>316</v>
      </c>
      <c r="BZ65" s="14">
        <f>BY65*VLOOKUP('Données projet'!$B$12,Paramètres!$A$1:$I$89,3,0)*VLOOKUP('Données projet'!$B$12,Paramètres!$A$1:$I$89,5,0)</f>
        <v>188.96800000000002</v>
      </c>
      <c r="CA65" s="14">
        <f t="shared" si="39"/>
        <v>47.311720031947068</v>
      </c>
      <c r="CB65" s="22">
        <f t="shared" si="10"/>
        <v>411.52051238897451</v>
      </c>
      <c r="CC65" s="62">
        <f t="shared" si="11"/>
        <v>673.87951534862577</v>
      </c>
      <c r="CD65" s="62">
        <f ca="1">AVERAGE(OFFSET($CC$3,0,0,'Données projet'!$E$12+1,1))-AVERAGE(OFFSET($H$3,0,0,'Données projet'!$E$12+1,1))</f>
        <v>275.76900776033335</v>
      </c>
      <c r="CE65" s="62">
        <f t="shared" si="40"/>
        <v>299.36898480605191</v>
      </c>
      <c r="CF65" s="16" t="str">
        <f>IF(ISNA(VLOOKUP(A65,'Données projet'!$A$113:$I$133,3,0)),0,VLOOKUP(A65,'Données projet'!$A$113:$I$133,3,0))</f>
        <v>CR</v>
      </c>
      <c r="CG65" s="16">
        <f>IF(ISNA(VLOOKUP(A65,'Données projet'!$A$113:$I$133,4,0)),0,VLOOKUP(A65,'Données projet'!$A$113:$I$133,4,0))</f>
        <v>316</v>
      </c>
      <c r="CH65" s="17">
        <f>IF(ISNA(VLOOKUP(A65,'Données projet'!$A$113:$I$133,5,0)),0%,VLOOKUP(A65,'Données projet'!$A$113:$I$133,5,0)*VLOOKUP('Données projet'!$B$12,Paramètres!$A$1:$I$89,7,0))</f>
        <v>0.315</v>
      </c>
      <c r="CI65" s="17">
        <f>IF(ISNA(VLOOKUP(A65,'Données projet'!$A$113:$I$133,6,0)),0%,VLOOKUP(A65,'Données projet'!$A$113:$I$133,6,0)*VLOOKUP('Données projet'!$B$12,Paramètres!$A$1:$I$89,7,0))</f>
        <v>7.6500000000000012E-2</v>
      </c>
      <c r="CJ65" s="17">
        <f>IF(ISNA(VLOOKUP(A65,'Données projet'!$A$113:$I$133,7,0)),0%,VLOOKUP(A65,'Données projet'!$A$113:$I$133,7,0))</f>
        <v>0.13</v>
      </c>
      <c r="CK65" s="23">
        <f>EXP(-LN(2)/35)*CK64+(1-EXP(-LN(2)/35))/(LN(2)/35)*CG65*CH65*VLOOKUP('Données projet'!$B$12,Paramètres!$A$1:$I$89,3,0)*0.475*44/12</f>
        <v>108.99370799218396</v>
      </c>
      <c r="CL65" s="23">
        <f>EXP(-LN(2)/25)*CL64+(1-EXP(-LN(2)/25))/(LN(2)/25)*Calculateur!CG65*Calculateur!CI65*VLOOKUP('Données projet'!$B$12,Paramètres!$A$1:$I$89,3,0)*0.475*44/12</f>
        <v>27.306049317733567</v>
      </c>
      <c r="CM65" s="23">
        <f>EXP(-LN(2)/2)*CM64+(1-EXP(-LN(2)/2))/(LN(2)/2)*CG65*CJ65*VLOOKUP('Données projet'!$B$12,Paramètres!$A$1:$I$89,3,0)*0.475*44/12</f>
        <v>27.914269794518944</v>
      </c>
      <c r="CN65" s="24">
        <f t="shared" si="12"/>
        <v>164.21402710443647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>
        <f>VLOOKUP(A65,'Données projet'!$A$139:$I$159,2,0)</f>
        <v>194</v>
      </c>
      <c r="CR65" s="13">
        <f>VLOOKUP(A65,'Données projet'!$A$139:$I$159,9,0)</f>
        <v>7.75</v>
      </c>
      <c r="CS65" s="13">
        <f t="array" ref="CS65">INDEX(CR:CR,MIN(IF(ISNUMBER(CR65:CR261),ROW(CR65:CR261),"")))</f>
        <v>7.75</v>
      </c>
      <c r="CT65" s="13">
        <f>IF('Données projet'!$A$140&gt;35,CT64+CS65-DB64,IF(A65&lt;'Données projet'!$A$140,$CQ$205^A65,IF(A65='Données projet'!$A$140,'Données projet'!$B$140,CT64+CS65-DB64)))</f>
        <v>194.00000000000017</v>
      </c>
      <c r="CU65" s="18">
        <f>CT65*VLOOKUP('Données projet'!$B$13,Paramètres!$A$1:$I$89,3,0)*VLOOKUP('Données projet'!$B$13,Paramètres!$A$1:$I$89,5,0)</f>
        <v>211.84800000000016</v>
      </c>
      <c r="CV65" s="14">
        <f t="shared" si="41"/>
        <v>52.33921403960656</v>
      </c>
      <c r="CW65" s="22">
        <f t="shared" si="13"/>
        <v>460.12606445231495</v>
      </c>
      <c r="CX65" s="62">
        <f t="shared" si="14"/>
        <v>722.48506741196627</v>
      </c>
      <c r="CY65" s="62">
        <f ca="1">AVERAGE(OFFSET($CX$3,0,0,'Données projet'!$E$13+1,1))-AVERAGE(OFFSET($H$3,0,0,'Données projet'!$E$13+1,1))</f>
        <v>482.24068797679558</v>
      </c>
      <c r="CZ65" s="62">
        <f t="shared" si="42"/>
        <v>316.28941055521693</v>
      </c>
      <c r="DA65" s="16">
        <f>IF(ISNA(VLOOKUP(A65,'Données projet'!$A$139:$I$159,3,0)),0,VLOOKUP(A65,'Données projet'!$A$139:$I$159,3,0))</f>
        <v>5</v>
      </c>
      <c r="DB65" s="16">
        <f>IF(ISNA(VLOOKUP(A65,'Données projet'!$A$139:$I$159,4,0)),0,VLOOKUP(A65,'Données projet'!$A$139:$I$159,4,0))</f>
        <v>39</v>
      </c>
      <c r="DC65" s="17">
        <f>IF(ISNA(VLOOKUP(A65,'Données projet'!$A$139:$I$159,5,0)),0%,VLOOKUP(A65,'Données projet'!$A$139:$I$159,5,0)*VLOOKUP('Données projet'!$B$13,Paramètres!$A$1:$I$89,7,0))</f>
        <v>0.30099999999999999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23.784722960669285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23.784722960669285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-1.7053025658242404E-13</v>
      </c>
      <c r="DP65" s="18">
        <f>DO65*VLOOKUP('Données projet'!$B$14,Paramètres!$A$1:$I$89,3,0)*VLOOKUP('Données projet'!$B$14,Paramètres!$A$1:$I$89,5,0)</f>
        <v>-1.383341441396624E-13</v>
      </c>
      <c r="DQ65" s="14" t="e">
        <f t="shared" si="43"/>
        <v>#NUM!</v>
      </c>
      <c r="DR65" s="22" t="e">
        <f t="shared" si="16"/>
        <v>#NUM!</v>
      </c>
      <c r="DS65" s="62" t="e">
        <f t="shared" si="17"/>
        <v>#NUM!</v>
      </c>
      <c r="DT65" s="62">
        <f ca="1">AVERAGE(OFFSET($DS$3,0,0,'Données projet'!$E$14+1,1))-AVERAGE(OFFSET($H$3,0,0,'Données projet'!$E$14+1,1))</f>
        <v>325.58538970226539</v>
      </c>
      <c r="DU65" s="62">
        <f t="shared" si="44"/>
        <v>361.81085660423457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136.14758148771594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136.14758148771594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>
        <f>VLOOKUP(A65,'Données projet'!$A$191:$I$211,2,0)</f>
        <v>155.19999999999999</v>
      </c>
      <c r="EH65" s="13">
        <f>VLOOKUP(A65,'Données projet'!$A$191:$I$211,9,0)</f>
        <v>6.1999999999999975</v>
      </c>
      <c r="EI65" s="13">
        <f t="array" ref="EI65">INDEX(EH:EH,MIN(IF(ISNUMBER(EH65:EH261),ROW(EH65:EH261),"")))</f>
        <v>6.1999999999999975</v>
      </c>
      <c r="EJ65" s="13">
        <f>IF('Données projet'!$A$192&gt;35,EJ64+EI65-ER64,IF(A65&lt;'Données projet'!$A$192,$EG$205^A65,IF(A65='Données projet'!$A$192,'Données projet'!$B$192,EJ64+EI65-ER64)))</f>
        <v>155.19999999999987</v>
      </c>
      <c r="EK65" s="18">
        <f>EJ65*VLOOKUP('Données projet'!$B$15,Paramètres!$A$1:$I$89,3,0)*VLOOKUP('Données projet'!$B$15,Paramètres!$A$1:$I$89,5,0)</f>
        <v>150.10943999999986</v>
      </c>
      <c r="EL65" s="14">
        <f t="shared" si="45"/>
        <v>38.603455197776121</v>
      </c>
      <c r="EM65" s="22">
        <f t="shared" si="19"/>
        <v>328.67495913612646</v>
      </c>
      <c r="EN65" s="62">
        <f t="shared" si="20"/>
        <v>591.03396209577772</v>
      </c>
      <c r="EO65" s="62">
        <f ca="1">AVERAGE(OFFSET($EN$3,0,0,'Données projet'!$E$15+1,1))-AVERAGE(OFFSET($H$3,0,0,'Données projet'!$E$15+1,1))</f>
        <v>364.22267539944085</v>
      </c>
      <c r="EP65" s="62">
        <f t="shared" si="46"/>
        <v>241.947139538615</v>
      </c>
      <c r="EQ65" s="16">
        <f>IF(ISNA(VLOOKUP(A65,'Données projet'!$A$191:$I$211,3,0)),0,VLOOKUP(A65,'Données projet'!$A$191:$I$211,3,0))</f>
        <v>5</v>
      </c>
      <c r="ER65" s="16">
        <f>IF(ISNA(VLOOKUP(A65,'Données projet'!$A$191:$I$211,4,0)),0,VLOOKUP(A65,'Données projet'!$A$191:$I$211,4,0))</f>
        <v>31.2</v>
      </c>
      <c r="ES65" s="17">
        <f>IF(ISNA(VLOOKUP(A65,'Données projet'!$A$191:$I$211,5,0)),0%,VLOOKUP(A65,'Données projet'!$A$191:$I$211,5,0)*VLOOKUP('Données projet'!$B$15,Paramètres!$A$1:$I$89,7,0))</f>
        <v>0.30099999999999999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16.853175126417096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16.853175126417096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-1.7053025658242404E-13</v>
      </c>
      <c r="FF65" s="18">
        <f>FE65*VLOOKUP('Données projet'!$B$16,Paramètres!$A$1:$I$89,3,0)*VLOOKUP('Données projet'!$B$16,Paramètres!$A$1:$I$89,5,0)</f>
        <v>-1.4897523215040567E-13</v>
      </c>
      <c r="FG65" s="14" t="e">
        <f t="shared" si="47"/>
        <v>#NUM!</v>
      </c>
      <c r="FH65" s="22" t="e">
        <f t="shared" si="22"/>
        <v>#NUM!</v>
      </c>
      <c r="FI65" s="62" t="e">
        <f t="shared" si="23"/>
        <v>#NUM!</v>
      </c>
      <c r="FJ65" s="62">
        <f ca="1">AVERAGE(OFFSET($FI$3,0,0,'Données projet'!$E$16+1,1))-AVERAGE(OFFSET($H$3,0,0,'Données projet'!$E$16+1,1))</f>
        <v>286.59837239471312</v>
      </c>
      <c r="FK65" s="62">
        <f t="shared" si="48"/>
        <v>319.26091328564689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118.1707547430764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118.1707547430764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-1.7053025658242404E-13</v>
      </c>
      <c r="GA65" s="18">
        <f>FZ65*VLOOKUP('Données projet'!$B$17,Paramètres!$A$1:$I$89,3,0)*VLOOKUP('Données projet'!$B$17,Paramètres!$A$1:$I$89,5,0)</f>
        <v>-1.1439169611549005E-13</v>
      </c>
      <c r="GB65" s="14" t="e">
        <f t="shared" si="49"/>
        <v>#NUM!</v>
      </c>
      <c r="GC65" s="22" t="e">
        <f t="shared" si="25"/>
        <v>#NUM!</v>
      </c>
      <c r="GD65" s="62" t="e">
        <f t="shared" si="26"/>
        <v>#NUM!</v>
      </c>
      <c r="GE65" s="62">
        <f ca="1">AVERAGE(OFFSET($GD$3,0,0,'Données projet'!$E$17+1,1))-AVERAGE(OFFSET($H$3,0,0,'Données projet'!$E$17+1,1))</f>
        <v>277.37570531842186</v>
      </c>
      <c r="GF65" s="62">
        <f t="shared" si="50"/>
        <v>310.00874200911312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projet'!$B$17,Paramètres!$A$1:$I$89,3,0)*0.475*44/12</f>
        <v>138.76580420863354</v>
      </c>
      <c r="GM65" s="23">
        <f>EXP(-LN(2)/25)*GM64+(1-EXP(-LN(2)/25))/(LN(2)/25)*Calculateur!GH65*Calculateur!GJ65*VLOOKUP('Données projet'!$B$17,Paramètres!$A$1:$I$89,3,0)*0.475*44/12</f>
        <v>0</v>
      </c>
      <c r="GN65" s="23">
        <f>EXP(-LN(2)/2)*GN64+(1-EXP(-LN(2)/2))/(LN(2)/2)*GH65*GK65*VLOOKUP('Données projet'!$B$17,Paramètres!$A$1:$I$89,3,0)*0.475*44/12</f>
        <v>0</v>
      </c>
      <c r="GO65" s="23">
        <f t="shared" si="27"/>
        <v>138.76580420863354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8.125</v>
      </c>
      <c r="N66" s="14">
        <f>IF('Données projet'!$A$36&gt;35,N65+M66-V65,IF(A66&lt;'Données projet'!$A$36,$K$205^A66,IF(A66='Données projet'!$A$36,'Données projet'!$B$36,N65+M66-V65)))</f>
        <v>163.12500000000017</v>
      </c>
      <c r="O66" s="14">
        <f>N66*VLOOKUP('Données projet'!$B$9,Paramètres!$A$1:$I$89,3,0)*VLOOKUP('Données projet'!$B$9,Paramètres!$A$1:$I$89,5,0)</f>
        <v>142.50600000000017</v>
      </c>
      <c r="P66" s="14">
        <f t="shared" si="33"/>
        <v>36.870500776307601</v>
      </c>
      <c r="Q66" s="22">
        <f t="shared" si="53"/>
        <v>312.41407218540269</v>
      </c>
      <c r="R66" s="62">
        <f t="shared" si="0"/>
        <v>575.3104105288088</v>
      </c>
      <c r="S66" s="62">
        <f ca="1">AVERAGE(OFFSET($R$3,0,0,'Données projet'!$E$9+1,1))-AVERAGE(OFFSET($H$3,0,0,'Données projet'!$E$9+1,1))</f>
        <v>401.34220206028908</v>
      </c>
      <c r="T66" s="62">
        <f t="shared" si="34"/>
        <v>265.33314259106987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18.654655240527283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18.654655240527283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7.5</v>
      </c>
      <c r="AI66" s="14">
        <f>IF('Données projet'!$A$62&gt;35,AI65+AH66-AQ65,IF(A66&lt;'Données projet'!$A$62,$AF$205^A66,IF(A66='Données projet'!$A$62,'Données projet'!$B$62,AI65+AH66-AQ65)))</f>
        <v>231.50000000000006</v>
      </c>
      <c r="AJ66" s="14">
        <f>AI66*VLOOKUP('Données projet'!$B$10,Paramètres!$A$1:$I$89,3,0)*VLOOKUP('Données projet'!$B$10,Paramètres!$A$1:$I$89,5,0)</f>
        <v>108.34200000000003</v>
      </c>
      <c r="AK66" s="14">
        <f t="shared" si="35"/>
        <v>28.940002222844083</v>
      </c>
      <c r="AL66" s="22">
        <f t="shared" si="4"/>
        <v>239.09948720478678</v>
      </c>
      <c r="AM66" s="62">
        <f t="shared" si="5"/>
        <v>501.9958255481929</v>
      </c>
      <c r="AN66" s="62">
        <f ca="1">AVERAGE(OFFSET($AM$3,0,0,'Données projet'!$E$10+1,1))-AVERAGE(OFFSET($H$3,0,0,'Données projet'!$E$10+1,1))</f>
        <v>253.48761861464732</v>
      </c>
      <c r="AO66" s="62">
        <f t="shared" si="36"/>
        <v>219.50855998133855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29.792388255839544</v>
      </c>
      <c r="AV66" s="23">
        <f>EXP(-LN(2)/25)*AV65+(1-EXP(-LN(2)/25))/(LN(2)/25)*Calculateur!AQ66*Calculateur!AS66*VLOOKUP('Données projet'!$B$10,Paramètres!$A$1:$I$89,3,0)*0.475*44/12</f>
        <v>7.8205281070321435</v>
      </c>
      <c r="AW66" s="23">
        <f>EXP(-LN(2)/2)*AW65+(1-EXP(-LN(2)/2))/(LN(2)/2)*AQ66*AT66*VLOOKUP('Données projet'!$B$10,Paramètres!$A$1:$I$89,3,0)*0.475*44/12</f>
        <v>1.3016365261681972</v>
      </c>
      <c r="AX66" s="23">
        <f t="shared" si="6"/>
        <v>38.914552889039882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>
        <f>BD66*VLOOKUP('Données projet'!$B$11,Paramètres!$A$1:$I$89,3,0)*VLOOKUP('Données projet'!$B$11,Paramètres!$A$1:$I$89,5,0)</f>
        <v>0</v>
      </c>
      <c r="BF66" s="14" t="e">
        <f t="shared" si="37"/>
        <v>#NUM!</v>
      </c>
      <c r="BG66" s="22" t="e">
        <f t="shared" si="7"/>
        <v>#NUM!</v>
      </c>
      <c r="BH66" s="62" t="e">
        <f t="shared" si="8"/>
        <v>#NUM!</v>
      </c>
      <c r="BI66" s="62">
        <f ca="1">AVERAGE(OFFSET($BH$3,0,0,'Données projet'!$E$11+1,1))-AVERAGE(OFFSET($H$3,0,0,'Données projet'!$E$11+1,1))</f>
        <v>482.85256243111911</v>
      </c>
      <c r="BJ66" s="62">
        <f t="shared" si="38"/>
        <v>517.78430032567064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111.50233863449195</v>
      </c>
      <c r="BQ66" s="23">
        <f>EXP(-LN(2)/25)*BQ65+(1-EXP(-LN(2)/25))/(LN(2)/25)*Calculateur!BL66*Calculateur!BN66*VLOOKUP('Données projet'!$B$11,Paramètres!$A$1:$I$89,3,0)*0.475*44/12</f>
        <v>27.71411891809818</v>
      </c>
      <c r="BR66" s="23">
        <f>EXP(-LN(2)/2)*BR65+(1-EXP(-LN(2)/2))/(LN(2)/2)*BL66*BO66*VLOOKUP('Données projet'!$B$11,Paramètres!$A$1:$I$89,3,0)*0.475*44/12</f>
        <v>20.596559440252339</v>
      </c>
      <c r="BS66" s="24">
        <f t="shared" si="9"/>
        <v>159.81301699284248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>
        <f>BY66*VLOOKUP('Données projet'!$B$12,Paramètres!$A$1:$I$89,3,0)*VLOOKUP('Données projet'!$B$12,Paramètres!$A$1:$I$89,5,0)</f>
        <v>0</v>
      </c>
      <c r="CA66" s="14" t="e">
        <f t="shared" si="39"/>
        <v>#NUM!</v>
      </c>
      <c r="CB66" s="22" t="e">
        <f t="shared" si="10"/>
        <v>#NUM!</v>
      </c>
      <c r="CC66" s="62" t="e">
        <f t="shared" si="11"/>
        <v>#NUM!</v>
      </c>
      <c r="CD66" s="62">
        <f ca="1">AVERAGE(OFFSET($CC$3,0,0,'Données projet'!$E$12+1,1))-AVERAGE(OFFSET($H$3,0,0,'Données projet'!$E$12+1,1))</f>
        <v>275.76900776033335</v>
      </c>
      <c r="CE66" s="62">
        <f t="shared" si="40"/>
        <v>299.36898480605191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106.85640785805479</v>
      </c>
      <c r="CL66" s="23">
        <f>EXP(-LN(2)/25)*CL65+(1-EXP(-LN(2)/25))/(LN(2)/25)*Calculateur!CG66*Calculateur!CI66*VLOOKUP('Données projet'!$B$12,Paramètres!$A$1:$I$89,3,0)*0.475*44/12</f>
        <v>26.559363963177418</v>
      </c>
      <c r="CM66" s="23">
        <f>EXP(-LN(2)/2)*CM65+(1-EXP(-LN(2)/2))/(LN(2)/2)*CG66*CJ66*VLOOKUP('Données projet'!$B$12,Paramètres!$A$1:$I$89,3,0)*0.475*44/12</f>
        <v>19.738369463575161</v>
      </c>
      <c r="CN66" s="24">
        <f t="shared" si="12"/>
        <v>153.15414128480739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8.125</v>
      </c>
      <c r="CT66" s="13">
        <f>IF('Données projet'!$A$140&gt;35,CT65+CS66-DB65,IF(A66&lt;'Données projet'!$A$140,$CQ$205^A66,IF(A66='Données projet'!$A$140,'Données projet'!$B$140,CT65+CS66-DB65)))</f>
        <v>163.12500000000017</v>
      </c>
      <c r="CU66" s="18">
        <f>CT66*VLOOKUP('Données projet'!$B$13,Paramètres!$A$1:$I$89,3,0)*VLOOKUP('Données projet'!$B$13,Paramètres!$A$1:$I$89,5,0)</f>
        <v>178.13250000000019</v>
      </c>
      <c r="CV66" s="14">
        <f t="shared" si="41"/>
        <v>44.906449969406843</v>
      </c>
      <c r="CW66" s="22">
        <f t="shared" si="13"/>
        <v>388.45950453005065</v>
      </c>
      <c r="CX66" s="62">
        <f t="shared" si="14"/>
        <v>651.35584287345682</v>
      </c>
      <c r="CY66" s="62">
        <f ca="1">AVERAGE(OFFSET($CX$3,0,0,'Données projet'!$E$13+1,1))-AVERAGE(OFFSET($H$3,0,0,'Données projet'!$E$13+1,1))</f>
        <v>482.24068797679558</v>
      </c>
      <c r="CZ66" s="62">
        <f t="shared" si="42"/>
        <v>316.28941055521693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23.318319050659095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23.318319050659095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-1.7053025658242404E-13</v>
      </c>
      <c r="DP66" s="18">
        <f>DO66*VLOOKUP('Données projet'!$B$14,Paramètres!$A$1:$I$89,3,0)*VLOOKUP('Données projet'!$B$14,Paramètres!$A$1:$I$89,5,0)</f>
        <v>-1.383341441396624E-13</v>
      </c>
      <c r="DQ66" s="14" t="e">
        <f t="shared" si="43"/>
        <v>#NUM!</v>
      </c>
      <c r="DR66" s="22" t="e">
        <f t="shared" si="16"/>
        <v>#NUM!</v>
      </c>
      <c r="DS66" s="62" t="e">
        <f t="shared" si="17"/>
        <v>#NUM!</v>
      </c>
      <c r="DT66" s="62">
        <f ca="1">AVERAGE(OFFSET($DS$3,0,0,'Données projet'!$E$14+1,1))-AVERAGE(OFFSET($H$3,0,0,'Données projet'!$E$14+1,1))</f>
        <v>325.58538970226539</v>
      </c>
      <c r="DU66" s="62">
        <f t="shared" si="44"/>
        <v>361.81085660423457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133.47781045656683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133.47781045656683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6.5000000000000018</v>
      </c>
      <c r="EJ66" s="13">
        <f>IF('Données projet'!$A$192&gt;35,EJ65+EI66-ER65,IF(A66&lt;'Données projet'!$A$192,$EG$205^A66,IF(A66='Données projet'!$A$192,'Données projet'!$B$192,EJ65+EI66-ER65)))</f>
        <v>130.49999999999989</v>
      </c>
      <c r="EK66" s="18">
        <f>EJ66*VLOOKUP('Données projet'!$B$15,Paramètres!$A$1:$I$89,3,0)*VLOOKUP('Données projet'!$B$15,Paramètres!$A$1:$I$89,5,0)</f>
        <v>126.21959999999989</v>
      </c>
      <c r="EL66" s="14">
        <f t="shared" si="45"/>
        <v>33.121325210832367</v>
      </c>
      <c r="EM66" s="22">
        <f t="shared" si="19"/>
        <v>277.51877807553285</v>
      </c>
      <c r="EN66" s="62">
        <f t="shared" si="20"/>
        <v>540.41511641893896</v>
      </c>
      <c r="EO66" s="62">
        <f ca="1">AVERAGE(OFFSET($EN$3,0,0,'Données projet'!$E$15+1,1))-AVERAGE(OFFSET($H$3,0,0,'Données projet'!$E$15+1,1))</f>
        <v>364.22267539944085</v>
      </c>
      <c r="EP66" s="62">
        <f t="shared" si="46"/>
        <v>241.947139538615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16.522694641609874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16.522694641609874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-1.7053025658242404E-13</v>
      </c>
      <c r="FF66" s="18">
        <f>FE66*VLOOKUP('Données projet'!$B$16,Paramètres!$A$1:$I$89,3,0)*VLOOKUP('Données projet'!$B$16,Paramètres!$A$1:$I$89,5,0)</f>
        <v>-1.4897523215040567E-13</v>
      </c>
      <c r="FG66" s="14" t="e">
        <f t="shared" si="47"/>
        <v>#NUM!</v>
      </c>
      <c r="FH66" s="22" t="e">
        <f t="shared" si="22"/>
        <v>#NUM!</v>
      </c>
      <c r="FI66" s="62" t="e">
        <f t="shared" si="23"/>
        <v>#NUM!</v>
      </c>
      <c r="FJ66" s="62">
        <f ca="1">AVERAGE(OFFSET($FI$3,0,0,'Données projet'!$E$16+1,1))-AVERAGE(OFFSET($H$3,0,0,'Données projet'!$E$16+1,1))</f>
        <v>286.59837239471312</v>
      </c>
      <c r="FK66" s="62">
        <f t="shared" si="48"/>
        <v>319.26091328564689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115.85349831960805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115.85349831960805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-1.7053025658242404E-13</v>
      </c>
      <c r="GA66" s="18">
        <f>FZ66*VLOOKUP('Données projet'!$B$17,Paramètres!$A$1:$I$89,3,0)*VLOOKUP('Données projet'!$B$17,Paramètres!$A$1:$I$89,5,0)</f>
        <v>-1.1439169611549005E-13</v>
      </c>
      <c r="GB66" s="14" t="e">
        <f t="shared" si="49"/>
        <v>#NUM!</v>
      </c>
      <c r="GC66" s="22" t="e">
        <f t="shared" si="25"/>
        <v>#NUM!</v>
      </c>
      <c r="GD66" s="62" t="e">
        <f t="shared" si="26"/>
        <v>#NUM!</v>
      </c>
      <c r="GE66" s="62">
        <f ca="1">AVERAGE(OFFSET($GD$3,0,0,'Données projet'!$E$17+1,1))-AVERAGE(OFFSET($H$3,0,0,'Données projet'!$E$17+1,1))</f>
        <v>277.37570531842186</v>
      </c>
      <c r="GF66" s="62">
        <f t="shared" si="50"/>
        <v>310.00874200911312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projet'!$B$17,Paramètres!$A$1:$I$89,3,0)*0.475*44/12</f>
        <v>136.04469142688541</v>
      </c>
      <c r="GM66" s="23">
        <f>EXP(-LN(2)/25)*GM65+(1-EXP(-LN(2)/25))/(LN(2)/25)*Calculateur!GH66*Calculateur!GJ66*VLOOKUP('Données projet'!$B$17,Paramètres!$A$1:$I$89,3,0)*0.475*44/12</f>
        <v>0</v>
      </c>
      <c r="GN66" s="23">
        <f>EXP(-LN(2)/2)*GN65+(1-EXP(-LN(2)/2))/(LN(2)/2)*GH66*GK66*VLOOKUP('Données projet'!$B$17,Paramètres!$A$1:$I$89,3,0)*0.475*44/12</f>
        <v>0</v>
      </c>
      <c r="GO66" s="23">
        <f t="shared" si="27"/>
        <v>136.04469142688541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8.125</v>
      </c>
      <c r="N67" s="14">
        <f>IF('Données projet'!$A$36&gt;35,N66+M67-V66,IF(A67&lt;'Données projet'!$A$36,$K$205^A67,IF(A67='Données projet'!$A$36,'Données projet'!$B$36,N66+M67-V66)))</f>
        <v>171.25000000000017</v>
      </c>
      <c r="O67" s="14">
        <f>N67*VLOOKUP('Données projet'!$B$9,Paramètres!$A$1:$I$89,3,0)*VLOOKUP('Données projet'!$B$9,Paramètres!$A$1:$I$89,5,0)</f>
        <v>149.60400000000016</v>
      </c>
      <c r="P67" s="14">
        <f t="shared" si="33"/>
        <v>38.488579359102886</v>
      </c>
      <c r="Q67" s="22">
        <f t="shared" ref="Q67:Q98" si="54">(O67+P67)*0.475*44/12</f>
        <v>327.59457571710448</v>
      </c>
      <c r="R67" s="62">
        <f t="shared" ref="R67:R130" si="55">Q67+(I67+J67)*44/12</f>
        <v>591.01892787665929</v>
      </c>
      <c r="S67" s="62">
        <f ca="1">AVERAGE(OFFSET($R$3,0,0,'Données projet'!$E$9+1,1))-AVERAGE(OFFSET($H$3,0,0,'Données projet'!$E$9+1,1))</f>
        <v>401.34220206028908</v>
      </c>
      <c r="T67" s="62">
        <f t="shared" si="34"/>
        <v>265.33314259106987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18.288848829476734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18.288848829476734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7.5</v>
      </c>
      <c r="AI67" s="14">
        <f>IF('Données projet'!$A$62&gt;35,AI66+AH67-AQ66,IF(A67&lt;'Données projet'!$A$62,$AF$205^A67,IF(A67='Données projet'!$A$62,'Données projet'!$B$62,AI66+AH67-AQ66)))</f>
        <v>239.00000000000006</v>
      </c>
      <c r="AJ67" s="14">
        <f>AI67*VLOOKUP('Données projet'!$B$10,Paramètres!$A$1:$I$89,3,0)*VLOOKUP('Données projet'!$B$10,Paramètres!$A$1:$I$89,5,0)</f>
        <v>111.85200000000003</v>
      </c>
      <c r="AK67" s="14">
        <f t="shared" si="35"/>
        <v>29.766905308078066</v>
      </c>
      <c r="AL67" s="22">
        <f t="shared" si="4"/>
        <v>246.65292674490271</v>
      </c>
      <c r="AM67" s="62">
        <f t="shared" si="5"/>
        <v>510.07727890445744</v>
      </c>
      <c r="AN67" s="62">
        <f ca="1">AVERAGE(OFFSET($AM$3,0,0,'Données projet'!$E$10+1,1))-AVERAGE(OFFSET($H$3,0,0,'Données projet'!$E$10+1,1))</f>
        <v>253.48761861464732</v>
      </c>
      <c r="AO67" s="62">
        <f t="shared" si="36"/>
        <v>219.50855998133855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29.208177693705075</v>
      </c>
      <c r="AV67" s="23">
        <f>EXP(-LN(2)/25)*AV66+(1-EXP(-LN(2)/25))/(LN(2)/25)*Calculateur!AQ67*Calculateur!AS67*VLOOKUP('Données projet'!$B$10,Paramètres!$A$1:$I$89,3,0)*0.475*44/12</f>
        <v>7.6066753546816503</v>
      </c>
      <c r="AW67" s="23">
        <f>EXP(-LN(2)/2)*AW66+(1-EXP(-LN(2)/2))/(LN(2)/2)*AQ67*AT67*VLOOKUP('Données projet'!$B$10,Paramètres!$A$1:$I$89,3,0)*0.475*44/12</f>
        <v>0.92039601429363338</v>
      </c>
      <c r="AX67" s="23">
        <f t="shared" si="6"/>
        <v>37.73524906268036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>
        <f>BD67*VLOOKUP('Données projet'!$B$11,Paramètres!$A$1:$I$89,3,0)*VLOOKUP('Données projet'!$B$11,Paramètres!$A$1:$I$89,5,0)</f>
        <v>0</v>
      </c>
      <c r="BF67" s="14" t="e">
        <f t="shared" si="37"/>
        <v>#NUM!</v>
      </c>
      <c r="BG67" s="22" t="e">
        <f t="shared" si="7"/>
        <v>#NUM!</v>
      </c>
      <c r="BH67" s="62" t="e">
        <f t="shared" si="8"/>
        <v>#NUM!</v>
      </c>
      <c r="BI67" s="62">
        <f ca="1">AVERAGE(OFFSET($BH$3,0,0,'Données projet'!$E$11+1,1))-AVERAGE(OFFSET($H$3,0,0,'Données projet'!$E$11+1,1))</f>
        <v>482.85256243111911</v>
      </c>
      <c r="BJ67" s="62">
        <f t="shared" si="38"/>
        <v>517.78430032567064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109.31584578358073</v>
      </c>
      <c r="BQ67" s="23">
        <f>EXP(-LN(2)/25)*BQ66+(1-EXP(-LN(2)/25))/(LN(2)/25)*Calculateur!BL67*Calculateur!BN67*VLOOKUP('Données projet'!$B$11,Paramètres!$A$1:$I$89,3,0)*0.475*44/12</f>
        <v>26.956274878860611</v>
      </c>
      <c r="BR67" s="23">
        <f>EXP(-LN(2)/2)*BR66+(1-EXP(-LN(2)/2))/(LN(2)/2)*BL67*BO67*VLOOKUP('Données projet'!$B$11,Paramètres!$A$1:$I$89,3,0)*0.475*44/12</f>
        <v>14.563966849314232</v>
      </c>
      <c r="BS67" s="24">
        <f t="shared" si="9"/>
        <v>150.83608751175558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>
        <f>BY67*VLOOKUP('Données projet'!$B$12,Paramètres!$A$1:$I$89,3,0)*VLOOKUP('Données projet'!$B$12,Paramètres!$A$1:$I$89,5,0)</f>
        <v>0</v>
      </c>
      <c r="CA67" s="14" t="e">
        <f t="shared" si="39"/>
        <v>#NUM!</v>
      </c>
      <c r="CB67" s="22" t="e">
        <f t="shared" si="10"/>
        <v>#NUM!</v>
      </c>
      <c r="CC67" s="62" t="e">
        <f t="shared" si="11"/>
        <v>#NUM!</v>
      </c>
      <c r="CD67" s="62">
        <f ca="1">AVERAGE(OFFSET($CC$3,0,0,'Données projet'!$E$12+1,1))-AVERAGE(OFFSET($H$3,0,0,'Données projet'!$E$12+1,1))</f>
        <v>275.76900776033335</v>
      </c>
      <c r="CE67" s="62">
        <f t="shared" si="40"/>
        <v>299.36898480605191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104.76101887593154</v>
      </c>
      <c r="CL67" s="23">
        <f>EXP(-LN(2)/25)*CL66+(1-EXP(-LN(2)/25))/(LN(2)/25)*Calculateur!CG67*Calculateur!CI67*VLOOKUP('Données projet'!$B$12,Paramètres!$A$1:$I$89,3,0)*0.475*44/12</f>
        <v>25.833096758908084</v>
      </c>
      <c r="CM67" s="23">
        <f>EXP(-LN(2)/2)*CM66+(1-EXP(-LN(2)/2))/(LN(2)/2)*CG67*CJ67*VLOOKUP('Données projet'!$B$12,Paramètres!$A$1:$I$89,3,0)*0.475*44/12</f>
        <v>13.957134897259474</v>
      </c>
      <c r="CN67" s="24">
        <f t="shared" si="12"/>
        <v>144.55125053209909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8.125</v>
      </c>
      <c r="CT67" s="13">
        <f>IF('Données projet'!$A$140&gt;35,CT66+CS67-DB66,IF(A67&lt;'Données projet'!$A$140,$CQ$205^A67,IF(A67='Données projet'!$A$140,'Données projet'!$B$140,CT66+CS67-DB66)))</f>
        <v>171.25000000000017</v>
      </c>
      <c r="CU67" s="18">
        <f>CT67*VLOOKUP('Données projet'!$B$13,Paramètres!$A$1:$I$89,3,0)*VLOOKUP('Données projet'!$B$13,Paramètres!$A$1:$I$89,5,0)</f>
        <v>187.00500000000019</v>
      </c>
      <c r="CV67" s="14">
        <f t="shared" si="41"/>
        <v>46.877189812776649</v>
      </c>
      <c r="CW67" s="22">
        <f t="shared" si="13"/>
        <v>407.34481392391967</v>
      </c>
      <c r="CX67" s="62">
        <f t="shared" si="14"/>
        <v>670.76916608347437</v>
      </c>
      <c r="CY67" s="62">
        <f ca="1">AVERAGE(OFFSET($CX$3,0,0,'Données projet'!$E$13+1,1))-AVERAGE(OFFSET($H$3,0,0,'Données projet'!$E$13+1,1))</f>
        <v>482.24068797679558</v>
      </c>
      <c r="CZ67" s="62">
        <f t="shared" si="42"/>
        <v>316.28941055521693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22.861061036845911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22.861061036845911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-1.7053025658242404E-13</v>
      </c>
      <c r="DP67" s="18">
        <f>DO67*VLOOKUP('Données projet'!$B$14,Paramètres!$A$1:$I$89,3,0)*VLOOKUP('Données projet'!$B$14,Paramètres!$A$1:$I$89,5,0)</f>
        <v>-1.383341441396624E-13</v>
      </c>
      <c r="DQ67" s="14" t="e">
        <f t="shared" si="43"/>
        <v>#NUM!</v>
      </c>
      <c r="DR67" s="22" t="e">
        <f t="shared" si="16"/>
        <v>#NUM!</v>
      </c>
      <c r="DS67" s="62" t="e">
        <f t="shared" si="17"/>
        <v>#NUM!</v>
      </c>
      <c r="DT67" s="62">
        <f ca="1">AVERAGE(OFFSET($DS$3,0,0,'Données projet'!$E$14+1,1))-AVERAGE(OFFSET($H$3,0,0,'Données projet'!$E$14+1,1))</f>
        <v>325.58538970226539</v>
      </c>
      <c r="DU67" s="62">
        <f t="shared" si="44"/>
        <v>361.81085660423457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130.86039200693904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130.86039200693904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6.5000000000000018</v>
      </c>
      <c r="EJ67" s="13">
        <f>IF('Données projet'!$A$192&gt;35,EJ66+EI67-ER66,IF(A67&lt;'Données projet'!$A$192,$EG$205^A67,IF(A67='Données projet'!$A$192,'Données projet'!$B$192,EJ66+EI67-ER66)))</f>
        <v>136.99999999999989</v>
      </c>
      <c r="EK67" s="18">
        <f>EJ67*VLOOKUP('Données projet'!$B$15,Paramètres!$A$1:$I$89,3,0)*VLOOKUP('Données projet'!$B$15,Paramètres!$A$1:$I$89,5,0)</f>
        <v>132.5063999999999</v>
      </c>
      <c r="EL67" s="14">
        <f t="shared" si="45"/>
        <v>34.574869530248911</v>
      </c>
      <c r="EM67" s="22">
        <f t="shared" si="19"/>
        <v>290.99987776518338</v>
      </c>
      <c r="EN67" s="62">
        <f t="shared" si="20"/>
        <v>554.42422992473814</v>
      </c>
      <c r="EO67" s="62">
        <f ca="1">AVERAGE(OFFSET($EN$3,0,0,'Données projet'!$E$15+1,1))-AVERAGE(OFFSET($H$3,0,0,'Données projet'!$E$15+1,1))</f>
        <v>364.22267539944085</v>
      </c>
      <c r="EP67" s="62">
        <f t="shared" si="46"/>
        <v>241.947139538615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16.19869467753653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16.19869467753653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-1.7053025658242404E-13</v>
      </c>
      <c r="FF67" s="18">
        <f>FE67*VLOOKUP('Données projet'!$B$16,Paramètres!$A$1:$I$89,3,0)*VLOOKUP('Données projet'!$B$16,Paramètres!$A$1:$I$89,5,0)</f>
        <v>-1.4897523215040567E-13</v>
      </c>
      <c r="FG67" s="14" t="e">
        <f t="shared" si="47"/>
        <v>#NUM!</v>
      </c>
      <c r="FH67" s="22" t="e">
        <f t="shared" si="22"/>
        <v>#NUM!</v>
      </c>
      <c r="FI67" s="62" t="e">
        <f t="shared" si="23"/>
        <v>#NUM!</v>
      </c>
      <c r="FJ67" s="62">
        <f ca="1">AVERAGE(OFFSET($FI$3,0,0,'Données projet'!$E$16+1,1))-AVERAGE(OFFSET($H$3,0,0,'Données projet'!$E$16+1,1))</f>
        <v>286.59837239471312</v>
      </c>
      <c r="FK67" s="62">
        <f t="shared" si="48"/>
        <v>319.26091328564689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113.58168188121705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113.58168188121705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-1.7053025658242404E-13</v>
      </c>
      <c r="GA67" s="18">
        <f>FZ67*VLOOKUP('Données projet'!$B$17,Paramètres!$A$1:$I$89,3,0)*VLOOKUP('Données projet'!$B$17,Paramètres!$A$1:$I$89,5,0)</f>
        <v>-1.1439169611549005E-13</v>
      </c>
      <c r="GB67" s="14" t="e">
        <f t="shared" si="49"/>
        <v>#NUM!</v>
      </c>
      <c r="GC67" s="22" t="e">
        <f t="shared" si="25"/>
        <v>#NUM!</v>
      </c>
      <c r="GD67" s="62" t="e">
        <f t="shared" si="26"/>
        <v>#NUM!</v>
      </c>
      <c r="GE67" s="62">
        <f ca="1">AVERAGE(OFFSET($GD$3,0,0,'Données projet'!$E$17+1,1))-AVERAGE(OFFSET($H$3,0,0,'Données projet'!$E$17+1,1))</f>
        <v>277.37570531842186</v>
      </c>
      <c r="GF67" s="62">
        <f t="shared" si="50"/>
        <v>310.00874200911312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projet'!$B$17,Paramètres!$A$1:$I$89,3,0)*0.475*44/12</f>
        <v>133.37693800707245</v>
      </c>
      <c r="GM67" s="23">
        <f>EXP(-LN(2)/25)*GM66+(1-EXP(-LN(2)/25))/(LN(2)/25)*Calculateur!GH67*Calculateur!GJ67*VLOOKUP('Données projet'!$B$17,Paramètres!$A$1:$I$89,3,0)*0.475*44/12</f>
        <v>0</v>
      </c>
      <c r="GN67" s="23">
        <f>EXP(-LN(2)/2)*GN66+(1-EXP(-LN(2)/2))/(LN(2)/2)*GH67*GK67*VLOOKUP('Données projet'!$B$17,Paramètres!$A$1:$I$89,3,0)*0.475*44/12</f>
        <v>0</v>
      </c>
      <c r="GO67" s="23">
        <f t="shared" si="27"/>
        <v>133.37693800707245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8.125</v>
      </c>
      <c r="N68" s="14">
        <f>IF('Données projet'!$A$36&gt;35,N67+M68-V67,IF(A68&lt;'Données projet'!$A$36,$K$205^A68,IF(A68='Données projet'!$A$36,'Données projet'!$B$36,N67+M68-V67)))</f>
        <v>179.37500000000017</v>
      </c>
      <c r="O68" s="14">
        <f>N68*VLOOKUP('Données projet'!$B$9,Paramètres!$A$1:$I$89,3,0)*VLOOKUP('Données projet'!$B$9,Paramètres!$A$1:$I$89,5,0)</f>
        <v>156.70200000000017</v>
      </c>
      <c r="P68" s="14">
        <f t="shared" si="33"/>
        <v>40.097742994609128</v>
      </c>
      <c r="Q68" s="22">
        <f t="shared" si="54"/>
        <v>342.75955238227789</v>
      </c>
      <c r="R68" s="62">
        <f t="shared" si="55"/>
        <v>606.70275849873315</v>
      </c>
      <c r="S68" s="62">
        <f ca="1">AVERAGE(OFFSET($R$3,0,0,'Données projet'!$E$9+1,1))-AVERAGE(OFFSET($H$3,0,0,'Données projet'!$E$9+1,1))</f>
        <v>401.34220206028908</v>
      </c>
      <c r="T68" s="62">
        <f t="shared" si="34"/>
        <v>265.33314259106987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17.930215659027006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17.930215659027006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7.5</v>
      </c>
      <c r="AI68" s="14">
        <f>IF('Données projet'!$A$62&gt;35,AI67+AH68-AQ67,IF(A68&lt;'Données projet'!$A$62,$AF$205^A68,IF(A68='Données projet'!$A$62,'Données projet'!$B$62,AI67+AH68-AQ67)))</f>
        <v>246.50000000000006</v>
      </c>
      <c r="AJ68" s="14">
        <f>AI68*VLOOKUP('Données projet'!$B$10,Paramètres!$A$1:$I$89,3,0)*VLOOKUP('Données projet'!$B$10,Paramètres!$A$1:$I$89,5,0)</f>
        <v>115.36200000000004</v>
      </c>
      <c r="AK68" s="14">
        <f t="shared" si="35"/>
        <v>30.590792934974772</v>
      </c>
      <c r="AL68" s="22">
        <f t="shared" ref="AL68:AL131" si="58">(AJ68+AK68)*0.475*44/12</f>
        <v>254.20111436174781</v>
      </c>
      <c r="AM68" s="62">
        <f t="shared" ref="AM68:AM131" si="59">AL68+(AD68+AE68)*44/12</f>
        <v>518.14432047820299</v>
      </c>
      <c r="AN68" s="62">
        <f ca="1">AVERAGE(OFFSET($AM$3,0,0,'Données projet'!$E$10+1,1))-AVERAGE(OFFSET($H$3,0,0,'Données projet'!$E$10+1,1))</f>
        <v>253.48761861464732</v>
      </c>
      <c r="AO68" s="62">
        <f t="shared" si="36"/>
        <v>219.50855998133855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28.635423144360804</v>
      </c>
      <c r="AV68" s="23">
        <f>EXP(-LN(2)/25)*AV67+(1-EXP(-LN(2)/25))/(LN(2)/25)*Calculateur!AQ68*Calculateur!AS68*VLOOKUP('Données projet'!$B$10,Paramètres!$A$1:$I$89,3,0)*0.475*44/12</f>
        <v>7.3986704170902087</v>
      </c>
      <c r="AW68" s="23">
        <f>EXP(-LN(2)/2)*AW67+(1-EXP(-LN(2)/2))/(LN(2)/2)*AQ68*AT68*VLOOKUP('Données projet'!$B$10,Paramètres!$A$1:$I$89,3,0)*0.475*44/12</f>
        <v>0.65081826308409874</v>
      </c>
      <c r="AX68" s="23">
        <f t="shared" ref="AX68:AX131" si="60">SUM(AU68:AW68)</f>
        <v>36.684911824535114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>
        <f>BD68*VLOOKUP('Données projet'!$B$11,Paramètres!$A$1:$I$89,3,0)*VLOOKUP('Données projet'!$B$11,Paramètres!$A$1:$I$89,5,0)</f>
        <v>0</v>
      </c>
      <c r="BF68" s="14" t="e">
        <f t="shared" si="37"/>
        <v>#NUM!</v>
      </c>
      <c r="BG68" s="22" t="e">
        <f t="shared" ref="BG68:BG131" si="61">(BE68+BF68)*0.475*44/12</f>
        <v>#NUM!</v>
      </c>
      <c r="BH68" s="62" t="e">
        <f t="shared" ref="BH68:BH131" si="62">BG68+(AY68+AZ68)*44/12</f>
        <v>#NUM!</v>
      </c>
      <c r="BI68" s="62">
        <f ca="1">AVERAGE(OFFSET($BH$3,0,0,'Données projet'!$E$11+1,1))-AVERAGE(OFFSET($H$3,0,0,'Données projet'!$E$11+1,1))</f>
        <v>482.85256243111911</v>
      </c>
      <c r="BJ68" s="62">
        <f t="shared" si="38"/>
        <v>517.78430032567064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107.17222872384691</v>
      </c>
      <c r="BQ68" s="23">
        <f>EXP(-LN(2)/25)*BQ67+(1-EXP(-LN(2)/25))/(LN(2)/25)*Calculateur!BL68*Calculateur!BN68*VLOOKUP('Données projet'!$B$11,Paramètres!$A$1:$I$89,3,0)*0.475*44/12</f>
        <v>26.219154124729283</v>
      </c>
      <c r="BR68" s="23">
        <f>EXP(-LN(2)/2)*BR67+(1-EXP(-LN(2)/2))/(LN(2)/2)*BL68*BO68*VLOOKUP('Données projet'!$B$11,Paramètres!$A$1:$I$89,3,0)*0.475*44/12</f>
        <v>10.298279720126171</v>
      </c>
      <c r="BS68" s="24">
        <f t="shared" ref="BS68:BS131" si="63">SUM(BP68:BR68)</f>
        <v>143.68966256870237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>
        <f>BY68*VLOOKUP('Données projet'!$B$12,Paramètres!$A$1:$I$89,3,0)*VLOOKUP('Données projet'!$B$12,Paramètres!$A$1:$I$89,5,0)</f>
        <v>0</v>
      </c>
      <c r="CA68" s="14" t="e">
        <f t="shared" si="39"/>
        <v>#NUM!</v>
      </c>
      <c r="CB68" s="22" t="e">
        <f t="shared" ref="CB68:CB131" si="64">(BZ68+CA68)*0.475*44/12</f>
        <v>#NUM!</v>
      </c>
      <c r="CC68" s="62" t="e">
        <f t="shared" ref="CC68:CC131" si="65">CB68+(BT68+BU68)*44/12</f>
        <v>#NUM!</v>
      </c>
      <c r="CD68" s="62">
        <f ca="1">AVERAGE(OFFSET($CC$3,0,0,'Données projet'!$E$12+1,1))-AVERAGE(OFFSET($H$3,0,0,'Données projet'!$E$12+1,1))</f>
        <v>275.76900776033335</v>
      </c>
      <c r="CE68" s="62">
        <f t="shared" si="40"/>
        <v>299.36898480605191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102.70671919368664</v>
      </c>
      <c r="CL68" s="23">
        <f>EXP(-LN(2)/25)*CL67+(1-EXP(-LN(2)/25))/(LN(2)/25)*Calculateur!CG68*Calculateur!CI68*VLOOKUP('Données projet'!$B$12,Paramètres!$A$1:$I$89,3,0)*0.475*44/12</f>
        <v>25.126689369532226</v>
      </c>
      <c r="CM68" s="23">
        <f>EXP(-LN(2)/2)*CM67+(1-EXP(-LN(2)/2))/(LN(2)/2)*CG68*CJ68*VLOOKUP('Données projet'!$B$12,Paramètres!$A$1:$I$89,3,0)*0.475*44/12</f>
        <v>9.8691847317875823</v>
      </c>
      <c r="CN68" s="24">
        <f t="shared" ref="CN68:CN131" si="66">SUM(CK68:CM68)</f>
        <v>137.70259329500644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8.125</v>
      </c>
      <c r="CT68" s="13">
        <f>IF('Données projet'!$A$140&gt;35,CT67+CS68-DB67,IF(A68&lt;'Données projet'!$A$140,$CQ$205^A68,IF(A68='Données projet'!$A$140,'Données projet'!$B$140,CT67+CS68-DB67)))</f>
        <v>179.37500000000017</v>
      </c>
      <c r="CU68" s="18">
        <f>CT68*VLOOKUP('Données projet'!$B$13,Paramètres!$A$1:$I$89,3,0)*VLOOKUP('Données projet'!$B$13,Paramètres!$A$1:$I$89,5,0)</f>
        <v>195.8775000000002</v>
      </c>
      <c r="CV68" s="14">
        <f t="shared" si="41"/>
        <v>48.837071690401821</v>
      </c>
      <c r="CW68" s="22">
        <f t="shared" ref="CW68:CW131" si="67">(CU68+CV68)*0.475*44/12</f>
        <v>426.21121236078352</v>
      </c>
      <c r="CX68" s="62">
        <f t="shared" ref="CX68:CX131" si="68">CW68+(CO68+CP68)*44/12</f>
        <v>690.15441847723878</v>
      </c>
      <c r="CY68" s="62">
        <f ca="1">AVERAGE(OFFSET($CX$3,0,0,'Données projet'!$E$13+1,1))-AVERAGE(OFFSET($H$3,0,0,'Données projet'!$E$13+1,1))</f>
        <v>482.24068797679558</v>
      </c>
      <c r="CZ68" s="62">
        <f t="shared" si="42"/>
        <v>316.28941055521693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22.412769573783752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22.412769573783752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-1.7053025658242404E-13</v>
      </c>
      <c r="DP68" s="18">
        <f>DO68*VLOOKUP('Données projet'!$B$14,Paramètres!$A$1:$I$89,3,0)*VLOOKUP('Données projet'!$B$14,Paramètres!$A$1:$I$89,5,0)</f>
        <v>-1.383341441396624E-13</v>
      </c>
      <c r="DQ68" s="14" t="e">
        <f t="shared" si="43"/>
        <v>#NUM!</v>
      </c>
      <c r="DR68" s="22" t="e">
        <f t="shared" ref="DR68:DR131" si="70">(DP68+DQ68)*0.475*44/12</f>
        <v>#NUM!</v>
      </c>
      <c r="DS68" s="62" t="e">
        <f t="shared" ref="DS68:DS131" si="71">DR68+(DJ68+DK68)*44/12</f>
        <v>#NUM!</v>
      </c>
      <c r="DT68" s="62">
        <f ca="1">AVERAGE(OFFSET($DS$3,0,0,'Données projet'!$E$14+1,1))-AVERAGE(OFFSET($H$3,0,0,'Données projet'!$E$14+1,1))</f>
        <v>325.58538970226539</v>
      </c>
      <c r="DU68" s="62">
        <f t="shared" si="44"/>
        <v>361.81085660423457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128.29429953664081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128.29429953664081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6.5000000000000018</v>
      </c>
      <c r="EJ68" s="13">
        <f>IF('Données projet'!$A$192&gt;35,EJ67+EI68-ER67,IF(A68&lt;'Données projet'!$A$192,$EG$205^A68,IF(A68='Données projet'!$A$192,'Données projet'!$B$192,EJ67+EI68-ER67)))</f>
        <v>143.49999999999989</v>
      </c>
      <c r="EK68" s="18">
        <f>EJ68*VLOOKUP('Données projet'!$B$15,Paramètres!$A$1:$I$89,3,0)*VLOOKUP('Données projet'!$B$15,Paramètres!$A$1:$I$89,5,0)</f>
        <v>138.7931999999999</v>
      </c>
      <c r="EL68" s="14">
        <f t="shared" si="45"/>
        <v>36.020405418475768</v>
      </c>
      <c r="EM68" s="22">
        <f t="shared" ref="EM68:EM131" si="73">(EK68+EL68)*0.475*44/12</f>
        <v>304.46702943717844</v>
      </c>
      <c r="EN68" s="62">
        <f t="shared" ref="EN68:EN131" si="74">EM68+(EE68+EF68)*44/12</f>
        <v>568.41023555363358</v>
      </c>
      <c r="EO68" s="62">
        <f ca="1">AVERAGE(OFFSET($EN$3,0,0,'Données projet'!$E$15+1,1))-AVERAGE(OFFSET($H$3,0,0,'Données projet'!$E$15+1,1))</f>
        <v>364.22267539944085</v>
      </c>
      <c r="EP68" s="62">
        <f t="shared" si="46"/>
        <v>241.947139538615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15.881048155138201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15.881048155138201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-1.7053025658242404E-13</v>
      </c>
      <c r="FF68" s="18">
        <f>FE68*VLOOKUP('Données projet'!$B$16,Paramètres!$A$1:$I$89,3,0)*VLOOKUP('Données projet'!$B$16,Paramètres!$A$1:$I$89,5,0)</f>
        <v>-1.4897523215040567E-13</v>
      </c>
      <c r="FG68" s="14" t="e">
        <f t="shared" si="47"/>
        <v>#NUM!</v>
      </c>
      <c r="FH68" s="22" t="e">
        <f t="shared" ref="FH68:FH131" si="76">(FF68+FG68)*0.475*44/12</f>
        <v>#NUM!</v>
      </c>
      <c r="FI68" s="62" t="e">
        <f t="shared" ref="FI68:FI131" si="77">FH68+(EZ68+FA68)*44/12</f>
        <v>#NUM!</v>
      </c>
      <c r="FJ68" s="62">
        <f ca="1">AVERAGE(OFFSET($FI$3,0,0,'Données projet'!$E$16+1,1))-AVERAGE(OFFSET($H$3,0,0,'Données projet'!$E$16+1,1))</f>
        <v>286.59837239471312</v>
      </c>
      <c r="FK68" s="62">
        <f t="shared" si="48"/>
        <v>319.26091328564689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111.3544143775117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111.3544143775117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-1.7053025658242404E-13</v>
      </c>
      <c r="GA68" s="18">
        <f>FZ68*VLOOKUP('Données projet'!$B$17,Paramètres!$A$1:$I$89,3,0)*VLOOKUP('Données projet'!$B$17,Paramètres!$A$1:$I$89,5,0)</f>
        <v>-1.1439169611549005E-13</v>
      </c>
      <c r="GB68" s="14" t="e">
        <f t="shared" si="49"/>
        <v>#NUM!</v>
      </c>
      <c r="GC68" s="22" t="e">
        <f t="shared" ref="GC68:GC131" si="79">(GA68+GB68)*0.475*44/12</f>
        <v>#NUM!</v>
      </c>
      <c r="GD68" s="62" t="e">
        <f t="shared" ref="GD68:GD131" si="80">GC68+(FU68+FV68)*44/12</f>
        <v>#NUM!</v>
      </c>
      <c r="GE68" s="62">
        <f ca="1">AVERAGE(OFFSET($GD$3,0,0,'Données projet'!$E$17+1,1))-AVERAGE(OFFSET($H$3,0,0,'Données projet'!$E$17+1,1))</f>
        <v>277.37570531842186</v>
      </c>
      <c r="GF68" s="62">
        <f t="shared" si="50"/>
        <v>310.00874200911312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projet'!$B$17,Paramètres!$A$1:$I$89,3,0)*0.475*44/12</f>
        <v>130.7614976046531</v>
      </c>
      <c r="GM68" s="23">
        <f>EXP(-LN(2)/25)*GM67+(1-EXP(-LN(2)/25))/(LN(2)/25)*Calculateur!GH68*Calculateur!GJ68*VLOOKUP('Données projet'!$B$17,Paramètres!$A$1:$I$89,3,0)*0.475*44/12</f>
        <v>0</v>
      </c>
      <c r="GN68" s="23">
        <f>EXP(-LN(2)/2)*GN67+(1-EXP(-LN(2)/2))/(LN(2)/2)*GH68*GK68*VLOOKUP('Données projet'!$B$17,Paramètres!$A$1:$I$89,3,0)*0.475*44/12</f>
        <v>0</v>
      </c>
      <c r="GO68" s="23">
        <f t="shared" ref="GO68:GO131" si="81">SUM(GL68:GN68)</f>
        <v>130.7614976046531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8.125</v>
      </c>
      <c r="N69" s="14">
        <f>IF('Données projet'!$A$36&gt;35,N68+M69-V68,IF(A69&lt;'Données projet'!$A$36,$K$205^A69,IF(A69='Données projet'!$A$36,'Données projet'!$B$36,N68+M69-V68)))</f>
        <v>187.50000000000017</v>
      </c>
      <c r="O69" s="14">
        <f>N69*VLOOKUP('Données projet'!$B$9,Paramètres!$A$1:$I$89,3,0)*VLOOKUP('Données projet'!$B$9,Paramètres!$A$1:$I$89,5,0)</f>
        <v>163.80000000000015</v>
      </c>
      <c r="P69" s="14">
        <f t="shared" ref="P69:P132" si="87">EXP(-1.0587+0.8836*LN(O69)+0.284)</f>
        <v>41.698441627605369</v>
      </c>
      <c r="Q69" s="22">
        <f t="shared" si="54"/>
        <v>357.90978583474629</v>
      </c>
      <c r="R69" s="62">
        <f t="shared" si="55"/>
        <v>622.36284495193331</v>
      </c>
      <c r="S69" s="62">
        <f ca="1">AVERAGE(OFFSET($R$3,0,0,'Données projet'!$E$9+1,1))-AVERAGE(OFFSET($H$3,0,0,'Données projet'!$E$9+1,1))</f>
        <v>401.34220206028908</v>
      </c>
      <c r="T69" s="62">
        <f t="shared" ref="T69:T132" si="88">$T$3</f>
        <v>265.33314259106987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17.578615066305165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17.578615066305165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7.5</v>
      </c>
      <c r="AI69" s="14">
        <f>IF('Données projet'!$A$62&gt;35,AI68+AH69-AQ68,IF(A69&lt;'Données projet'!$A$62,$AF$205^A69,IF(A69='Données projet'!$A$62,'Données projet'!$B$62,AI68+AH69-AQ68)))</f>
        <v>254.00000000000006</v>
      </c>
      <c r="AJ69" s="14">
        <f>AI69*VLOOKUP('Données projet'!$B$10,Paramètres!$A$1:$I$89,3,0)*VLOOKUP('Données projet'!$B$10,Paramètres!$A$1:$I$89,5,0)</f>
        <v>118.87200000000001</v>
      </c>
      <c r="AK69" s="14">
        <f t="shared" ref="AK69:AK132" si="89">EXP(-1.0587+0.8836*LN(AJ69)+0.284)</f>
        <v>31.411767382096219</v>
      </c>
      <c r="AL69" s="22">
        <f t="shared" si="58"/>
        <v>261.74422819048425</v>
      </c>
      <c r="AM69" s="62">
        <f t="shared" si="59"/>
        <v>526.19728730767133</v>
      </c>
      <c r="AN69" s="62">
        <f ca="1">AVERAGE(OFFSET($AM$3,0,0,'Données projet'!$E$10+1,1))-AVERAGE(OFFSET($H$3,0,0,'Données projet'!$E$10+1,1))</f>
        <v>253.48761861464732</v>
      </c>
      <c r="AO69" s="62">
        <f t="shared" ref="AO69:AO132" si="90">$AO$3</f>
        <v>219.50855998133855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28.073899962383393</v>
      </c>
      <c r="AV69" s="23">
        <f>EXP(-LN(2)/25)*AV68+(1-EXP(-LN(2)/25))/(LN(2)/25)*Calculateur!AQ69*Calculateur!AS69*VLOOKUP('Données projet'!$B$10,Paramètres!$A$1:$I$89,3,0)*0.475*44/12</f>
        <v>7.1963533854557094</v>
      </c>
      <c r="AW69" s="23">
        <f>EXP(-LN(2)/2)*AW68+(1-EXP(-LN(2)/2))/(LN(2)/2)*AQ69*AT69*VLOOKUP('Données projet'!$B$10,Paramètres!$A$1:$I$89,3,0)*0.475*44/12</f>
        <v>0.46019800714681675</v>
      </c>
      <c r="AX69" s="23">
        <f t="shared" si="60"/>
        <v>35.730451354985917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>
        <f>BD69*VLOOKUP('Données projet'!$B$11,Paramètres!$A$1:$I$89,3,0)*VLOOKUP('Données projet'!$B$11,Paramètres!$A$1:$I$89,5,0)</f>
        <v>0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482.85256243111911</v>
      </c>
      <c r="BJ69" s="62">
        <f t="shared" ref="BJ69:BJ132" si="92">$BJ$3</f>
        <v>517.78430032567064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105.07064668717719</v>
      </c>
      <c r="BQ69" s="23">
        <f>EXP(-LN(2)/25)*BQ68+(1-EXP(-LN(2)/25))/(LN(2)/25)*Calculateur!BL69*Calculateur!BN69*VLOOKUP('Données projet'!$B$11,Paramètres!$A$1:$I$89,3,0)*0.475*44/12</f>
        <v>25.502189976383171</v>
      </c>
      <c r="BR69" s="23">
        <f>EXP(-LN(2)/2)*BR68+(1-EXP(-LN(2)/2))/(LN(2)/2)*BL69*BO69*VLOOKUP('Données projet'!$B$11,Paramètres!$A$1:$I$89,3,0)*0.475*44/12</f>
        <v>7.2819834246571169</v>
      </c>
      <c r="BS69" s="24">
        <f t="shared" si="63"/>
        <v>137.85482008821748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>
        <f>BY69*VLOOKUP('Données projet'!$B$12,Paramètres!$A$1:$I$89,3,0)*VLOOKUP('Données projet'!$B$12,Paramètres!$A$1:$I$89,5,0)</f>
        <v>0</v>
      </c>
      <c r="CA69" s="14" t="e">
        <f t="shared" ref="CA69:CA132" si="93">EXP(-1.0587+0.8836*LN(BZ69)+0.284)</f>
        <v>#NUM!</v>
      </c>
      <c r="CB69" s="22" t="e">
        <f t="shared" si="64"/>
        <v>#NUM!</v>
      </c>
      <c r="CC69" s="62" t="e">
        <f t="shared" si="65"/>
        <v>#NUM!</v>
      </c>
      <c r="CD69" s="62">
        <f ca="1">AVERAGE(OFFSET($CC$3,0,0,'Données projet'!$E$12+1,1))-AVERAGE(OFFSET($H$3,0,0,'Données projet'!$E$12+1,1))</f>
        <v>275.76900776033335</v>
      </c>
      <c r="CE69" s="62">
        <f t="shared" ref="CE69:CE132" si="94">$CE$3</f>
        <v>299.36898480605191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100.69270307521148</v>
      </c>
      <c r="CL69" s="23">
        <f>EXP(-LN(2)/25)*CL68+(1-EXP(-LN(2)/25))/(LN(2)/25)*Calculateur!CG69*Calculateur!CI69*VLOOKUP('Données projet'!$B$12,Paramètres!$A$1:$I$89,3,0)*0.475*44/12</f>
        <v>24.439598727367201</v>
      </c>
      <c r="CM69" s="23">
        <f>EXP(-LN(2)/2)*CM68+(1-EXP(-LN(2)/2))/(LN(2)/2)*CG69*CJ69*VLOOKUP('Données projet'!$B$12,Paramètres!$A$1:$I$89,3,0)*0.475*44/12</f>
        <v>6.9785674486297378</v>
      </c>
      <c r="CN69" s="24">
        <f t="shared" si="66"/>
        <v>132.11086925120841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8.125</v>
      </c>
      <c r="CT69" s="13">
        <f>IF('Données projet'!$A$140&gt;35,CT68+CS69-DB68,IF(A69&lt;'Données projet'!$A$140,$CQ$205^A69,IF(A69='Données projet'!$A$140,'Données projet'!$B$140,CT68+CS69-DB68)))</f>
        <v>187.50000000000017</v>
      </c>
      <c r="CU69" s="18">
        <f>CT69*VLOOKUP('Données projet'!$B$13,Paramètres!$A$1:$I$89,3,0)*VLOOKUP('Données projet'!$B$13,Paramètres!$A$1:$I$89,5,0)</f>
        <v>204.75000000000017</v>
      </c>
      <c r="CV69" s="14">
        <f t="shared" ref="CV69:CV132" si="95">EXP(-1.0587+0.8836*LN(CU69)+0.284)</f>
        <v>50.7866436128134</v>
      </c>
      <c r="CW69" s="22">
        <f t="shared" si="67"/>
        <v>445.05965429231696</v>
      </c>
      <c r="CX69" s="62">
        <f t="shared" si="68"/>
        <v>709.51271340950404</v>
      </c>
      <c r="CY69" s="62">
        <f ca="1">AVERAGE(OFFSET($CX$3,0,0,'Données projet'!$E$13+1,1))-AVERAGE(OFFSET($H$3,0,0,'Données projet'!$E$13+1,1))</f>
        <v>482.24068797679558</v>
      </c>
      <c r="CZ69" s="62">
        <f t="shared" ref="CZ69:CZ132" si="96">$CZ$3</f>
        <v>316.28941055521693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21.973268832881448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21.973268832881448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-1.7053025658242404E-13</v>
      </c>
      <c r="DP69" s="18">
        <f>DO69*VLOOKUP('Données projet'!$B$14,Paramètres!$A$1:$I$89,3,0)*VLOOKUP('Données projet'!$B$14,Paramètres!$A$1:$I$89,5,0)</f>
        <v>-1.383341441396624E-13</v>
      </c>
      <c r="DQ69" s="14" t="e">
        <f t="shared" ref="DQ69:DQ132" si="97">EXP(-1.0587+0.8836*LN(DP69)+0.284)</f>
        <v>#NUM!</v>
      </c>
      <c r="DR69" s="22" t="e">
        <f t="shared" si="70"/>
        <v>#NUM!</v>
      </c>
      <c r="DS69" s="62" t="e">
        <f t="shared" si="71"/>
        <v>#NUM!</v>
      </c>
      <c r="DT69" s="62">
        <f ca="1">AVERAGE(OFFSET($DS$3,0,0,'Données projet'!$E$14+1,1))-AVERAGE(OFFSET($H$3,0,0,'Données projet'!$E$14+1,1))</f>
        <v>325.58538970226539</v>
      </c>
      <c r="DU69" s="62">
        <f t="shared" ref="DU69:DU132" si="98">$DU$3</f>
        <v>361.81085660423457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125.77852657452327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125.77852657452327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6.5000000000000018</v>
      </c>
      <c r="EJ69" s="13">
        <f>IF('Données projet'!$A$192&gt;35,EJ68+EI69-ER68,IF(A69&lt;'Données projet'!$A$192,$EG$205^A69,IF(A69='Données projet'!$A$192,'Données projet'!$B$192,EJ68+EI69-ER68)))</f>
        <v>149.99999999999989</v>
      </c>
      <c r="EK69" s="18">
        <f>EJ69*VLOOKUP('Données projet'!$B$15,Paramètres!$A$1:$I$89,3,0)*VLOOKUP('Données projet'!$B$15,Paramètres!$A$1:$I$89,5,0)</f>
        <v>145.0799999999999</v>
      </c>
      <c r="EL69" s="14">
        <f t="shared" ref="EL69:EL132" si="99">EXP(-1.0587+0.8836*LN(EK69)+0.284)</f>
        <v>37.45833706767295</v>
      </c>
      <c r="EM69" s="22">
        <f t="shared" si="73"/>
        <v>317.92093705953022</v>
      </c>
      <c r="EN69" s="62">
        <f t="shared" si="74"/>
        <v>582.37399617671736</v>
      </c>
      <c r="EO69" s="62">
        <f ca="1">AVERAGE(OFFSET($EN$3,0,0,'Données projet'!$E$15+1,1))-AVERAGE(OFFSET($H$3,0,0,'Données projet'!$E$15+1,1))</f>
        <v>364.22267539944085</v>
      </c>
      <c r="EP69" s="62">
        <f t="shared" ref="EP69:EP132" si="100">$EP$3</f>
        <v>241.947139538615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15.569630487298854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15.569630487298854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-1.7053025658242404E-13</v>
      </c>
      <c r="FF69" s="18">
        <f>FE69*VLOOKUP('Données projet'!$B$16,Paramètres!$A$1:$I$89,3,0)*VLOOKUP('Données projet'!$B$16,Paramètres!$A$1:$I$89,5,0)</f>
        <v>-1.4897523215040567E-13</v>
      </c>
      <c r="FG69" s="14" t="e">
        <f t="shared" ref="FG69:FG132" si="101">EXP(-1.0587+0.8836*LN(FF69)+0.284)</f>
        <v>#NUM!</v>
      </c>
      <c r="FH69" s="22" t="e">
        <f t="shared" si="76"/>
        <v>#NUM!</v>
      </c>
      <c r="FI69" s="62" t="e">
        <f t="shared" si="77"/>
        <v>#NUM!</v>
      </c>
      <c r="FJ69" s="62">
        <f ca="1">AVERAGE(OFFSET($FI$3,0,0,'Données projet'!$E$16+1,1))-AVERAGE(OFFSET($H$3,0,0,'Données projet'!$E$16+1,1))</f>
        <v>286.59837239471312</v>
      </c>
      <c r="FK69" s="62">
        <f t="shared" ref="FK69:FK132" si="102">$FK$3</f>
        <v>319.26091328564689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109.17082223105497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109.17082223105497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-1.7053025658242404E-13</v>
      </c>
      <c r="GA69" s="18">
        <f>FZ69*VLOOKUP('Données projet'!$B$17,Paramètres!$A$1:$I$89,3,0)*VLOOKUP('Données projet'!$B$17,Paramètres!$A$1:$I$89,5,0)</f>
        <v>-1.1439169611549005E-13</v>
      </c>
      <c r="GB69" s="14" t="e">
        <f t="shared" ref="GB69:GB132" si="103">EXP(-1.0587+0.8836*LN(GA69)+0.284)</f>
        <v>#NUM!</v>
      </c>
      <c r="GC69" s="22" t="e">
        <f t="shared" si="79"/>
        <v>#NUM!</v>
      </c>
      <c r="GD69" s="62" t="e">
        <f t="shared" si="80"/>
        <v>#NUM!</v>
      </c>
      <c r="GE69" s="62">
        <f ca="1">AVERAGE(OFFSET($GD$3,0,0,'Données projet'!$E$17+1,1))-AVERAGE(OFFSET($H$3,0,0,'Données projet'!$E$17+1,1))</f>
        <v>277.37570531842186</v>
      </c>
      <c r="GF69" s="62">
        <f t="shared" ref="GF69:GF132" si="104">$GF$3</f>
        <v>310.00874200911312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projet'!$B$17,Paramètres!$A$1:$I$89,3,0)*0.475*44/12</f>
        <v>128.19734439326407</v>
      </c>
      <c r="GM69" s="23">
        <f>EXP(-LN(2)/25)*GM68+(1-EXP(-LN(2)/25))/(LN(2)/25)*Calculateur!GH69*Calculateur!GJ69*VLOOKUP('Données projet'!$B$17,Paramètres!$A$1:$I$89,3,0)*0.475*44/12</f>
        <v>0</v>
      </c>
      <c r="GN69" s="23">
        <f>EXP(-LN(2)/2)*GN68+(1-EXP(-LN(2)/2))/(LN(2)/2)*GH69*GK69*VLOOKUP('Données projet'!$B$17,Paramètres!$A$1:$I$89,3,0)*0.475*44/12</f>
        <v>0</v>
      </c>
      <c r="GO69" s="23">
        <f t="shared" si="81"/>
        <v>128.19734439326407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8.125</v>
      </c>
      <c r="N70" s="14">
        <f>IF('Données projet'!$A$36&gt;35,N69+M70-V69,IF(A70&lt;'Données projet'!$A$36,$K$205^A70,IF(A70='Données projet'!$A$36,'Données projet'!$B$36,N69+M70-V69)))</f>
        <v>195.62500000000017</v>
      </c>
      <c r="O70" s="14">
        <f>N70*VLOOKUP('Données projet'!$B$9,Paramètres!$A$1:$I$89,3,0)*VLOOKUP('Données projet'!$B$9,Paramètres!$A$1:$I$89,5,0)</f>
        <v>170.89800000000017</v>
      </c>
      <c r="P70" s="14">
        <f t="shared" si="87"/>
        <v>43.291084002399998</v>
      </c>
      <c r="Q70" s="22">
        <f t="shared" si="54"/>
        <v>373.04598797084697</v>
      </c>
      <c r="R70" s="62">
        <f t="shared" si="55"/>
        <v>638.00005527906387</v>
      </c>
      <c r="S70" s="62">
        <f ca="1">AVERAGE(OFFSET($R$3,0,0,'Données projet'!$E$9+1,1))-AVERAGE(OFFSET($H$3,0,0,'Données projet'!$E$9+1,1))</f>
        <v>401.34220206028908</v>
      </c>
      <c r="T70" s="62">
        <f t="shared" si="88"/>
        <v>265.33314259106987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17.233909146751412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17.233909146751412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7.5</v>
      </c>
      <c r="AI70" s="14">
        <f>IF('Données projet'!$A$62&gt;35,AI69+AH70-AQ69,IF(A70&lt;'Données projet'!$A$62,$AF$205^A70,IF(A70='Données projet'!$A$62,'Données projet'!$B$62,AI69+AH70-AQ69)))</f>
        <v>261.50000000000006</v>
      </c>
      <c r="AJ70" s="14">
        <f>AI70*VLOOKUP('Données projet'!$B$10,Paramètres!$A$1:$I$89,3,0)*VLOOKUP('Données projet'!$B$10,Paramètres!$A$1:$I$89,5,0)</f>
        <v>122.38200000000002</v>
      </c>
      <c r="AK70" s="14">
        <f t="shared" si="89"/>
        <v>32.229924544561726</v>
      </c>
      <c r="AL70" s="22">
        <f t="shared" si="58"/>
        <v>269.2824352484451</v>
      </c>
      <c r="AM70" s="62">
        <f t="shared" si="59"/>
        <v>534.236502556662</v>
      </c>
      <c r="AN70" s="62">
        <f ca="1">AVERAGE(OFFSET($AM$3,0,0,'Données projet'!$E$10+1,1))-AVERAGE(OFFSET($H$3,0,0,'Données projet'!$E$10+1,1))</f>
        <v>253.48761861464732</v>
      </c>
      <c r="AO70" s="62">
        <f t="shared" si="90"/>
        <v>219.50855998133855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27.523387907509239</v>
      </c>
      <c r="AV70" s="23">
        <f>EXP(-LN(2)/25)*AV69+(1-EXP(-LN(2)/25))/(LN(2)/25)*Calculateur!AQ70*Calculateur!AS70*VLOOKUP('Données projet'!$B$10,Paramètres!$A$1:$I$89,3,0)*0.475*44/12</f>
        <v>6.9995687236906461</v>
      </c>
      <c r="AW70" s="23">
        <f>EXP(-LN(2)/2)*AW69+(1-EXP(-LN(2)/2))/(LN(2)/2)*AQ70*AT70*VLOOKUP('Données projet'!$B$10,Paramètres!$A$1:$I$89,3,0)*0.475*44/12</f>
        <v>0.32540913154204942</v>
      </c>
      <c r="AX70" s="23">
        <f t="shared" si="60"/>
        <v>34.848365762741935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>
        <f>BD70*VLOOKUP('Données projet'!$B$11,Paramètres!$A$1:$I$89,3,0)*VLOOKUP('Données projet'!$B$11,Paramètres!$A$1:$I$89,5,0)</f>
        <v>0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482.85256243111911</v>
      </c>
      <c r="BJ70" s="62">
        <f t="shared" si="92"/>
        <v>517.78430032567064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103.01027539240808</v>
      </c>
      <c r="BQ70" s="23">
        <f>EXP(-LN(2)/25)*BQ69+(1-EXP(-LN(2)/25))/(LN(2)/25)*Calculateur!BL70*Calculateur!BN70*VLOOKUP('Données projet'!$B$11,Paramètres!$A$1:$I$89,3,0)*0.475*44/12</f>
        <v>24.804831250377088</v>
      </c>
      <c r="BR70" s="23">
        <f>EXP(-LN(2)/2)*BR69+(1-EXP(-LN(2)/2))/(LN(2)/2)*BL70*BO70*VLOOKUP('Données projet'!$B$11,Paramètres!$A$1:$I$89,3,0)*0.475*44/12</f>
        <v>5.1491398600630864</v>
      </c>
      <c r="BS70" s="24">
        <f t="shared" si="63"/>
        <v>132.96424650284825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>
        <f>BY70*VLOOKUP('Données projet'!$B$12,Paramètres!$A$1:$I$89,3,0)*VLOOKUP('Données projet'!$B$12,Paramètres!$A$1:$I$89,5,0)</f>
        <v>0</v>
      </c>
      <c r="CA70" s="14" t="e">
        <f t="shared" si="93"/>
        <v>#NUM!</v>
      </c>
      <c r="CB70" s="22" t="e">
        <f t="shared" si="64"/>
        <v>#NUM!</v>
      </c>
      <c r="CC70" s="62" t="e">
        <f t="shared" si="65"/>
        <v>#NUM!</v>
      </c>
      <c r="CD70" s="62">
        <f ca="1">AVERAGE(OFFSET($CC$3,0,0,'Données projet'!$E$12+1,1))-AVERAGE(OFFSET($H$3,0,0,'Données projet'!$E$12+1,1))</f>
        <v>275.76900776033335</v>
      </c>
      <c r="CE70" s="62">
        <f t="shared" si="94"/>
        <v>299.36898480605191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98.718180584391092</v>
      </c>
      <c r="CL70" s="23">
        <f>EXP(-LN(2)/25)*CL69+(1-EXP(-LN(2)/25))/(LN(2)/25)*Calculateur!CG70*Calculateur!CI70*VLOOKUP('Données projet'!$B$12,Paramètres!$A$1:$I$89,3,0)*0.475*44/12</f>
        <v>23.771296614944706</v>
      </c>
      <c r="CM70" s="23">
        <f>EXP(-LN(2)/2)*CM69+(1-EXP(-LN(2)/2))/(LN(2)/2)*CG70*CJ70*VLOOKUP('Données projet'!$B$12,Paramètres!$A$1:$I$89,3,0)*0.475*44/12</f>
        <v>4.9345923658937911</v>
      </c>
      <c r="CN70" s="24">
        <f t="shared" si="66"/>
        <v>127.42406956522959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8.125</v>
      </c>
      <c r="CT70" s="13">
        <f>IF('Données projet'!$A$140&gt;35,CT69+CS70-DB69,IF(A70&lt;'Données projet'!$A$140,$CQ$205^A70,IF(A70='Données projet'!$A$140,'Données projet'!$B$140,CT69+CS70-DB69)))</f>
        <v>195.62500000000017</v>
      </c>
      <c r="CU70" s="18">
        <f>CT70*VLOOKUP('Données projet'!$B$13,Paramètres!$A$1:$I$89,3,0)*VLOOKUP('Données projet'!$B$13,Paramètres!$A$1:$I$89,5,0)</f>
        <v>213.62250000000017</v>
      </c>
      <c r="CV70" s="14">
        <f t="shared" si="95"/>
        <v>52.72640341040286</v>
      </c>
      <c r="CW70" s="22">
        <f t="shared" si="67"/>
        <v>463.89100677311853</v>
      </c>
      <c r="CX70" s="62">
        <f t="shared" si="68"/>
        <v>728.8450740813355</v>
      </c>
      <c r="CY70" s="62">
        <f ca="1">AVERAGE(OFFSET($CX$3,0,0,'Données projet'!$E$13+1,1))-AVERAGE(OFFSET($H$3,0,0,'Données projet'!$E$13+1,1))</f>
        <v>482.24068797679558</v>
      </c>
      <c r="CZ70" s="62">
        <f t="shared" si="96"/>
        <v>316.28941055521693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21.542386433439258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21.542386433439258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-1.7053025658242404E-13</v>
      </c>
      <c r="DP70" s="18">
        <f>DO70*VLOOKUP('Données projet'!$B$14,Paramètres!$A$1:$I$89,3,0)*VLOOKUP('Données projet'!$B$14,Paramètres!$A$1:$I$89,5,0)</f>
        <v>-1.383341441396624E-13</v>
      </c>
      <c r="DQ70" s="14" t="e">
        <f t="shared" si="97"/>
        <v>#NUM!</v>
      </c>
      <c r="DR70" s="22" t="e">
        <f t="shared" si="70"/>
        <v>#NUM!</v>
      </c>
      <c r="DS70" s="62" t="e">
        <f t="shared" si="71"/>
        <v>#NUM!</v>
      </c>
      <c r="DT70" s="62">
        <f ca="1">AVERAGE(OFFSET($DS$3,0,0,'Données projet'!$E$14+1,1))-AVERAGE(OFFSET($H$3,0,0,'Données projet'!$E$14+1,1))</f>
        <v>325.58538970226539</v>
      </c>
      <c r="DU70" s="62">
        <f t="shared" si="98"/>
        <v>361.81085660423457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123.31208638572288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123.31208638572288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6.5000000000000018</v>
      </c>
      <c r="EJ70" s="13">
        <f>IF('Données projet'!$A$192&gt;35,EJ69+EI70-ER69,IF(A70&lt;'Données projet'!$A$192,$EG$205^A70,IF(A70='Données projet'!$A$192,'Données projet'!$B$192,EJ69+EI70-ER69)))</f>
        <v>156.49999999999989</v>
      </c>
      <c r="EK70" s="18">
        <f>EJ70*VLOOKUP('Données projet'!$B$15,Paramètres!$A$1:$I$89,3,0)*VLOOKUP('Données projet'!$B$15,Paramètres!$A$1:$I$89,5,0)</f>
        <v>151.3667999999999</v>
      </c>
      <c r="EL70" s="14">
        <f t="shared" si="99"/>
        <v>38.889031658998441</v>
      </c>
      <c r="EM70" s="22">
        <f t="shared" si="73"/>
        <v>331.36224013942211</v>
      </c>
      <c r="EN70" s="62">
        <f t="shared" si="74"/>
        <v>596.31630744763902</v>
      </c>
      <c r="EO70" s="62">
        <f ca="1">AVERAGE(OFFSET($EN$3,0,0,'Données projet'!$E$15+1,1))-AVERAGE(OFFSET($H$3,0,0,'Données projet'!$E$15+1,1))</f>
        <v>364.22267539944085</v>
      </c>
      <c r="EP70" s="62">
        <f t="shared" si="100"/>
        <v>241.947139538615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15.264319529979815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15.264319529979815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-1.7053025658242404E-13</v>
      </c>
      <c r="FF70" s="18">
        <f>FE70*VLOOKUP('Données projet'!$B$16,Paramètres!$A$1:$I$89,3,0)*VLOOKUP('Données projet'!$B$16,Paramètres!$A$1:$I$89,5,0)</f>
        <v>-1.4897523215040567E-13</v>
      </c>
      <c r="FG70" s="14" t="e">
        <f t="shared" si="101"/>
        <v>#NUM!</v>
      </c>
      <c r="FH70" s="22" t="e">
        <f t="shared" si="76"/>
        <v>#NUM!</v>
      </c>
      <c r="FI70" s="62" t="e">
        <f t="shared" si="77"/>
        <v>#NUM!</v>
      </c>
      <c r="FJ70" s="62">
        <f ca="1">AVERAGE(OFFSET($FI$3,0,0,'Données projet'!$E$16+1,1))-AVERAGE(OFFSET($H$3,0,0,'Données projet'!$E$16+1,1))</f>
        <v>286.59837239471312</v>
      </c>
      <c r="FK70" s="62">
        <f t="shared" si="102"/>
        <v>319.26091328564689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107.03004899473056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107.03004899473056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-1.7053025658242404E-13</v>
      </c>
      <c r="GA70" s="18">
        <f>FZ70*VLOOKUP('Données projet'!$B$17,Paramètres!$A$1:$I$89,3,0)*VLOOKUP('Données projet'!$B$17,Paramètres!$A$1:$I$89,5,0)</f>
        <v>-1.1439169611549005E-13</v>
      </c>
      <c r="GB70" s="14" t="e">
        <f t="shared" si="103"/>
        <v>#NUM!</v>
      </c>
      <c r="GC70" s="22" t="e">
        <f t="shared" si="79"/>
        <v>#NUM!</v>
      </c>
      <c r="GD70" s="62" t="e">
        <f t="shared" si="80"/>
        <v>#NUM!</v>
      </c>
      <c r="GE70" s="62">
        <f ca="1">AVERAGE(OFFSET($GD$3,0,0,'Données projet'!$E$17+1,1))-AVERAGE(OFFSET($H$3,0,0,'Données projet'!$E$17+1,1))</f>
        <v>277.37570531842186</v>
      </c>
      <c r="GF70" s="62">
        <f t="shared" si="104"/>
        <v>310.00874200911312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projet'!$B$17,Paramètres!$A$1:$I$89,3,0)*0.475*44/12</f>
        <v>125.68347266237136</v>
      </c>
      <c r="GM70" s="23">
        <f>EXP(-LN(2)/25)*GM69+(1-EXP(-LN(2)/25))/(LN(2)/25)*Calculateur!GH70*Calculateur!GJ70*VLOOKUP('Données projet'!$B$17,Paramètres!$A$1:$I$89,3,0)*0.475*44/12</f>
        <v>0</v>
      </c>
      <c r="GN70" s="23">
        <f>EXP(-LN(2)/2)*GN69+(1-EXP(-LN(2)/2))/(LN(2)/2)*GH70*GK70*VLOOKUP('Données projet'!$B$17,Paramètres!$A$1:$I$89,3,0)*0.475*44/12</f>
        <v>0</v>
      </c>
      <c r="GO70" s="23">
        <f t="shared" si="81"/>
        <v>125.68347266237136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8.125</v>
      </c>
      <c r="N71" s="14">
        <f>IF('Données projet'!$A$36&gt;35,N70+M71-V70,IF(A71&lt;'Données projet'!$A$36,$K$205^A71,IF(A71='Données projet'!$A$36,'Données projet'!$B$36,N70+M71-V70)))</f>
        <v>203.75000000000017</v>
      </c>
      <c r="O71" s="14">
        <f>N71*VLOOKUP('Données projet'!$B$9,Paramètres!$A$1:$I$89,3,0)*VLOOKUP('Données projet'!$B$9,Paramètres!$A$1:$I$89,5,0)</f>
        <v>177.99600000000018</v>
      </c>
      <c r="P71" s="14">
        <f t="shared" si="87"/>
        <v>44.876042989096433</v>
      </c>
      <c r="Q71" s="22">
        <f t="shared" si="54"/>
        <v>388.16880820600994</v>
      </c>
      <c r="R71" s="62">
        <f t="shared" si="55"/>
        <v>653.61519233322883</v>
      </c>
      <c r="S71" s="62">
        <f ca="1">AVERAGE(OFFSET($R$3,0,0,'Données projet'!$E$9+1,1))-AVERAGE(OFFSET($H$3,0,0,'Données projet'!$E$9+1,1))</f>
        <v>401.34220206028908</v>
      </c>
      <c r="T71" s="62">
        <f t="shared" si="88"/>
        <v>265.33314259106987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16.895962700030257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16.895962700030257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7.5</v>
      </c>
      <c r="AI71" s="14">
        <f>IF('Données projet'!$A$62&gt;35,AI70+AH71-AQ70,IF(A71&lt;'Données projet'!$A$62,$AF$205^A71,IF(A71='Données projet'!$A$62,'Données projet'!$B$62,AI70+AH71-AQ70)))</f>
        <v>269.00000000000006</v>
      </c>
      <c r="AJ71" s="14">
        <f>AI71*VLOOKUP('Données projet'!$B$10,Paramètres!$A$1:$I$89,3,0)*VLOOKUP('Données projet'!$B$10,Paramètres!$A$1:$I$89,5,0)</f>
        <v>125.89200000000002</v>
      </c>
      <c r="AK71" s="14">
        <f t="shared" si="89"/>
        <v>33.04535450396866</v>
      </c>
      <c r="AL71" s="22">
        <f t="shared" si="58"/>
        <v>276.81589242774544</v>
      </c>
      <c r="AM71" s="62">
        <f t="shared" si="59"/>
        <v>542.26227655496427</v>
      </c>
      <c r="AN71" s="62">
        <f ca="1">AVERAGE(OFFSET($AM$3,0,0,'Données projet'!$E$10+1,1))-AVERAGE(OFFSET($H$3,0,0,'Données projet'!$E$10+1,1))</f>
        <v>253.48761861464732</v>
      </c>
      <c r="AO71" s="62">
        <f t="shared" si="90"/>
        <v>219.50855998133855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26.983671058251968</v>
      </c>
      <c r="AV71" s="23">
        <f>EXP(-LN(2)/25)*AV70+(1-EXP(-LN(2)/25))/(LN(2)/25)*Calculateur!AQ71*Calculateur!AS71*VLOOKUP('Données projet'!$B$10,Paramètres!$A$1:$I$89,3,0)*0.475*44/12</f>
        <v>6.8081651488500041</v>
      </c>
      <c r="AW71" s="23">
        <f>EXP(-LN(2)/2)*AW70+(1-EXP(-LN(2)/2))/(LN(2)/2)*AQ71*AT71*VLOOKUP('Données projet'!$B$10,Paramètres!$A$1:$I$89,3,0)*0.475*44/12</f>
        <v>0.23009900357340843</v>
      </c>
      <c r="AX71" s="23">
        <f t="shared" si="60"/>
        <v>34.02193521067538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>
        <f>BD71*VLOOKUP('Données projet'!$B$11,Paramètres!$A$1:$I$89,3,0)*VLOOKUP('Données projet'!$B$11,Paramètres!$A$1:$I$89,5,0)</f>
        <v>0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482.85256243111911</v>
      </c>
      <c r="BJ71" s="62">
        <f t="shared" si="92"/>
        <v>517.78430032567064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100.99030672202699</v>
      </c>
      <c r="BQ71" s="23">
        <f>EXP(-LN(2)/25)*BQ70+(1-EXP(-LN(2)/25))/(LN(2)/25)*Calculateur!BL71*Calculateur!BN71*VLOOKUP('Données projet'!$B$11,Paramètres!$A$1:$I$89,3,0)*0.475*44/12</f>
        <v>24.126541835406144</v>
      </c>
      <c r="BR71" s="23">
        <f>EXP(-LN(2)/2)*BR70+(1-EXP(-LN(2)/2))/(LN(2)/2)*BL71*BO71*VLOOKUP('Données projet'!$B$11,Paramètres!$A$1:$I$89,3,0)*0.475*44/12</f>
        <v>3.6409917123285589</v>
      </c>
      <c r="BS71" s="24">
        <f t="shared" si="63"/>
        <v>128.75784026976169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>
        <f>BY71*VLOOKUP('Données projet'!$B$12,Paramètres!$A$1:$I$89,3,0)*VLOOKUP('Données projet'!$B$12,Paramètres!$A$1:$I$89,5,0)</f>
        <v>0</v>
      </c>
      <c r="CA71" s="14" t="e">
        <f t="shared" si="93"/>
        <v>#NUM!</v>
      </c>
      <c r="CB71" s="22" t="e">
        <f t="shared" si="64"/>
        <v>#NUM!</v>
      </c>
      <c r="CC71" s="62" t="e">
        <f t="shared" si="65"/>
        <v>#NUM!</v>
      </c>
      <c r="CD71" s="62">
        <f ca="1">AVERAGE(OFFSET($CC$3,0,0,'Données projet'!$E$12+1,1))-AVERAGE(OFFSET($H$3,0,0,'Données projet'!$E$12+1,1))</f>
        <v>275.76900776033335</v>
      </c>
      <c r="CE71" s="62">
        <f t="shared" si="94"/>
        <v>299.36898480605191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96.782377275275877</v>
      </c>
      <c r="CL71" s="23">
        <f>EXP(-LN(2)/25)*CL70+(1-EXP(-LN(2)/25))/(LN(2)/25)*Calculateur!CG71*Calculateur!CI71*VLOOKUP('Données projet'!$B$12,Paramètres!$A$1:$I$89,3,0)*0.475*44/12</f>
        <v>23.121269258930884</v>
      </c>
      <c r="CM71" s="23">
        <f>EXP(-LN(2)/2)*CM70+(1-EXP(-LN(2)/2))/(LN(2)/2)*CG71*CJ71*VLOOKUP('Données projet'!$B$12,Paramètres!$A$1:$I$89,3,0)*0.475*44/12</f>
        <v>3.4892837243148689</v>
      </c>
      <c r="CN71" s="24">
        <f t="shared" si="66"/>
        <v>123.39293025852163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8.125</v>
      </c>
      <c r="CT71" s="13">
        <f>IF('Données projet'!$A$140&gt;35,CT70+CS71-DB70,IF(A71&lt;'Données projet'!$A$140,$CQ$205^A71,IF(A71='Données projet'!$A$140,'Données projet'!$B$140,CT70+CS71-DB70)))</f>
        <v>203.75000000000017</v>
      </c>
      <c r="CU71" s="18">
        <f>CT71*VLOOKUP('Données projet'!$B$13,Paramètres!$A$1:$I$89,3,0)*VLOOKUP('Données projet'!$B$13,Paramètres!$A$1:$I$89,5,0)</f>
        <v>222.49500000000018</v>
      </c>
      <c r="CV71" s="14">
        <f t="shared" si="95"/>
        <v>54.656805220550751</v>
      </c>
      <c r="CW71" s="22">
        <f t="shared" si="67"/>
        <v>482.70606075912627</v>
      </c>
      <c r="CX71" s="62">
        <f t="shared" si="68"/>
        <v>748.15244488634517</v>
      </c>
      <c r="CY71" s="62">
        <f ca="1">AVERAGE(OFFSET($CX$3,0,0,'Données projet'!$E$13+1,1))-AVERAGE(OFFSET($H$3,0,0,'Données projet'!$E$13+1,1))</f>
        <v>482.24068797679558</v>
      </c>
      <c r="CZ71" s="62">
        <f t="shared" si="96"/>
        <v>316.28941055521693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21.119953375037817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21.119953375037817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-1.7053025658242404E-13</v>
      </c>
      <c r="DP71" s="18">
        <f>DO71*VLOOKUP('Données projet'!$B$14,Paramètres!$A$1:$I$89,3,0)*VLOOKUP('Données projet'!$B$14,Paramètres!$A$1:$I$89,5,0)</f>
        <v>-1.383341441396624E-13</v>
      </c>
      <c r="DQ71" s="14" t="e">
        <f t="shared" si="97"/>
        <v>#NUM!</v>
      </c>
      <c r="DR71" s="22" t="e">
        <f t="shared" si="70"/>
        <v>#NUM!</v>
      </c>
      <c r="DS71" s="62" t="e">
        <f t="shared" si="71"/>
        <v>#NUM!</v>
      </c>
      <c r="DT71" s="62">
        <f ca="1">AVERAGE(OFFSET($DS$3,0,0,'Données projet'!$E$14+1,1))-AVERAGE(OFFSET($H$3,0,0,'Données projet'!$E$14+1,1))</f>
        <v>325.58538970226539</v>
      </c>
      <c r="DU71" s="62">
        <f t="shared" si="98"/>
        <v>361.81085660423457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120.89401158464489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120.89401158464489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6.5000000000000018</v>
      </c>
      <c r="EJ71" s="13">
        <f>IF('Données projet'!$A$192&gt;35,EJ70+EI71-ER70,IF(A71&lt;'Données projet'!$A$192,$EG$205^A71,IF(A71='Données projet'!$A$192,'Données projet'!$B$192,EJ70+EI71-ER70)))</f>
        <v>162.99999999999989</v>
      </c>
      <c r="EK71" s="18">
        <f>EJ71*VLOOKUP('Données projet'!$B$15,Paramètres!$A$1:$I$89,3,0)*VLOOKUP('Données projet'!$B$15,Paramètres!$A$1:$I$89,5,0)</f>
        <v>157.6535999999999</v>
      </c>
      <c r="EL71" s="14">
        <f t="shared" si="99"/>
        <v>40.312824147272337</v>
      </c>
      <c r="EM71" s="22">
        <f t="shared" si="73"/>
        <v>344.79152205649916</v>
      </c>
      <c r="EN71" s="62">
        <f t="shared" si="74"/>
        <v>610.237906183718</v>
      </c>
      <c r="EO71" s="62">
        <f ca="1">AVERAGE(OFFSET($EN$3,0,0,'Données projet'!$E$15+1,1))-AVERAGE(OFFSET($H$3,0,0,'Données projet'!$E$15+1,1))</f>
        <v>364.22267539944085</v>
      </c>
      <c r="EP71" s="62">
        <f t="shared" si="100"/>
        <v>241.947139538615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14.964995534312507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14.964995534312507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-1.7053025658242404E-13</v>
      </c>
      <c r="FF71" s="18">
        <f>FE71*VLOOKUP('Données projet'!$B$16,Paramètres!$A$1:$I$89,3,0)*VLOOKUP('Données projet'!$B$16,Paramètres!$A$1:$I$89,5,0)</f>
        <v>-1.4897523215040567E-13</v>
      </c>
      <c r="FG71" s="14" t="e">
        <f t="shared" si="101"/>
        <v>#NUM!</v>
      </c>
      <c r="FH71" s="22" t="e">
        <f t="shared" si="76"/>
        <v>#NUM!</v>
      </c>
      <c r="FI71" s="62" t="e">
        <f t="shared" si="77"/>
        <v>#NUM!</v>
      </c>
      <c r="FJ71" s="62">
        <f ca="1">AVERAGE(OFFSET($FI$3,0,0,'Données projet'!$E$16+1,1))-AVERAGE(OFFSET($H$3,0,0,'Données projet'!$E$16+1,1))</f>
        <v>286.59837239471312</v>
      </c>
      <c r="FK71" s="62">
        <f t="shared" si="102"/>
        <v>319.26091328564689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104.93125501582773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104.93125501582773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-1.7053025658242404E-13</v>
      </c>
      <c r="GA71" s="18">
        <f>FZ71*VLOOKUP('Données projet'!$B$17,Paramètres!$A$1:$I$89,3,0)*VLOOKUP('Données projet'!$B$17,Paramètres!$A$1:$I$89,5,0)</f>
        <v>-1.1439169611549005E-13</v>
      </c>
      <c r="GB71" s="14" t="e">
        <f t="shared" si="103"/>
        <v>#NUM!</v>
      </c>
      <c r="GC71" s="22" t="e">
        <f t="shared" si="79"/>
        <v>#NUM!</v>
      </c>
      <c r="GD71" s="62" t="e">
        <f t="shared" si="80"/>
        <v>#NUM!</v>
      </c>
      <c r="GE71" s="62">
        <f ca="1">AVERAGE(OFFSET($GD$3,0,0,'Données projet'!$E$17+1,1))-AVERAGE(OFFSET($H$3,0,0,'Données projet'!$E$17+1,1))</f>
        <v>277.37570531842186</v>
      </c>
      <c r="GF71" s="62">
        <f t="shared" si="104"/>
        <v>310.00874200911312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projet'!$B$17,Paramètres!$A$1:$I$89,3,0)*0.475*44/12</f>
        <v>123.2188964228111</v>
      </c>
      <c r="GM71" s="23">
        <f>EXP(-LN(2)/25)*GM70+(1-EXP(-LN(2)/25))/(LN(2)/25)*Calculateur!GH71*Calculateur!GJ71*VLOOKUP('Données projet'!$B$17,Paramètres!$A$1:$I$89,3,0)*0.475*44/12</f>
        <v>0</v>
      </c>
      <c r="GN71" s="23">
        <f>EXP(-LN(2)/2)*GN70+(1-EXP(-LN(2)/2))/(LN(2)/2)*GH71*GK71*VLOOKUP('Données projet'!$B$17,Paramètres!$A$1:$I$89,3,0)*0.475*44/12</f>
        <v>0</v>
      </c>
      <c r="GO71" s="23">
        <f t="shared" si="81"/>
        <v>123.2188964228111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8.125</v>
      </c>
      <c r="N72" s="14">
        <f>IF('Données projet'!$A$36&gt;35,N71+M72-V71,IF(A72&lt;'Données projet'!$A$36,$K$205^A72,IF(A72='Données projet'!$A$36,'Données projet'!$B$36,N71+M72-V71)))</f>
        <v>211.87500000000017</v>
      </c>
      <c r="O72" s="14">
        <f>N72*VLOOKUP('Données projet'!$B$9,Paramètres!$A$1:$I$89,3,0)*VLOOKUP('Données projet'!$B$9,Paramètres!$A$1:$I$89,5,0)</f>
        <v>185.09400000000016</v>
      </c>
      <c r="P72" s="14">
        <f t="shared" si="87"/>
        <v>46.453660036356176</v>
      </c>
      <c r="Q72" s="22">
        <f t="shared" si="54"/>
        <v>403.27884122998734</v>
      </c>
      <c r="R72" s="62">
        <f t="shared" si="55"/>
        <v>669.20900158005384</v>
      </c>
      <c r="S72" s="62">
        <f ca="1">AVERAGE(OFFSET($R$3,0,0,'Données projet'!$E$9+1,1))-AVERAGE(OFFSET($H$3,0,0,'Données projet'!$E$9+1,1))</f>
        <v>401.34220206028908</v>
      </c>
      <c r="T72" s="62">
        <f t="shared" si="88"/>
        <v>265.33314259106987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16.564643177002324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16.564643177002324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7.5</v>
      </c>
      <c r="AI72" s="14">
        <f>IF('Données projet'!$A$62&gt;35,AI71+AH72-AQ71,IF(A72&lt;'Données projet'!$A$62,$AF$205^A72,IF(A72='Données projet'!$A$62,'Données projet'!$B$62,AI71+AH72-AQ71)))</f>
        <v>276.50000000000006</v>
      </c>
      <c r="AJ72" s="14">
        <f>AI72*VLOOKUP('Données projet'!$B$10,Paramètres!$A$1:$I$89,3,0)*VLOOKUP('Données projet'!$B$10,Paramètres!$A$1:$I$89,5,0)</f>
        <v>129.40200000000004</v>
      </c>
      <c r="AK72" s="14">
        <f t="shared" si="89"/>
        <v>33.85814203296669</v>
      </c>
      <c r="AL72" s="22">
        <f t="shared" si="58"/>
        <v>284.34474737408374</v>
      </c>
      <c r="AM72" s="62">
        <f t="shared" si="59"/>
        <v>550.27490772415035</v>
      </c>
      <c r="AN72" s="62">
        <f ca="1">AVERAGE(OFFSET($AM$3,0,0,'Données projet'!$E$10+1,1))-AVERAGE(OFFSET($H$3,0,0,'Données projet'!$E$10+1,1))</f>
        <v>253.48761861464732</v>
      </c>
      <c r="AO72" s="62">
        <f t="shared" si="90"/>
        <v>219.50855998133855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26.454537727213857</v>
      </c>
      <c r="AV72" s="23">
        <f>EXP(-LN(2)/25)*AV71+(1-EXP(-LN(2)/25))/(LN(2)/25)*Calculateur!AQ72*Calculateur!AS72*VLOOKUP('Données projet'!$B$10,Paramètres!$A$1:$I$89,3,0)*0.475*44/12</f>
        <v>6.6219955148288561</v>
      </c>
      <c r="AW72" s="23">
        <f>EXP(-LN(2)/2)*AW71+(1-EXP(-LN(2)/2))/(LN(2)/2)*AQ72*AT72*VLOOKUP('Données projet'!$B$10,Paramètres!$A$1:$I$89,3,0)*0.475*44/12</f>
        <v>0.16270456577102474</v>
      </c>
      <c r="AX72" s="23">
        <f t="shared" si="60"/>
        <v>33.239237807813737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>
        <f>BD72*VLOOKUP('Données projet'!$B$11,Paramètres!$A$1:$I$89,3,0)*VLOOKUP('Données projet'!$B$11,Paramètres!$A$1:$I$89,5,0)</f>
        <v>0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482.85256243111911</v>
      </c>
      <c r="BJ72" s="62">
        <f t="shared" si="92"/>
        <v>517.78430032567064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99.009948405212839</v>
      </c>
      <c r="BQ72" s="23">
        <f>EXP(-LN(2)/25)*BQ71+(1-EXP(-LN(2)/25))/(LN(2)/25)*Calculateur!BL72*Calculateur!BN72*VLOOKUP('Données projet'!$B$11,Paramètres!$A$1:$I$89,3,0)*0.475*44/12</f>
        <v>23.466800280157269</v>
      </c>
      <c r="BR72" s="23">
        <f>EXP(-LN(2)/2)*BR71+(1-EXP(-LN(2)/2))/(LN(2)/2)*BL72*BO72*VLOOKUP('Données projet'!$B$11,Paramètres!$A$1:$I$89,3,0)*0.475*44/12</f>
        <v>2.5745699300315437</v>
      </c>
      <c r="BS72" s="24">
        <f t="shared" si="63"/>
        <v>125.05131861540166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>
        <f>BY72*VLOOKUP('Données projet'!$B$12,Paramètres!$A$1:$I$89,3,0)*VLOOKUP('Données projet'!$B$12,Paramètres!$A$1:$I$89,5,0)</f>
        <v>0</v>
      </c>
      <c r="CA72" s="14" t="e">
        <f t="shared" si="93"/>
        <v>#NUM!</v>
      </c>
      <c r="CB72" s="22" t="e">
        <f t="shared" si="64"/>
        <v>#NUM!</v>
      </c>
      <c r="CC72" s="62" t="e">
        <f t="shared" si="65"/>
        <v>#NUM!</v>
      </c>
      <c r="CD72" s="62">
        <f ca="1">AVERAGE(OFFSET($CC$3,0,0,'Données projet'!$E$12+1,1))-AVERAGE(OFFSET($H$3,0,0,'Données projet'!$E$12+1,1))</f>
        <v>275.76900776033335</v>
      </c>
      <c r="CE72" s="62">
        <f t="shared" si="94"/>
        <v>299.36898480605191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94.884533888328988</v>
      </c>
      <c r="CL72" s="23">
        <f>EXP(-LN(2)/25)*CL71+(1-EXP(-LN(2)/25))/(LN(2)/25)*Calculateur!CG72*Calculateur!CI72*VLOOKUP('Données projet'!$B$12,Paramètres!$A$1:$I$89,3,0)*0.475*44/12</f>
        <v>22.489016935150712</v>
      </c>
      <c r="CM72" s="23">
        <f>EXP(-LN(2)/2)*CM71+(1-EXP(-LN(2)/2))/(LN(2)/2)*CG72*CJ72*VLOOKUP('Données projet'!$B$12,Paramètres!$A$1:$I$89,3,0)*0.475*44/12</f>
        <v>2.4672961829468956</v>
      </c>
      <c r="CN72" s="24">
        <f t="shared" si="66"/>
        <v>119.8408470064266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8.125</v>
      </c>
      <c r="CT72" s="13">
        <f>IF('Données projet'!$A$140&gt;35,CT71+CS72-DB71,IF(A72&lt;'Données projet'!$A$140,$CQ$205^A72,IF(A72='Données projet'!$A$140,'Données projet'!$B$140,CT71+CS72-DB71)))</f>
        <v>211.87500000000017</v>
      </c>
      <c r="CU72" s="18">
        <f>CT72*VLOOKUP('Données projet'!$B$13,Paramètres!$A$1:$I$89,3,0)*VLOOKUP('Données projet'!$B$13,Paramètres!$A$1:$I$89,5,0)</f>
        <v>231.36750000000018</v>
      </c>
      <c r="CV72" s="14">
        <f t="shared" si="95"/>
        <v>56.578264910872583</v>
      </c>
      <c r="CW72" s="22">
        <f t="shared" si="67"/>
        <v>501.50554055310334</v>
      </c>
      <c r="CX72" s="62">
        <f t="shared" si="68"/>
        <v>767.43570090316985</v>
      </c>
      <c r="CY72" s="62">
        <f ca="1">AVERAGE(OFFSET($CX$3,0,0,'Données projet'!$E$13+1,1))-AVERAGE(OFFSET($H$3,0,0,'Données projet'!$E$13+1,1))</f>
        <v>482.24068797679558</v>
      </c>
      <c r="CZ72" s="62">
        <f t="shared" si="96"/>
        <v>316.28941055521693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20.705803971252902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20.705803971252902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-1.7053025658242404E-13</v>
      </c>
      <c r="DP72" s="18">
        <f>DO72*VLOOKUP('Données projet'!$B$14,Paramètres!$A$1:$I$89,3,0)*VLOOKUP('Données projet'!$B$14,Paramètres!$A$1:$I$89,5,0)</f>
        <v>-1.383341441396624E-13</v>
      </c>
      <c r="DQ72" s="14" t="e">
        <f t="shared" si="97"/>
        <v>#NUM!</v>
      </c>
      <c r="DR72" s="22" t="e">
        <f t="shared" si="70"/>
        <v>#NUM!</v>
      </c>
      <c r="DS72" s="62" t="e">
        <f t="shared" si="71"/>
        <v>#NUM!</v>
      </c>
      <c r="DT72" s="62">
        <f ca="1">AVERAGE(OFFSET($DS$3,0,0,'Données projet'!$E$14+1,1))-AVERAGE(OFFSET($H$3,0,0,'Données projet'!$E$14+1,1))</f>
        <v>325.58538970226539</v>
      </c>
      <c r="DU72" s="62">
        <f t="shared" si="98"/>
        <v>361.81085660423457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118.52335375553604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118.52335375553604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6.5000000000000018</v>
      </c>
      <c r="EJ72" s="13">
        <f>IF('Données projet'!$A$192&gt;35,EJ71+EI72-ER71,IF(A72&lt;'Données projet'!$A$192,$EG$205^A72,IF(A72='Données projet'!$A$192,'Données projet'!$B$192,EJ71+EI72-ER71)))</f>
        <v>169.49999999999989</v>
      </c>
      <c r="EK72" s="18">
        <f>EJ72*VLOOKUP('Données projet'!$B$15,Paramètres!$A$1:$I$89,3,0)*VLOOKUP('Données projet'!$B$15,Paramètres!$A$1:$I$89,5,0)</f>
        <v>163.9403999999999</v>
      </c>
      <c r="EL72" s="14">
        <f t="shared" si="99"/>
        <v>41.730021260961159</v>
      </c>
      <c r="EM72" s="22">
        <f t="shared" si="73"/>
        <v>358.20931702950719</v>
      </c>
      <c r="EN72" s="62">
        <f t="shared" si="74"/>
        <v>624.13947737957369</v>
      </c>
      <c r="EO72" s="62">
        <f ca="1">AVERAGE(OFFSET($EN$3,0,0,'Données projet'!$E$15+1,1))-AVERAGE(OFFSET($H$3,0,0,'Données projet'!$E$15+1,1))</f>
        <v>364.22267539944085</v>
      </c>
      <c r="EP72" s="62">
        <f t="shared" si="100"/>
        <v>241.947139538615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14.671541099630625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14.671541099630625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-1.7053025658242404E-13</v>
      </c>
      <c r="FF72" s="18">
        <f>FE72*VLOOKUP('Données projet'!$B$16,Paramètres!$A$1:$I$89,3,0)*VLOOKUP('Données projet'!$B$16,Paramètres!$A$1:$I$89,5,0)</f>
        <v>-1.4897523215040567E-13</v>
      </c>
      <c r="FG72" s="14" t="e">
        <f t="shared" si="101"/>
        <v>#NUM!</v>
      </c>
      <c r="FH72" s="22" t="e">
        <f t="shared" si="76"/>
        <v>#NUM!</v>
      </c>
      <c r="FI72" s="62" t="e">
        <f t="shared" si="77"/>
        <v>#NUM!</v>
      </c>
      <c r="FJ72" s="62">
        <f ca="1">AVERAGE(OFFSET($FI$3,0,0,'Données projet'!$E$16+1,1))-AVERAGE(OFFSET($H$3,0,0,'Données projet'!$E$16+1,1))</f>
        <v>286.59837239471312</v>
      </c>
      <c r="FK72" s="62">
        <f t="shared" si="102"/>
        <v>319.26091328564689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102.87361710671325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102.87361710671325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-1.7053025658242404E-13</v>
      </c>
      <c r="GA72" s="18">
        <f>FZ72*VLOOKUP('Données projet'!$B$17,Paramètres!$A$1:$I$89,3,0)*VLOOKUP('Données projet'!$B$17,Paramètres!$A$1:$I$89,5,0)</f>
        <v>-1.1439169611549005E-13</v>
      </c>
      <c r="GB72" s="14" t="e">
        <f t="shared" si="103"/>
        <v>#NUM!</v>
      </c>
      <c r="GC72" s="22" t="e">
        <f t="shared" si="79"/>
        <v>#NUM!</v>
      </c>
      <c r="GD72" s="62" t="e">
        <f t="shared" si="80"/>
        <v>#NUM!</v>
      </c>
      <c r="GE72" s="62">
        <f ca="1">AVERAGE(OFFSET($GD$3,0,0,'Données projet'!$E$17+1,1))-AVERAGE(OFFSET($H$3,0,0,'Données projet'!$E$17+1,1))</f>
        <v>277.37570531842186</v>
      </c>
      <c r="GF72" s="62">
        <f t="shared" si="104"/>
        <v>310.00874200911312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projet'!$B$17,Paramètres!$A$1:$I$89,3,0)*0.475*44/12</f>
        <v>120.80264902006554</v>
      </c>
      <c r="GM72" s="23">
        <f>EXP(-LN(2)/25)*GM71+(1-EXP(-LN(2)/25))/(LN(2)/25)*Calculateur!GH72*Calculateur!GJ72*VLOOKUP('Données projet'!$B$17,Paramètres!$A$1:$I$89,3,0)*0.475*44/12</f>
        <v>0</v>
      </c>
      <c r="GN72" s="23">
        <f>EXP(-LN(2)/2)*GN71+(1-EXP(-LN(2)/2))/(LN(2)/2)*GH72*GK72*VLOOKUP('Données projet'!$B$17,Paramètres!$A$1:$I$89,3,0)*0.475*44/12</f>
        <v>0</v>
      </c>
      <c r="GO72" s="23">
        <f t="shared" si="81"/>
        <v>120.80264902006554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220</v>
      </c>
      <c r="L73" s="13">
        <f>VLOOKUP(A73,'Données projet'!$A$35:$I$55,9,0)</f>
        <v>8.125</v>
      </c>
      <c r="M73" s="13">
        <f t="array" ref="M73">INDEX(L:L,MIN(IF(ISNUMBER(L73:L269),ROW(L73:L269),"")))</f>
        <v>8.125</v>
      </c>
      <c r="N73" s="14">
        <f>IF('Données projet'!$A$36&gt;35,N72+M73-V72,IF(A73&lt;'Données projet'!$A$36,$K$205^A73,IF(A73='Données projet'!$A$36,'Données projet'!$B$36,N72+M73-V72)))</f>
        <v>220.00000000000017</v>
      </c>
      <c r="O73" s="14">
        <f>N73*VLOOKUP('Données projet'!$B$9,Paramètres!$A$1:$I$89,3,0)*VLOOKUP('Données projet'!$B$9,Paramètres!$A$1:$I$89,5,0)</f>
        <v>192.19200000000018</v>
      </c>
      <c r="P73" s="14">
        <f t="shared" si="87"/>
        <v>48.024248921932482</v>
      </c>
      <c r="Q73" s="22">
        <f t="shared" si="54"/>
        <v>418.37663353903275</v>
      </c>
      <c r="R73" s="62">
        <f t="shared" si="55"/>
        <v>684.78217767604224</v>
      </c>
      <c r="S73" s="62">
        <f ca="1">AVERAGE(OFFSET($R$3,0,0,'Données projet'!$E$9+1,1))-AVERAGE(OFFSET($H$3,0,0,'Données projet'!$E$9+1,1))</f>
        <v>401.34220206028908</v>
      </c>
      <c r="T73" s="62">
        <f t="shared" si="88"/>
        <v>265.33314259106987</v>
      </c>
      <c r="U73" s="16">
        <f>IF(ISNA(VLOOKUP(A73,'Données projet'!$A$35:$I$55,3,0)),0,VLOOKUP(A73,'Données projet'!$A$35:$I$55,3,0))</f>
        <v>6</v>
      </c>
      <c r="V73" s="16">
        <f>IF(ISNA(VLOOKUP(A73,'Données projet'!$A$35:$I$55,4,0)),0,VLOOKUP(A73,'Données projet'!$A$35:$I$55,4,0))</f>
        <v>53</v>
      </c>
      <c r="W73" s="17">
        <f>IF(ISNA(VLOOKUP(A73,'Données projet'!$A$35:$I$55,5,0)),0%,VLOOKUP(A73,'Données projet'!$A$35:$I$55,5,0)*VLOOKUP('Données projet'!$B$9,Paramètres!$A$1:$I$89,7,0))</f>
        <v>0.30099999999999999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31.646253675288463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31.646253675288463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284</v>
      </c>
      <c r="AG73" s="13">
        <f>VLOOKUP(A73,'Données projet'!$A$61:$I$81,9,0)</f>
        <v>7.5</v>
      </c>
      <c r="AH73" s="13">
        <f t="array" ref="AH73">INDEX(AG:AG,MIN(IF(ISNUMBER(AG73:AG269),ROW(AG73:AG269),"")))</f>
        <v>7.5</v>
      </c>
      <c r="AI73" s="14">
        <f>IF('Données projet'!$A$62&gt;35,AI72+AH73-AQ72,IF(A73&lt;'Données projet'!$A$62,$AF$205^A73,IF(A73='Données projet'!$A$62,'Données projet'!$B$62,AI72+AH73-AQ72)))</f>
        <v>284.00000000000006</v>
      </c>
      <c r="AJ73" s="14">
        <f>AI73*VLOOKUP('Données projet'!$B$10,Paramètres!$A$1:$I$89,3,0)*VLOOKUP('Données projet'!$B$10,Paramètres!$A$1:$I$89,5,0)</f>
        <v>132.91200000000003</v>
      </c>
      <c r="AK73" s="14">
        <f t="shared" si="89"/>
        <v>34.668367043546574</v>
      </c>
      <c r="AL73" s="22">
        <f t="shared" si="58"/>
        <v>291.86913926751032</v>
      </c>
      <c r="AM73" s="62">
        <f t="shared" si="59"/>
        <v>558.27468340451981</v>
      </c>
      <c r="AN73" s="62">
        <f ca="1">AVERAGE(OFFSET($AM$3,0,0,'Données projet'!$E$10+1,1))-AVERAGE(OFFSET($H$3,0,0,'Données projet'!$E$10+1,1))</f>
        <v>253.48761861464732</v>
      </c>
      <c r="AO73" s="62">
        <f t="shared" si="90"/>
        <v>219.50855998133855</v>
      </c>
      <c r="AP73" s="16">
        <f>IF(ISNA(VLOOKUP(A73,'Données projet'!$A$61:$I$81,3,0)),0,VLOOKUP(A73,'Données projet'!$A$61:$I$81,3,0))</f>
        <v>6</v>
      </c>
      <c r="AQ73" s="16">
        <f>IF(ISNA(VLOOKUP(A73,'Données projet'!$A$61:$I$81,4,0)),0,VLOOKUP(A73,'Données projet'!$A$61:$I$81,4,0))</f>
        <v>57</v>
      </c>
      <c r="AR73" s="17">
        <f>IF(ISNA(VLOOKUP(A73,'Données projet'!$A$61:$I$81,5,0)),0%,VLOOKUP(A73,'Données projet'!$A$61:$I$81,5,0)*VLOOKUP('Données projet'!$B$10,Paramètres!$A$1:$I$89,7,0))</f>
        <v>0.38500000000000001</v>
      </c>
      <c r="AS73" s="17">
        <f>IF(ISNA(VLOOKUP(A73,'Données projet'!$A$61:$I$81,6,0)),0%,VLOOKUP(A73,'Données projet'!$A$61:$I$81,6,0)*VLOOKUP('Données projet'!$B$10,Paramètres!$A$1:$I$89,7,0))</f>
        <v>9.3500000000000014E-2</v>
      </c>
      <c r="AT73" s="17">
        <f>IF(ISNA(VLOOKUP(A73,'Données projet'!$A$61:$I$81,7,0)),0%,VLOOKUP(A73,'Données projet'!$A$61:$I$81,7,0))</f>
        <v>0.13</v>
      </c>
      <c r="AU73" s="23">
        <f>EXP(-LN(2)/35)*AU72+(1-EXP(-LN(2)/35))/(LN(2)/35)*AQ73*AR73*VLOOKUP('Données projet'!$B$10,Paramètres!$A$1:$I$89,3,0)*0.475*44/12</f>
        <v>39.559942242180433</v>
      </c>
      <c r="AV73" s="23">
        <f>EXP(-LN(2)/25)*AV72+(1-EXP(-LN(2)/25))/(LN(2)/25)*Calculateur!AQ73*Calculateur!AS73*VLOOKUP('Données projet'!$B$10,Paramètres!$A$1:$I$89,3,0)*0.475*44/12</f>
        <v>9.7366140122411586</v>
      </c>
      <c r="AW73" s="23">
        <f>EXP(-LN(2)/2)*AW72+(1-EXP(-LN(2)/2))/(LN(2)/2)*AQ73*AT73*VLOOKUP('Données projet'!$B$10,Paramètres!$A$1:$I$89,3,0)*0.475*44/12</f>
        <v>4.0414952417327852</v>
      </c>
      <c r="AX73" s="23">
        <f t="shared" si="60"/>
        <v>53.338051496154371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>
        <f>BD73*VLOOKUP('Données projet'!$B$11,Paramètres!$A$1:$I$89,3,0)*VLOOKUP('Données projet'!$B$11,Paramètres!$A$1:$I$89,5,0)</f>
        <v>0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482.85256243111911</v>
      </c>
      <c r="BJ73" s="62">
        <f t="shared" si="92"/>
        <v>517.78430032567064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97.068423707092109</v>
      </c>
      <c r="BQ73" s="23">
        <f>EXP(-LN(2)/25)*BQ72+(1-EXP(-LN(2)/25))/(LN(2)/25)*Calculateur!BL73*Calculateur!BN73*VLOOKUP('Données projet'!$B$11,Paramètres!$A$1:$I$89,3,0)*0.475*44/12</f>
        <v>22.825099392430975</v>
      </c>
      <c r="BR73" s="23">
        <f>EXP(-LN(2)/2)*BR72+(1-EXP(-LN(2)/2))/(LN(2)/2)*BL73*BO73*VLOOKUP('Données projet'!$B$11,Paramètres!$A$1:$I$89,3,0)*0.475*44/12</f>
        <v>1.8204958561642799</v>
      </c>
      <c r="BS73" s="24">
        <f t="shared" si="63"/>
        <v>121.71401895568737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>
        <f>BY73*VLOOKUP('Données projet'!$B$12,Paramètres!$A$1:$I$89,3,0)*VLOOKUP('Données projet'!$B$12,Paramètres!$A$1:$I$89,5,0)</f>
        <v>0</v>
      </c>
      <c r="CA73" s="14" t="e">
        <f t="shared" si="93"/>
        <v>#NUM!</v>
      </c>
      <c r="CB73" s="22" t="e">
        <f t="shared" si="64"/>
        <v>#NUM!</v>
      </c>
      <c r="CC73" s="62" t="e">
        <f t="shared" si="65"/>
        <v>#NUM!</v>
      </c>
      <c r="CD73" s="62">
        <f ca="1">AVERAGE(OFFSET($CC$3,0,0,'Données projet'!$E$12+1,1))-AVERAGE(OFFSET($H$3,0,0,'Données projet'!$E$12+1,1))</f>
        <v>275.76900776033335</v>
      </c>
      <c r="CE73" s="62">
        <f t="shared" si="94"/>
        <v>299.36898480605191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93.023906052629954</v>
      </c>
      <c r="CL73" s="23">
        <f>EXP(-LN(2)/25)*CL72+(1-EXP(-LN(2)/25))/(LN(2)/25)*Calculateur!CG73*Calculateur!CI73*VLOOKUP('Données projet'!$B$12,Paramètres!$A$1:$I$89,3,0)*0.475*44/12</f>
        <v>21.874053584413016</v>
      </c>
      <c r="CM73" s="23">
        <f>EXP(-LN(2)/2)*CM72+(1-EXP(-LN(2)/2))/(LN(2)/2)*CG73*CJ73*VLOOKUP('Données projet'!$B$12,Paramètres!$A$1:$I$89,3,0)*0.475*44/12</f>
        <v>1.7446418621574344</v>
      </c>
      <c r="CN73" s="24">
        <f t="shared" si="66"/>
        <v>116.64260149920041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220</v>
      </c>
      <c r="CR73" s="13">
        <f>VLOOKUP(A73,'Données projet'!$A$139:$I$159,9,0)</f>
        <v>8.125</v>
      </c>
      <c r="CS73" s="13">
        <f t="array" ref="CS73">INDEX(CR:CR,MIN(IF(ISNUMBER(CR73:CR269),ROW(CR73:CR269),"")))</f>
        <v>8.125</v>
      </c>
      <c r="CT73" s="13">
        <f>IF('Données projet'!$A$140&gt;35,CT72+CS73-DB72,IF(A73&lt;'Données projet'!$A$140,$CQ$205^A73,IF(A73='Données projet'!$A$140,'Données projet'!$B$140,CT72+CS73-DB72)))</f>
        <v>220.00000000000017</v>
      </c>
      <c r="CU73" s="18">
        <f>CT73*VLOOKUP('Données projet'!$B$13,Paramètres!$A$1:$I$89,3,0)*VLOOKUP('Données projet'!$B$13,Paramètres!$A$1:$I$89,5,0)</f>
        <v>240.24000000000018</v>
      </c>
      <c r="CV73" s="14">
        <f t="shared" si="95"/>
        <v>58.491164647183183</v>
      </c>
      <c r="CW73" s="22">
        <f t="shared" si="67"/>
        <v>520.29011176051108</v>
      </c>
      <c r="CX73" s="62">
        <f t="shared" si="68"/>
        <v>786.69565589752051</v>
      </c>
      <c r="CY73" s="62">
        <f ca="1">AVERAGE(OFFSET($CX$3,0,0,'Données projet'!$E$13+1,1))-AVERAGE(OFFSET($H$3,0,0,'Données projet'!$E$13+1,1))</f>
        <v>482.24068797679558</v>
      </c>
      <c r="CZ73" s="62">
        <f t="shared" si="96"/>
        <v>316.28941055521693</v>
      </c>
      <c r="DA73" s="16">
        <f>IF(ISNA(VLOOKUP(A73,'Données projet'!$A$139:$I$159,3,0)),0,VLOOKUP(A73,'Données projet'!$A$139:$I$159,3,0))</f>
        <v>6</v>
      </c>
      <c r="DB73" s="16">
        <f>IF(ISNA(VLOOKUP(A73,'Données projet'!$A$139:$I$159,4,0)),0,VLOOKUP(A73,'Données projet'!$A$139:$I$159,4,0))</f>
        <v>53</v>
      </c>
      <c r="DC73" s="17">
        <f>IF(ISNA(VLOOKUP(A73,'Données projet'!$A$139:$I$159,5,0)),0%,VLOOKUP(A73,'Données projet'!$A$139:$I$159,5,0)*VLOOKUP('Données projet'!$B$13,Paramètres!$A$1:$I$89,7,0))</f>
        <v>0.30099999999999999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39.557817094110568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39.557817094110568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-1.7053025658242404E-13</v>
      </c>
      <c r="DP73" s="18">
        <f>DO73*VLOOKUP('Données projet'!$B$14,Paramètres!$A$1:$I$89,3,0)*VLOOKUP('Données projet'!$B$14,Paramètres!$A$1:$I$89,5,0)</f>
        <v>-1.383341441396624E-13</v>
      </c>
      <c r="DQ73" s="14" t="e">
        <f t="shared" si="97"/>
        <v>#NUM!</v>
      </c>
      <c r="DR73" s="22" t="e">
        <f t="shared" si="70"/>
        <v>#NUM!</v>
      </c>
      <c r="DS73" s="62" t="e">
        <f t="shared" si="71"/>
        <v>#NUM!</v>
      </c>
      <c r="DT73" s="62">
        <f ca="1">AVERAGE(OFFSET($DS$3,0,0,'Données projet'!$E$14+1,1))-AVERAGE(OFFSET($H$3,0,0,'Données projet'!$E$14+1,1))</f>
        <v>325.58538970226539</v>
      </c>
      <c r="DU73" s="62">
        <f t="shared" si="98"/>
        <v>361.81085660423457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116.19918308049751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116.19918308049751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176</v>
      </c>
      <c r="EH73" s="13">
        <f>VLOOKUP(A73,'Données projet'!$A$191:$I$211,9,0)</f>
        <v>6.5000000000000018</v>
      </c>
      <c r="EI73" s="13">
        <f t="array" ref="EI73">INDEX(EH:EH,MIN(IF(ISNUMBER(EH73:EH269),ROW(EH73:EH269),"")))</f>
        <v>6.5000000000000018</v>
      </c>
      <c r="EJ73" s="13">
        <f>IF('Données projet'!$A$192&gt;35,EJ72+EI73-ER72,IF(A73&lt;'Données projet'!$A$192,$EG$205^A73,IF(A73='Données projet'!$A$192,'Données projet'!$B$192,EJ72+EI73-ER72)))</f>
        <v>175.99999999999989</v>
      </c>
      <c r="EK73" s="18">
        <f>EJ73*VLOOKUP('Données projet'!$B$15,Paramètres!$A$1:$I$89,3,0)*VLOOKUP('Données projet'!$B$15,Paramètres!$A$1:$I$89,5,0)</f>
        <v>170.2271999999999</v>
      </c>
      <c r="EL73" s="14">
        <f t="shared" si="99"/>
        <v>43.140904871338343</v>
      </c>
      <c r="EM73" s="22">
        <f t="shared" si="73"/>
        <v>371.61611598424741</v>
      </c>
      <c r="EN73" s="62">
        <f t="shared" si="74"/>
        <v>638.0216601212569</v>
      </c>
      <c r="EO73" s="62">
        <f ca="1">AVERAGE(OFFSET($EN$3,0,0,'Données projet'!$E$15+1,1))-AVERAGE(OFFSET($H$3,0,0,'Données projet'!$E$15+1,1))</f>
        <v>364.22267539944085</v>
      </c>
      <c r="EP73" s="62">
        <f t="shared" si="100"/>
        <v>241.947139538615</v>
      </c>
      <c r="EQ73" s="16">
        <f>IF(ISNA(VLOOKUP(A73,'Données projet'!$A$191:$I$211,3,0)),0,VLOOKUP(A73,'Données projet'!$A$191:$I$211,3,0))</f>
        <v>6</v>
      </c>
      <c r="ER73" s="16">
        <f>IF(ISNA(VLOOKUP(A73,'Données projet'!$A$191:$I$211,4,0)),0,VLOOKUP(A73,'Données projet'!$A$191:$I$211,4,0))</f>
        <v>42.4</v>
      </c>
      <c r="ES73" s="17">
        <f>IF(ISNA(VLOOKUP(A73,'Données projet'!$A$191:$I$211,5,0)),0%,VLOOKUP(A73,'Données projet'!$A$191:$I$211,5,0)*VLOOKUP('Données projet'!$B$15,Paramètres!$A$1:$I$89,7,0))</f>
        <v>0.30099999999999999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28.0295389695412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28.0295389695412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-1.7053025658242404E-13</v>
      </c>
      <c r="FF73" s="18">
        <f>FE73*VLOOKUP('Données projet'!$B$16,Paramètres!$A$1:$I$89,3,0)*VLOOKUP('Données projet'!$B$16,Paramètres!$A$1:$I$89,5,0)</f>
        <v>-1.4897523215040567E-13</v>
      </c>
      <c r="FG73" s="14" t="e">
        <f t="shared" si="101"/>
        <v>#NUM!</v>
      </c>
      <c r="FH73" s="22" t="e">
        <f t="shared" si="76"/>
        <v>#NUM!</v>
      </c>
      <c r="FI73" s="62" t="e">
        <f t="shared" si="77"/>
        <v>#NUM!</v>
      </c>
      <c r="FJ73" s="62">
        <f ca="1">AVERAGE(OFFSET($FI$3,0,0,'Données projet'!$E$16+1,1))-AVERAGE(OFFSET($H$3,0,0,'Données projet'!$E$16+1,1))</f>
        <v>286.59837239471312</v>
      </c>
      <c r="FK73" s="62">
        <f t="shared" si="102"/>
        <v>319.26091328564689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100.85632822196132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100.85632822196132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-1.7053025658242404E-13</v>
      </c>
      <c r="GA73" s="18">
        <f>FZ73*VLOOKUP('Données projet'!$B$17,Paramètres!$A$1:$I$89,3,0)*VLOOKUP('Données projet'!$B$17,Paramètres!$A$1:$I$89,5,0)</f>
        <v>-1.1439169611549005E-13</v>
      </c>
      <c r="GB73" s="14" t="e">
        <f t="shared" si="103"/>
        <v>#NUM!</v>
      </c>
      <c r="GC73" s="22" t="e">
        <f t="shared" si="79"/>
        <v>#NUM!</v>
      </c>
      <c r="GD73" s="62" t="e">
        <f t="shared" si="80"/>
        <v>#NUM!</v>
      </c>
      <c r="GE73" s="62">
        <f ca="1">AVERAGE(OFFSET($GD$3,0,0,'Données projet'!$E$17+1,1))-AVERAGE(OFFSET($H$3,0,0,'Données projet'!$E$17+1,1))</f>
        <v>277.37570531842186</v>
      </c>
      <c r="GF73" s="62">
        <f t="shared" si="104"/>
        <v>310.00874200911312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projet'!$B$17,Paramètres!$A$1:$I$89,3,0)*0.475*44/12</f>
        <v>118.43378275512244</v>
      </c>
      <c r="GM73" s="23">
        <f>EXP(-LN(2)/25)*GM72+(1-EXP(-LN(2)/25))/(LN(2)/25)*Calculateur!GH73*Calculateur!GJ73*VLOOKUP('Données projet'!$B$17,Paramètres!$A$1:$I$89,3,0)*0.475*44/12</f>
        <v>0</v>
      </c>
      <c r="GN73" s="23">
        <f>EXP(-LN(2)/2)*GN72+(1-EXP(-LN(2)/2))/(LN(2)/2)*GH73*GK73*VLOOKUP('Données projet'!$B$17,Paramètres!$A$1:$I$89,3,0)*0.475*44/12</f>
        <v>0</v>
      </c>
      <c r="GO73" s="23">
        <f t="shared" si="81"/>
        <v>118.43378275512244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7.5</v>
      </c>
      <c r="N74" s="14">
        <f>IF('Données projet'!$A$36&gt;35,N73+M74-V73,IF(A74&lt;'Données projet'!$A$36,$K$205^A74,IF(A74='Données projet'!$A$36,'Données projet'!$B$36,N73+M74-V73)))</f>
        <v>174.50000000000017</v>
      </c>
      <c r="O74" s="14">
        <f>N74*VLOOKUP('Données projet'!$B$9,Paramètres!$A$1:$I$89,3,0)*VLOOKUP('Données projet'!$B$9,Paramètres!$A$1:$I$89,5,0)</f>
        <v>152.44320000000016</v>
      </c>
      <c r="P74" s="14">
        <f t="shared" si="87"/>
        <v>39.133288418096349</v>
      </c>
      <c r="Q74" s="22">
        <f t="shared" si="54"/>
        <v>333.66238399485144</v>
      </c>
      <c r="R74" s="62">
        <f t="shared" si="55"/>
        <v>600.53506507289944</v>
      </c>
      <c r="S74" s="62">
        <f ca="1">AVERAGE(OFFSET($R$3,0,0,'Données projet'!$E$9+1,1))-AVERAGE(OFFSET($H$3,0,0,'Données projet'!$E$9+1,1))</f>
        <v>401.34220206028908</v>
      </c>
      <c r="T74" s="62">
        <f t="shared" si="88"/>
        <v>265.33314259106987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31.025689943024855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31.025689943024855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7.7</v>
      </c>
      <c r="AI74" s="14">
        <f>IF('Données projet'!$A$62&gt;35,AI73+AH74-AQ73,IF(A74&lt;'Données projet'!$A$62,$AF$205^A74,IF(A74='Données projet'!$A$62,'Données projet'!$B$62,AI73+AH74-AQ73)))</f>
        <v>234.70000000000005</v>
      </c>
      <c r="AJ74" s="14">
        <f>AI74*VLOOKUP('Données projet'!$B$10,Paramètres!$A$1:$I$89,3,0)*VLOOKUP('Données projet'!$B$10,Paramètres!$A$1:$I$89,5,0)</f>
        <v>109.83960000000003</v>
      </c>
      <c r="AK74" s="14">
        <f t="shared" si="89"/>
        <v>29.293189872523993</v>
      </c>
      <c r="AL74" s="22">
        <f t="shared" si="58"/>
        <v>242.3229423613127</v>
      </c>
      <c r="AM74" s="62">
        <f t="shared" si="59"/>
        <v>509.19562343936065</v>
      </c>
      <c r="AN74" s="62">
        <f ca="1">AVERAGE(OFFSET($AM$3,0,0,'Données projet'!$E$10+1,1))-AVERAGE(OFFSET($H$3,0,0,'Données projet'!$E$10+1,1))</f>
        <v>253.48761861464732</v>
      </c>
      <c r="AO74" s="62">
        <f t="shared" si="90"/>
        <v>219.50855998133855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38.784195903993485</v>
      </c>
      <c r="AV74" s="23">
        <f>EXP(-LN(2)/25)*AV73+(1-EXP(-LN(2)/25))/(LN(2)/25)*Calculateur!AQ74*Calculateur!AS74*VLOOKUP('Données projet'!$B$10,Paramètres!$A$1:$I$89,3,0)*0.475*44/12</f>
        <v>9.4703657900501472</v>
      </c>
      <c r="AW74" s="23">
        <f>EXP(-LN(2)/2)*AW73+(1-EXP(-LN(2)/2))/(LN(2)/2)*AQ74*AT74*VLOOKUP('Données projet'!$B$10,Paramètres!$A$1:$I$89,3,0)*0.475*44/12</f>
        <v>2.8577686915624176</v>
      </c>
      <c r="AX74" s="23">
        <f t="shared" si="60"/>
        <v>51.11233038560605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>
        <f>BD74*VLOOKUP('Données projet'!$B$11,Paramètres!$A$1:$I$89,3,0)*VLOOKUP('Données projet'!$B$11,Paramètres!$A$1:$I$89,5,0)</f>
        <v>0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482.85256243111911</v>
      </c>
      <c r="BJ74" s="62">
        <f t="shared" si="92"/>
        <v>517.78430032567064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95.164971124088396</v>
      </c>
      <c r="BQ74" s="23">
        <f>EXP(-LN(2)/25)*BQ73+(1-EXP(-LN(2)/25))/(LN(2)/25)*Calculateur!BL74*Calculateur!BN74*VLOOKUP('Données projet'!$B$11,Paramètres!$A$1:$I$89,3,0)*0.475*44/12</f>
        <v>22.200945849225139</v>
      </c>
      <c r="BR74" s="23">
        <f>EXP(-LN(2)/2)*BR73+(1-EXP(-LN(2)/2))/(LN(2)/2)*BL74*BO74*VLOOKUP('Données projet'!$B$11,Paramètres!$A$1:$I$89,3,0)*0.475*44/12</f>
        <v>1.2872849650157721</v>
      </c>
      <c r="BS74" s="24">
        <f t="shared" si="63"/>
        <v>118.6532019383293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>
        <f>BY74*VLOOKUP('Données projet'!$B$12,Paramètres!$A$1:$I$89,3,0)*VLOOKUP('Données projet'!$B$12,Paramètres!$A$1:$I$89,5,0)</f>
        <v>0</v>
      </c>
      <c r="CA74" s="14" t="e">
        <f t="shared" si="93"/>
        <v>#NUM!</v>
      </c>
      <c r="CB74" s="22" t="e">
        <f t="shared" si="64"/>
        <v>#NUM!</v>
      </c>
      <c r="CC74" s="62" t="e">
        <f t="shared" si="65"/>
        <v>#NUM!</v>
      </c>
      <c r="CD74" s="62">
        <f ca="1">AVERAGE(OFFSET($CC$3,0,0,'Données projet'!$E$12+1,1))-AVERAGE(OFFSET($H$3,0,0,'Données projet'!$E$12+1,1))</f>
        <v>275.76900776033335</v>
      </c>
      <c r="CE74" s="62">
        <f t="shared" si="94"/>
        <v>299.36898480605191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91.199763993918069</v>
      </c>
      <c r="CL74" s="23">
        <f>EXP(-LN(2)/25)*CL73+(1-EXP(-LN(2)/25))/(LN(2)/25)*Calculateur!CG74*Calculateur!CI74*VLOOKUP('Données projet'!$B$12,Paramètres!$A$1:$I$89,3,0)*0.475*44/12</f>
        <v>21.275906438840757</v>
      </c>
      <c r="CM74" s="23">
        <f>EXP(-LN(2)/2)*CM73+(1-EXP(-LN(2)/2))/(LN(2)/2)*CG74*CJ74*VLOOKUP('Données projet'!$B$12,Paramètres!$A$1:$I$89,3,0)*0.475*44/12</f>
        <v>1.2336480914734478</v>
      </c>
      <c r="CN74" s="24">
        <f t="shared" si="66"/>
        <v>113.70931852423226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7.5</v>
      </c>
      <c r="CT74" s="13">
        <f>IF('Données projet'!$A$140&gt;35,CT73+CS74-DB73,IF(A74&lt;'Données projet'!$A$140,$CQ$205^A74,IF(A74='Données projet'!$A$140,'Données projet'!$B$140,CT73+CS74-DB73)))</f>
        <v>174.50000000000017</v>
      </c>
      <c r="CU74" s="18">
        <f>CT74*VLOOKUP('Données projet'!$B$13,Paramètres!$A$1:$I$89,3,0)*VLOOKUP('Données projet'!$B$13,Paramètres!$A$1:$I$89,5,0)</f>
        <v>190.55400000000017</v>
      </c>
      <c r="CV74" s="14">
        <f t="shared" si="95"/>
        <v>47.662413622948378</v>
      </c>
      <c r="CW74" s="22">
        <f t="shared" si="67"/>
        <v>414.8935870599687</v>
      </c>
      <c r="CX74" s="62">
        <f t="shared" si="68"/>
        <v>681.76626813801658</v>
      </c>
      <c r="CY74" s="62">
        <f ca="1">AVERAGE(OFFSET($CX$3,0,0,'Données projet'!$E$13+1,1))-AVERAGE(OFFSET($H$3,0,0,'Données projet'!$E$13+1,1))</f>
        <v>482.24068797679558</v>
      </c>
      <c r="CZ74" s="62">
        <f t="shared" si="96"/>
        <v>316.28941055521693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38.782112428781055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38.782112428781055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-1.7053025658242404E-13</v>
      </c>
      <c r="DP74" s="18">
        <f>DO74*VLOOKUP('Données projet'!$B$14,Paramètres!$A$1:$I$89,3,0)*VLOOKUP('Données projet'!$B$14,Paramètres!$A$1:$I$89,5,0)</f>
        <v>-1.383341441396624E-13</v>
      </c>
      <c r="DQ74" s="14" t="e">
        <f t="shared" si="97"/>
        <v>#NUM!</v>
      </c>
      <c r="DR74" s="22" t="e">
        <f t="shared" si="70"/>
        <v>#NUM!</v>
      </c>
      <c r="DS74" s="62" t="e">
        <f t="shared" si="71"/>
        <v>#NUM!</v>
      </c>
      <c r="DT74" s="62">
        <f ca="1">AVERAGE(OFFSET($DS$3,0,0,'Données projet'!$E$14+1,1))-AVERAGE(OFFSET($H$3,0,0,'Données projet'!$E$14+1,1))</f>
        <v>325.58538970226539</v>
      </c>
      <c r="DU74" s="62">
        <f t="shared" si="98"/>
        <v>361.81085660423457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113.92058797479235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113.92058797479235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6</v>
      </c>
      <c r="EJ74" s="13">
        <f>IF('Données projet'!$A$192&gt;35,EJ73+EI74-ER73,IF(A74&lt;'Données projet'!$A$192,$EG$205^A74,IF(A74='Données projet'!$A$192,'Données projet'!$B$192,EJ73+EI74-ER73)))</f>
        <v>139.59999999999988</v>
      </c>
      <c r="EK74" s="18">
        <f>EJ74*VLOOKUP('Données projet'!$B$15,Paramètres!$A$1:$I$89,3,0)*VLOOKUP('Données projet'!$B$15,Paramètres!$A$1:$I$89,5,0)</f>
        <v>135.02111999999988</v>
      </c>
      <c r="EL74" s="14">
        <f t="shared" si="99"/>
        <v>35.154021371414409</v>
      </c>
      <c r="EM74" s="22">
        <f t="shared" si="73"/>
        <v>296.38837122187988</v>
      </c>
      <c r="EN74" s="62">
        <f t="shared" si="74"/>
        <v>563.26105229992777</v>
      </c>
      <c r="EO74" s="62">
        <f ca="1">AVERAGE(OFFSET($EN$3,0,0,'Données projet'!$E$15+1,1))-AVERAGE(OFFSET($H$3,0,0,'Données projet'!$E$15+1,1))</f>
        <v>364.22267539944085</v>
      </c>
      <c r="EP74" s="62">
        <f t="shared" si="100"/>
        <v>241.947139538615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27.479896806679147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27.479896806679147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-1.7053025658242404E-13</v>
      </c>
      <c r="FF74" s="18">
        <f>FE74*VLOOKUP('Données projet'!$B$16,Paramètres!$A$1:$I$89,3,0)*VLOOKUP('Données projet'!$B$16,Paramètres!$A$1:$I$89,5,0)</f>
        <v>-1.4897523215040567E-13</v>
      </c>
      <c r="FG74" s="14" t="e">
        <f t="shared" si="101"/>
        <v>#NUM!</v>
      </c>
      <c r="FH74" s="22" t="e">
        <f t="shared" si="76"/>
        <v>#NUM!</v>
      </c>
      <c r="FI74" s="62" t="e">
        <f t="shared" si="77"/>
        <v>#NUM!</v>
      </c>
      <c r="FJ74" s="62">
        <f ca="1">AVERAGE(OFFSET($FI$3,0,0,'Données projet'!$E$16+1,1))-AVERAGE(OFFSET($H$3,0,0,'Données projet'!$E$16+1,1))</f>
        <v>286.59837239471312</v>
      </c>
      <c r="FK74" s="62">
        <f t="shared" si="102"/>
        <v>319.26091328564689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98.878597141814652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98.878597141814652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-1.7053025658242404E-13</v>
      </c>
      <c r="GA74" s="18">
        <f>FZ74*VLOOKUP('Données projet'!$B$17,Paramètres!$A$1:$I$89,3,0)*VLOOKUP('Données projet'!$B$17,Paramètres!$A$1:$I$89,5,0)</f>
        <v>-1.1439169611549005E-13</v>
      </c>
      <c r="GB74" s="14" t="e">
        <f t="shared" si="103"/>
        <v>#NUM!</v>
      </c>
      <c r="GC74" s="22" t="e">
        <f t="shared" si="79"/>
        <v>#NUM!</v>
      </c>
      <c r="GD74" s="62" t="e">
        <f t="shared" si="80"/>
        <v>#NUM!</v>
      </c>
      <c r="GE74" s="62">
        <f ca="1">AVERAGE(OFFSET($GD$3,0,0,'Données projet'!$E$17+1,1))-AVERAGE(OFFSET($H$3,0,0,'Données projet'!$E$17+1,1))</f>
        <v>277.37570531842186</v>
      </c>
      <c r="GF74" s="62">
        <f t="shared" si="104"/>
        <v>310.00874200911312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projet'!$B$17,Paramètres!$A$1:$I$89,3,0)*0.475*44/12</f>
        <v>116.1113685127691</v>
      </c>
      <c r="GM74" s="23">
        <f>EXP(-LN(2)/25)*GM73+(1-EXP(-LN(2)/25))/(LN(2)/25)*Calculateur!GH74*Calculateur!GJ74*VLOOKUP('Données projet'!$B$17,Paramètres!$A$1:$I$89,3,0)*0.475*44/12</f>
        <v>0</v>
      </c>
      <c r="GN74" s="23">
        <f>EXP(-LN(2)/2)*GN73+(1-EXP(-LN(2)/2))/(LN(2)/2)*GH74*GK74*VLOOKUP('Données projet'!$B$17,Paramètres!$A$1:$I$89,3,0)*0.475*44/12</f>
        <v>0</v>
      </c>
      <c r="GO74" s="23">
        <f t="shared" si="81"/>
        <v>116.1113685127691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7.5</v>
      </c>
      <c r="N75" s="14">
        <f>IF('Données projet'!$A$36&gt;35,N74+M75-V74,IF(A75&lt;'Données projet'!$A$36,$K$205^A75,IF(A75='Données projet'!$A$36,'Données projet'!$B$36,N74+M75-V74)))</f>
        <v>182.00000000000017</v>
      </c>
      <c r="O75" s="14">
        <f>N75*VLOOKUP('Données projet'!$B$9,Paramètres!$A$1:$I$89,3,0)*VLOOKUP('Données projet'!$B$9,Paramètres!$A$1:$I$89,5,0)</f>
        <v>158.99520000000015</v>
      </c>
      <c r="P75" s="14">
        <f t="shared" si="87"/>
        <v>40.615796933386079</v>
      </c>
      <c r="Q75" s="22">
        <f t="shared" si="54"/>
        <v>347.65581965898099</v>
      </c>
      <c r="R75" s="62">
        <f t="shared" si="55"/>
        <v>614.9875338965021</v>
      </c>
      <c r="S75" s="62">
        <f ca="1">AVERAGE(OFFSET($R$3,0,0,'Données projet'!$E$9+1,1))-AVERAGE(OFFSET($H$3,0,0,'Données projet'!$E$9+1,1))</f>
        <v>401.34220206028908</v>
      </c>
      <c r="T75" s="62">
        <f t="shared" si="88"/>
        <v>265.33314259106987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30.417295087044433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30.417295087044433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7.7</v>
      </c>
      <c r="AI75" s="14">
        <f>IF('Données projet'!$A$62&gt;35,AI74+AH75-AQ74,IF(A75&lt;'Données projet'!$A$62,$AF$205^A75,IF(A75='Données projet'!$A$62,'Données projet'!$B$62,AI74+AH75-AQ74)))</f>
        <v>242.40000000000003</v>
      </c>
      <c r="AJ75" s="14">
        <f>AI75*VLOOKUP('Données projet'!$B$10,Paramètres!$A$1:$I$89,3,0)*VLOOKUP('Données projet'!$B$10,Paramètres!$A$1:$I$89,5,0)</f>
        <v>113.44320000000002</v>
      </c>
      <c r="AK75" s="14">
        <f t="shared" si="89"/>
        <v>30.14076838607588</v>
      </c>
      <c r="AL75" s="22">
        <f t="shared" si="58"/>
        <v>250.07541160574885</v>
      </c>
      <c r="AM75" s="62">
        <f t="shared" si="59"/>
        <v>517.40712584327002</v>
      </c>
      <c r="AN75" s="62">
        <f ca="1">AVERAGE(OFFSET($AM$3,0,0,'Données projet'!$E$10+1,1))-AVERAGE(OFFSET($H$3,0,0,'Données projet'!$E$10+1,1))</f>
        <v>253.48761861464732</v>
      </c>
      <c r="AO75" s="62">
        <f t="shared" si="90"/>
        <v>219.50855998133855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38.023661478339832</v>
      </c>
      <c r="AV75" s="23">
        <f>EXP(-LN(2)/25)*AV74+(1-EXP(-LN(2)/25))/(LN(2)/25)*Calculateur!AQ75*Calculateur!AS75*VLOOKUP('Données projet'!$B$10,Paramètres!$A$1:$I$89,3,0)*0.475*44/12</f>
        <v>9.2113981394963336</v>
      </c>
      <c r="AW75" s="23">
        <f>EXP(-LN(2)/2)*AW74+(1-EXP(-LN(2)/2))/(LN(2)/2)*AQ75*AT75*VLOOKUP('Données projet'!$B$10,Paramètres!$A$1:$I$89,3,0)*0.475*44/12</f>
        <v>2.0207476208663926</v>
      </c>
      <c r="AX75" s="23">
        <f t="shared" si="60"/>
        <v>49.255807238702559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>
        <f>BD75*VLOOKUP('Données projet'!$B$11,Paramètres!$A$1:$I$89,3,0)*VLOOKUP('Données projet'!$B$11,Paramètres!$A$1:$I$89,5,0)</f>
        <v>0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482.85256243111911</v>
      </c>
      <c r="BJ75" s="62">
        <f t="shared" si="92"/>
        <v>517.78430032567064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93.298844085245946</v>
      </c>
      <c r="BQ75" s="23">
        <f>EXP(-LN(2)/25)*BQ74+(1-EXP(-LN(2)/25))/(LN(2)/25)*Calculateur!BL75*Calculateur!BN75*VLOOKUP('Données projet'!$B$11,Paramètres!$A$1:$I$89,3,0)*0.475*44/12</f>
        <v>21.593859817481075</v>
      </c>
      <c r="BR75" s="23">
        <f>EXP(-LN(2)/2)*BR74+(1-EXP(-LN(2)/2))/(LN(2)/2)*BL75*BO75*VLOOKUP('Données projet'!$B$11,Paramètres!$A$1:$I$89,3,0)*0.475*44/12</f>
        <v>0.91024792808214006</v>
      </c>
      <c r="BS75" s="24">
        <f t="shared" si="63"/>
        <v>115.80295183080916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>
        <f>BY75*VLOOKUP('Données projet'!$B$12,Paramètres!$A$1:$I$89,3,0)*VLOOKUP('Données projet'!$B$12,Paramètres!$A$1:$I$89,5,0)</f>
        <v>0</v>
      </c>
      <c r="CA75" s="14" t="e">
        <f t="shared" si="93"/>
        <v>#NUM!</v>
      </c>
      <c r="CB75" s="22" t="e">
        <f t="shared" si="64"/>
        <v>#NUM!</v>
      </c>
      <c r="CC75" s="62" t="e">
        <f t="shared" si="65"/>
        <v>#NUM!</v>
      </c>
      <c r="CD75" s="62">
        <f ca="1">AVERAGE(OFFSET($CC$3,0,0,'Données projet'!$E$12+1,1))-AVERAGE(OFFSET($H$3,0,0,'Données projet'!$E$12+1,1))</f>
        <v>275.76900776033335</v>
      </c>
      <c r="CE75" s="62">
        <f t="shared" si="94"/>
        <v>299.36898480605191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89.411392248360727</v>
      </c>
      <c r="CL75" s="23">
        <f>EXP(-LN(2)/25)*CL74+(1-EXP(-LN(2)/25))/(LN(2)/25)*Calculateur!CG75*Calculateur!CI75*VLOOKUP('Données projet'!$B$12,Paramètres!$A$1:$I$89,3,0)*0.475*44/12</f>
        <v>20.694115658419364</v>
      </c>
      <c r="CM75" s="23">
        <f>EXP(-LN(2)/2)*CM74+(1-EXP(-LN(2)/2))/(LN(2)/2)*CG75*CJ75*VLOOKUP('Données projet'!$B$12,Paramètres!$A$1:$I$89,3,0)*0.475*44/12</f>
        <v>0.87232093107871722</v>
      </c>
      <c r="CN75" s="24">
        <f t="shared" si="66"/>
        <v>110.97782883785881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7.5</v>
      </c>
      <c r="CT75" s="13">
        <f>IF('Données projet'!$A$140&gt;35,CT74+CS75-DB74,IF(A75&lt;'Données projet'!$A$140,$CQ$205^A75,IF(A75='Données projet'!$A$140,'Données projet'!$B$140,CT74+CS75-DB74)))</f>
        <v>182.00000000000017</v>
      </c>
      <c r="CU75" s="18">
        <f>CT75*VLOOKUP('Données projet'!$B$13,Paramètres!$A$1:$I$89,3,0)*VLOOKUP('Données projet'!$B$13,Paramètres!$A$1:$I$89,5,0)</f>
        <v>198.74400000000017</v>
      </c>
      <c r="CV75" s="14">
        <f t="shared" si="95"/>
        <v>49.46803581601224</v>
      </c>
      <c r="CW75" s="22">
        <f t="shared" si="67"/>
        <v>432.30262904622163</v>
      </c>
      <c r="CX75" s="62">
        <f t="shared" si="68"/>
        <v>699.63434328374274</v>
      </c>
      <c r="CY75" s="62">
        <f ca="1">AVERAGE(OFFSET($CX$3,0,0,'Données projet'!$E$13+1,1))-AVERAGE(OFFSET($H$3,0,0,'Données projet'!$E$13+1,1))</f>
        <v>482.24068797679558</v>
      </c>
      <c r="CZ75" s="62">
        <f t="shared" si="96"/>
        <v>316.28941055521693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38.021618858805525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38.021618858805525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-1.7053025658242404E-13</v>
      </c>
      <c r="DP75" s="18">
        <f>DO75*VLOOKUP('Données projet'!$B$14,Paramètres!$A$1:$I$89,3,0)*VLOOKUP('Données projet'!$B$14,Paramètres!$A$1:$I$89,5,0)</f>
        <v>-1.383341441396624E-13</v>
      </c>
      <c r="DQ75" s="14" t="e">
        <f t="shared" si="97"/>
        <v>#NUM!</v>
      </c>
      <c r="DR75" s="22" t="e">
        <f t="shared" si="70"/>
        <v>#NUM!</v>
      </c>
      <c r="DS75" s="62" t="e">
        <f t="shared" si="71"/>
        <v>#NUM!</v>
      </c>
      <c r="DT75" s="62">
        <f ca="1">AVERAGE(OFFSET($DS$3,0,0,'Données projet'!$E$14+1,1))-AVERAGE(OFFSET($H$3,0,0,'Données projet'!$E$14+1,1))</f>
        <v>325.58538970226539</v>
      </c>
      <c r="DU75" s="62">
        <f t="shared" si="98"/>
        <v>361.81085660423457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111.6866747293043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111.6866747293043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6</v>
      </c>
      <c r="EJ75" s="13">
        <f>IF('Données projet'!$A$192&gt;35,EJ74+EI75-ER74,IF(A75&lt;'Données projet'!$A$192,$EG$205^A75,IF(A75='Données projet'!$A$192,'Données projet'!$B$192,EJ74+EI75-ER74)))</f>
        <v>145.59999999999988</v>
      </c>
      <c r="EK75" s="18">
        <f>EJ75*VLOOKUP('Données projet'!$B$15,Paramètres!$A$1:$I$89,3,0)*VLOOKUP('Données projet'!$B$15,Paramètres!$A$1:$I$89,5,0)</f>
        <v>140.82431999999989</v>
      </c>
      <c r="EL75" s="14">
        <f t="shared" si="99"/>
        <v>36.485781060837773</v>
      </c>
      <c r="EM75" s="22">
        <f t="shared" si="73"/>
        <v>308.81509268095891</v>
      </c>
      <c r="EN75" s="62">
        <f t="shared" si="74"/>
        <v>576.14680691848002</v>
      </c>
      <c r="EO75" s="62">
        <f ca="1">AVERAGE(OFFSET($EN$3,0,0,'Données projet'!$E$15+1,1))-AVERAGE(OFFSET($H$3,0,0,'Données projet'!$E$15+1,1))</f>
        <v>364.22267539944085</v>
      </c>
      <c r="EP75" s="62">
        <f t="shared" si="100"/>
        <v>241.947139538615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26.941032791382202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26.941032791382202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-1.7053025658242404E-13</v>
      </c>
      <c r="FF75" s="18">
        <f>FE75*VLOOKUP('Données projet'!$B$16,Paramètres!$A$1:$I$89,3,0)*VLOOKUP('Données projet'!$B$16,Paramètres!$A$1:$I$89,5,0)</f>
        <v>-1.4897523215040567E-13</v>
      </c>
      <c r="FG75" s="14" t="e">
        <f t="shared" si="101"/>
        <v>#NUM!</v>
      </c>
      <c r="FH75" s="22" t="e">
        <f t="shared" si="76"/>
        <v>#NUM!</v>
      </c>
      <c r="FI75" s="62" t="e">
        <f t="shared" si="77"/>
        <v>#NUM!</v>
      </c>
      <c r="FJ75" s="62">
        <f ca="1">AVERAGE(OFFSET($FI$3,0,0,'Données projet'!$E$16+1,1))-AVERAGE(OFFSET($H$3,0,0,'Données projet'!$E$16+1,1))</f>
        <v>286.59837239471312</v>
      </c>
      <c r="FK75" s="62">
        <f t="shared" si="102"/>
        <v>319.26091328564689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96.939648161852801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96.939648161852801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-1.7053025658242404E-13</v>
      </c>
      <c r="GA75" s="18">
        <f>FZ75*VLOOKUP('Données projet'!$B$17,Paramètres!$A$1:$I$89,3,0)*VLOOKUP('Données projet'!$B$17,Paramètres!$A$1:$I$89,5,0)</f>
        <v>-1.1439169611549005E-13</v>
      </c>
      <c r="GB75" s="14" t="e">
        <f t="shared" si="103"/>
        <v>#NUM!</v>
      </c>
      <c r="GC75" s="22" t="e">
        <f t="shared" si="79"/>
        <v>#NUM!</v>
      </c>
      <c r="GD75" s="62" t="e">
        <f t="shared" si="80"/>
        <v>#NUM!</v>
      </c>
      <c r="GE75" s="62">
        <f ca="1">AVERAGE(OFFSET($GD$3,0,0,'Données projet'!$E$17+1,1))-AVERAGE(OFFSET($H$3,0,0,'Données projet'!$E$17+1,1))</f>
        <v>277.37570531842186</v>
      </c>
      <c r="GF75" s="62">
        <f t="shared" si="104"/>
        <v>310.00874200911312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projet'!$B$17,Paramètres!$A$1:$I$89,3,0)*0.475*44/12</f>
        <v>113.8344953971755</v>
      </c>
      <c r="GM75" s="23">
        <f>EXP(-LN(2)/25)*GM74+(1-EXP(-LN(2)/25))/(LN(2)/25)*Calculateur!GH75*Calculateur!GJ75*VLOOKUP('Données projet'!$B$17,Paramètres!$A$1:$I$89,3,0)*0.475*44/12</f>
        <v>0</v>
      </c>
      <c r="GN75" s="23">
        <f>EXP(-LN(2)/2)*GN74+(1-EXP(-LN(2)/2))/(LN(2)/2)*GH75*GK75*VLOOKUP('Données projet'!$B$17,Paramètres!$A$1:$I$89,3,0)*0.475*44/12</f>
        <v>0</v>
      </c>
      <c r="GO75" s="23">
        <f t="shared" si="81"/>
        <v>113.8344953971755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7.5</v>
      </c>
      <c r="N76" s="14">
        <f>IF('Données projet'!$A$36&gt;35,N75+M76-V75,IF(A76&lt;'Données projet'!$A$36,$K$205^A76,IF(A76='Données projet'!$A$36,'Données projet'!$B$36,N75+M76-V75)))</f>
        <v>189.50000000000017</v>
      </c>
      <c r="O76" s="14">
        <f>N76*VLOOKUP('Données projet'!$B$9,Paramètres!$A$1:$I$89,3,0)*VLOOKUP('Données projet'!$B$9,Paramètres!$A$1:$I$89,5,0)</f>
        <v>165.54720000000017</v>
      </c>
      <c r="P76" s="14">
        <f t="shared" si="87"/>
        <v>42.091209201899815</v>
      </c>
      <c r="Q76" s="22">
        <f t="shared" si="54"/>
        <v>361.63689602664249</v>
      </c>
      <c r="R76" s="62">
        <f t="shared" si="55"/>
        <v>629.41968022456422</v>
      </c>
      <c r="S76" s="62">
        <f ca="1">AVERAGE(OFFSET($R$3,0,0,'Données projet'!$E$9+1,1))-AVERAGE(OFFSET($H$3,0,0,'Données projet'!$E$9+1,1))</f>
        <v>401.34220206028908</v>
      </c>
      <c r="T76" s="62">
        <f t="shared" si="88"/>
        <v>265.33314259106987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29.820830483105567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29.820830483105567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7.7</v>
      </c>
      <c r="AI76" s="14">
        <f>IF('Données projet'!$A$62&gt;35,AI75+AH76-AQ75,IF(A76&lt;'Données projet'!$A$62,$AF$205^A76,IF(A76='Données projet'!$A$62,'Données projet'!$B$62,AI75+AH76-AQ75)))</f>
        <v>250.10000000000002</v>
      </c>
      <c r="AJ76" s="14">
        <f>AI76*VLOOKUP('Données projet'!$B$10,Paramètres!$A$1:$I$89,3,0)*VLOOKUP('Données projet'!$B$10,Paramètres!$A$1:$I$89,5,0)</f>
        <v>117.0468</v>
      </c>
      <c r="AK76" s="14">
        <f t="shared" si="89"/>
        <v>30.985218187968854</v>
      </c>
      <c r="AL76" s="22">
        <f t="shared" si="58"/>
        <v>257.82243167737909</v>
      </c>
      <c r="AM76" s="62">
        <f t="shared" si="59"/>
        <v>525.60521587530093</v>
      </c>
      <c r="AN76" s="62">
        <f ca="1">AVERAGE(OFFSET($AM$3,0,0,'Données projet'!$E$10+1,1))-AVERAGE(OFFSET($H$3,0,0,'Données projet'!$E$10+1,1))</f>
        <v>253.48761861464732</v>
      </c>
      <c r="AO76" s="62">
        <f t="shared" si="90"/>
        <v>219.50855998133855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37.278040668893055</v>
      </c>
      <c r="AV76" s="23">
        <f>EXP(-LN(2)/25)*AV75+(1-EXP(-LN(2)/25))/(LN(2)/25)*Calculateur!AQ76*Calculateur!AS76*VLOOKUP('Données projet'!$B$10,Paramètres!$A$1:$I$89,3,0)*0.475*44/12</f>
        <v>8.9595119729654318</v>
      </c>
      <c r="AW76" s="23">
        <f>EXP(-LN(2)/2)*AW75+(1-EXP(-LN(2)/2))/(LN(2)/2)*AQ76*AT76*VLOOKUP('Données projet'!$B$10,Paramètres!$A$1:$I$89,3,0)*0.475*44/12</f>
        <v>1.4288843457812088</v>
      </c>
      <c r="AX76" s="23">
        <f t="shared" si="60"/>
        <v>47.666436987639692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>
        <f>BD76*VLOOKUP('Données projet'!$B$11,Paramètres!$A$1:$I$89,3,0)*VLOOKUP('Données projet'!$B$11,Paramètres!$A$1:$I$89,5,0)</f>
        <v>0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482.85256243111911</v>
      </c>
      <c r="BJ76" s="62">
        <f t="shared" si="92"/>
        <v>517.78430032567064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91.469310659410098</v>
      </c>
      <c r="BQ76" s="23">
        <f>EXP(-LN(2)/25)*BQ75+(1-EXP(-LN(2)/25))/(LN(2)/25)*Calculateur!BL76*Calculateur!BN76*VLOOKUP('Données projet'!$B$11,Paramètres!$A$1:$I$89,3,0)*0.475*44/12</f>
        <v>21.003374585200319</v>
      </c>
      <c r="BR76" s="23">
        <f>EXP(-LN(2)/2)*BR75+(1-EXP(-LN(2)/2))/(LN(2)/2)*BL76*BO76*VLOOKUP('Données projet'!$B$11,Paramètres!$A$1:$I$89,3,0)*0.475*44/12</f>
        <v>0.64364248250788614</v>
      </c>
      <c r="BS76" s="24">
        <f t="shared" si="63"/>
        <v>113.1163277271183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>
        <f>BY76*VLOOKUP('Données projet'!$B$12,Paramètres!$A$1:$I$89,3,0)*VLOOKUP('Données projet'!$B$12,Paramètres!$A$1:$I$89,5,0)</f>
        <v>0</v>
      </c>
      <c r="CA76" s="14" t="e">
        <f t="shared" si="93"/>
        <v>#NUM!</v>
      </c>
      <c r="CB76" s="22" t="e">
        <f t="shared" si="64"/>
        <v>#NUM!</v>
      </c>
      <c r="CC76" s="62" t="e">
        <f t="shared" si="65"/>
        <v>#NUM!</v>
      </c>
      <c r="CD76" s="62">
        <f ca="1">AVERAGE(OFFSET($CC$3,0,0,'Données projet'!$E$12+1,1))-AVERAGE(OFFSET($H$3,0,0,'Données projet'!$E$12+1,1))</f>
        <v>275.76900776033335</v>
      </c>
      <c r="CE76" s="62">
        <f t="shared" si="94"/>
        <v>299.36898480605191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87.658089381934701</v>
      </c>
      <c r="CL76" s="23">
        <f>EXP(-LN(2)/25)*CL75+(1-EXP(-LN(2)/25))/(LN(2)/25)*Calculateur!CG76*Calculateur!CI76*VLOOKUP('Données projet'!$B$12,Paramètres!$A$1:$I$89,3,0)*0.475*44/12</f>
        <v>20.128233977483642</v>
      </c>
      <c r="CM76" s="23">
        <f>EXP(-LN(2)/2)*CM75+(1-EXP(-LN(2)/2))/(LN(2)/2)*CG76*CJ76*VLOOKUP('Données projet'!$B$12,Paramètres!$A$1:$I$89,3,0)*0.475*44/12</f>
        <v>0.61682404573672389</v>
      </c>
      <c r="CN76" s="24">
        <f t="shared" si="66"/>
        <v>108.40314740515507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7.5</v>
      </c>
      <c r="CT76" s="13">
        <f>IF('Données projet'!$A$140&gt;35,CT75+CS76-DB75,IF(A76&lt;'Données projet'!$A$140,$CQ$205^A76,IF(A76='Données projet'!$A$140,'Données projet'!$B$140,CT75+CS76-DB75)))</f>
        <v>189.50000000000017</v>
      </c>
      <c r="CU76" s="18">
        <f>CT76*VLOOKUP('Données projet'!$B$13,Paramètres!$A$1:$I$89,3,0)*VLOOKUP('Données projet'!$B$13,Paramètres!$A$1:$I$89,5,0)</f>
        <v>206.9340000000002</v>
      </c>
      <c r="CV76" s="14">
        <f t="shared" si="95"/>
        <v>51.265015130782928</v>
      </c>
      <c r="CW76" s="22">
        <f t="shared" si="67"/>
        <v>449.69661801944721</v>
      </c>
      <c r="CX76" s="62">
        <f t="shared" si="68"/>
        <v>717.47940221736894</v>
      </c>
      <c r="CY76" s="62">
        <f ca="1">AVERAGE(OFFSET($CX$3,0,0,'Données projet'!$E$13+1,1))-AVERAGE(OFFSET($H$3,0,0,'Données projet'!$E$13+1,1))</f>
        <v>482.24068797679558</v>
      </c>
      <c r="CZ76" s="62">
        <f t="shared" si="96"/>
        <v>316.28941055521693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37.276038103881945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37.276038103881945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-1.7053025658242404E-13</v>
      </c>
      <c r="DP76" s="18">
        <f>DO76*VLOOKUP('Données projet'!$B$14,Paramètres!$A$1:$I$89,3,0)*VLOOKUP('Données projet'!$B$14,Paramètres!$A$1:$I$89,5,0)</f>
        <v>-1.383341441396624E-13</v>
      </c>
      <c r="DQ76" s="14" t="e">
        <f t="shared" si="97"/>
        <v>#NUM!</v>
      </c>
      <c r="DR76" s="22" t="e">
        <f t="shared" si="70"/>
        <v>#NUM!</v>
      </c>
      <c r="DS76" s="62" t="e">
        <f t="shared" si="71"/>
        <v>#NUM!</v>
      </c>
      <c r="DT76" s="62">
        <f ca="1">AVERAGE(OFFSET($DS$3,0,0,'Données projet'!$E$14+1,1))-AVERAGE(OFFSET($H$3,0,0,'Données projet'!$E$14+1,1))</f>
        <v>325.58538970226539</v>
      </c>
      <c r="DU76" s="62">
        <f t="shared" si="98"/>
        <v>361.81085660423457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109.49656716000773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109.49656716000773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6</v>
      </c>
      <c r="EJ76" s="13">
        <f>IF('Données projet'!$A$192&gt;35,EJ75+EI76-ER75,IF(A76&lt;'Données projet'!$A$192,$EG$205^A76,IF(A76='Données projet'!$A$192,'Données projet'!$B$192,EJ75+EI76-ER75)))</f>
        <v>151.59999999999988</v>
      </c>
      <c r="EK76" s="18">
        <f>EJ76*VLOOKUP('Données projet'!$B$15,Paramètres!$A$1:$I$89,3,0)*VLOOKUP('Données projet'!$B$15,Paramètres!$A$1:$I$89,5,0)</f>
        <v>146.62751999999989</v>
      </c>
      <c r="EL76" s="14">
        <f t="shared" si="99"/>
        <v>37.811166085087208</v>
      </c>
      <c r="EM76" s="22">
        <f t="shared" si="73"/>
        <v>321.23071159819335</v>
      </c>
      <c r="EN76" s="62">
        <f t="shared" si="74"/>
        <v>589.01349579611519</v>
      </c>
      <c r="EO76" s="62">
        <f ca="1">AVERAGE(OFFSET($EN$3,0,0,'Données projet'!$E$15+1,1))-AVERAGE(OFFSET($H$3,0,0,'Données projet'!$E$15+1,1))</f>
        <v>364.22267539944085</v>
      </c>
      <c r="EP76" s="62">
        <f t="shared" si="100"/>
        <v>241.947139538615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26.412735570750634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26.412735570750634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-1.7053025658242404E-13</v>
      </c>
      <c r="FF76" s="18">
        <f>FE76*VLOOKUP('Données projet'!$B$16,Paramètres!$A$1:$I$89,3,0)*VLOOKUP('Données projet'!$B$16,Paramètres!$A$1:$I$89,5,0)</f>
        <v>-1.4897523215040567E-13</v>
      </c>
      <c r="FG76" s="14" t="e">
        <f t="shared" si="101"/>
        <v>#NUM!</v>
      </c>
      <c r="FH76" s="22" t="e">
        <f t="shared" si="76"/>
        <v>#NUM!</v>
      </c>
      <c r="FI76" s="62" t="e">
        <f t="shared" si="77"/>
        <v>#NUM!</v>
      </c>
      <c r="FJ76" s="62">
        <f ca="1">AVERAGE(OFFSET($FI$3,0,0,'Données projet'!$E$16+1,1))-AVERAGE(OFFSET($H$3,0,0,'Données projet'!$E$16+1,1))</f>
        <v>286.59837239471312</v>
      </c>
      <c r="FK76" s="62">
        <f t="shared" si="102"/>
        <v>319.26091328564689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95.038720788745906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95.038720788745906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-1.7053025658242404E-13</v>
      </c>
      <c r="GA76" s="18">
        <f>FZ76*VLOOKUP('Données projet'!$B$17,Paramètres!$A$1:$I$89,3,0)*VLOOKUP('Données projet'!$B$17,Paramètres!$A$1:$I$89,5,0)</f>
        <v>-1.1439169611549005E-13</v>
      </c>
      <c r="GB76" s="14" t="e">
        <f t="shared" si="103"/>
        <v>#NUM!</v>
      </c>
      <c r="GC76" s="22" t="e">
        <f t="shared" si="79"/>
        <v>#NUM!</v>
      </c>
      <c r="GD76" s="62" t="e">
        <f t="shared" si="80"/>
        <v>#NUM!</v>
      </c>
      <c r="GE76" s="62">
        <f ca="1">AVERAGE(OFFSET($GD$3,0,0,'Données projet'!$E$17+1,1))-AVERAGE(OFFSET($H$3,0,0,'Données projet'!$E$17+1,1))</f>
        <v>277.37570531842186</v>
      </c>
      <c r="GF76" s="62">
        <f t="shared" si="104"/>
        <v>310.00874200911312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projet'!$B$17,Paramètres!$A$1:$I$89,3,0)*0.475*44/12</f>
        <v>111.60227037462322</v>
      </c>
      <c r="GM76" s="23">
        <f>EXP(-LN(2)/25)*GM75+(1-EXP(-LN(2)/25))/(LN(2)/25)*Calculateur!GH76*Calculateur!GJ76*VLOOKUP('Données projet'!$B$17,Paramètres!$A$1:$I$89,3,0)*0.475*44/12</f>
        <v>0</v>
      </c>
      <c r="GN76" s="23">
        <f>EXP(-LN(2)/2)*GN75+(1-EXP(-LN(2)/2))/(LN(2)/2)*GH76*GK76*VLOOKUP('Données projet'!$B$17,Paramètres!$A$1:$I$89,3,0)*0.475*44/12</f>
        <v>0</v>
      </c>
      <c r="GO76" s="23">
        <f t="shared" si="81"/>
        <v>111.60227037462322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7.5</v>
      </c>
      <c r="N77" s="14">
        <f>IF('Données projet'!$A$36&gt;35,N76+M77-V76,IF(A77&lt;'Données projet'!$A$36,$K$205^A77,IF(A77='Données projet'!$A$36,'Données projet'!$B$36,N76+M77-V76)))</f>
        <v>197.00000000000017</v>
      </c>
      <c r="O77" s="14">
        <f>N77*VLOOKUP('Données projet'!$B$9,Paramètres!$A$1:$I$89,3,0)*VLOOKUP('Données projet'!$B$9,Paramètres!$A$1:$I$89,5,0)</f>
        <v>172.09920000000017</v>
      </c>
      <c r="P77" s="14">
        <f t="shared" si="87"/>
        <v>43.559838214507032</v>
      </c>
      <c r="Q77" s="22">
        <f t="shared" si="54"/>
        <v>375.60615822360006</v>
      </c>
      <c r="R77" s="62">
        <f t="shared" si="55"/>
        <v>643.83218732655087</v>
      </c>
      <c r="S77" s="62">
        <f ca="1">AVERAGE(OFFSET($R$3,0,0,'Données projet'!$E$9+1,1))-AVERAGE(OFFSET($H$3,0,0,'Données projet'!$E$9+1,1))</f>
        <v>401.34220206028908</v>
      </c>
      <c r="T77" s="62">
        <f t="shared" si="88"/>
        <v>265.33314259106987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29.236062186242457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29.236062186242457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7.7</v>
      </c>
      <c r="AI77" s="14">
        <f>IF('Données projet'!$A$62&gt;35,AI76+AH77-AQ76,IF(A77&lt;'Données projet'!$A$62,$AF$205^A77,IF(A77='Données projet'!$A$62,'Données projet'!$B$62,AI76+AH77-AQ76)))</f>
        <v>257.8</v>
      </c>
      <c r="AJ77" s="14">
        <f>AI77*VLOOKUP('Données projet'!$B$10,Paramètres!$A$1:$I$89,3,0)*VLOOKUP('Données projet'!$B$10,Paramètres!$A$1:$I$89,5,0)</f>
        <v>120.65040000000002</v>
      </c>
      <c r="AK77" s="14">
        <f t="shared" si="89"/>
        <v>31.826646658265801</v>
      </c>
      <c r="AL77" s="22">
        <f t="shared" si="58"/>
        <v>265.56418959647959</v>
      </c>
      <c r="AM77" s="62">
        <f t="shared" si="59"/>
        <v>533.7902186994304</v>
      </c>
      <c r="AN77" s="62">
        <f ca="1">AVERAGE(OFFSET($AM$3,0,0,'Données projet'!$E$10+1,1))-AVERAGE(OFFSET($H$3,0,0,'Données projet'!$E$10+1,1))</f>
        <v>253.48761861464732</v>
      </c>
      <c r="AO77" s="62">
        <f t="shared" si="90"/>
        <v>219.50855998133855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36.547041028735741</v>
      </c>
      <c r="AV77" s="23">
        <f>EXP(-LN(2)/25)*AV76+(1-EXP(-LN(2)/25))/(LN(2)/25)*Calculateur!AQ77*Calculateur!AS77*VLOOKUP('Données projet'!$B$10,Paramètres!$A$1:$I$89,3,0)*0.475*44/12</f>
        <v>8.7145136469044342</v>
      </c>
      <c r="AW77" s="23">
        <f>EXP(-LN(2)/2)*AW76+(1-EXP(-LN(2)/2))/(LN(2)/2)*AQ77*AT77*VLOOKUP('Données projet'!$B$10,Paramètres!$A$1:$I$89,3,0)*0.475*44/12</f>
        <v>1.0103738104331963</v>
      </c>
      <c r="AX77" s="23">
        <f t="shared" si="60"/>
        <v>46.271928486073371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>
        <f>BD77*VLOOKUP('Données projet'!$B$11,Paramètres!$A$1:$I$89,3,0)*VLOOKUP('Données projet'!$B$11,Paramètres!$A$1:$I$89,5,0)</f>
        <v>0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482.85256243111911</v>
      </c>
      <c r="BJ77" s="62">
        <f t="shared" si="92"/>
        <v>517.78430032567064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89.675653268149688</v>
      </c>
      <c r="BQ77" s="23">
        <f>EXP(-LN(2)/25)*BQ76+(1-EXP(-LN(2)/25))/(LN(2)/25)*Calculateur!BL77*Calculateur!BN77*VLOOKUP('Données projet'!$B$11,Paramètres!$A$1:$I$89,3,0)*0.475*44/12</f>
        <v>20.42903620264855</v>
      </c>
      <c r="BR77" s="23">
        <f>EXP(-LN(2)/2)*BR76+(1-EXP(-LN(2)/2))/(LN(2)/2)*BL77*BO77*VLOOKUP('Données projet'!$B$11,Paramètres!$A$1:$I$89,3,0)*0.475*44/12</f>
        <v>0.45512396404107014</v>
      </c>
      <c r="BS77" s="24">
        <f t="shared" si="63"/>
        <v>110.5598134348393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>
        <f>BY77*VLOOKUP('Données projet'!$B$12,Paramètres!$A$1:$I$89,3,0)*VLOOKUP('Données projet'!$B$12,Paramètres!$A$1:$I$89,5,0)</f>
        <v>0</v>
      </c>
      <c r="CA77" s="14" t="e">
        <f t="shared" si="93"/>
        <v>#NUM!</v>
      </c>
      <c r="CB77" s="22" t="e">
        <f t="shared" si="64"/>
        <v>#NUM!</v>
      </c>
      <c r="CC77" s="62" t="e">
        <f t="shared" si="65"/>
        <v>#NUM!</v>
      </c>
      <c r="CD77" s="62">
        <f ca="1">AVERAGE(OFFSET($CC$3,0,0,'Données projet'!$E$12+1,1))-AVERAGE(OFFSET($H$3,0,0,'Données projet'!$E$12+1,1))</f>
        <v>275.76900776033335</v>
      </c>
      <c r="CE77" s="62">
        <f t="shared" si="94"/>
        <v>299.36898480605191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85.939167715310134</v>
      </c>
      <c r="CL77" s="23">
        <f>EXP(-LN(2)/25)*CL76+(1-EXP(-LN(2)/25))/(LN(2)/25)*Calculateur!CG77*Calculateur!CI77*VLOOKUP('Données projet'!$B$12,Paramètres!$A$1:$I$89,3,0)*0.475*44/12</f>
        <v>19.57782636087153</v>
      </c>
      <c r="CM77" s="23">
        <f>EXP(-LN(2)/2)*CM76+(1-EXP(-LN(2)/2))/(LN(2)/2)*CG77*CJ77*VLOOKUP('Données projet'!$B$12,Paramètres!$A$1:$I$89,3,0)*0.475*44/12</f>
        <v>0.43616046553935861</v>
      </c>
      <c r="CN77" s="24">
        <f t="shared" si="66"/>
        <v>105.95315454172102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7.5</v>
      </c>
      <c r="CT77" s="13">
        <f>IF('Données projet'!$A$140&gt;35,CT76+CS77-DB76,IF(A77&lt;'Données projet'!$A$140,$CQ$205^A77,IF(A77='Données projet'!$A$140,'Données projet'!$B$140,CT76+CS77-DB76)))</f>
        <v>197.00000000000017</v>
      </c>
      <c r="CU77" s="18">
        <f>CT77*VLOOKUP('Données projet'!$B$13,Paramètres!$A$1:$I$89,3,0)*VLOOKUP('Données projet'!$B$13,Paramètres!$A$1:$I$89,5,0)</f>
        <v>215.12400000000019</v>
      </c>
      <c r="CV77" s="14">
        <f t="shared" si="95"/>
        <v>53.053732774689848</v>
      </c>
      <c r="CW77" s="22">
        <f t="shared" si="67"/>
        <v>467.07621791591851</v>
      </c>
      <c r="CX77" s="62">
        <f t="shared" si="68"/>
        <v>735.30224701886937</v>
      </c>
      <c r="CY77" s="62">
        <f ca="1">AVERAGE(OFFSET($CX$3,0,0,'Données projet'!$E$13+1,1))-AVERAGE(OFFSET($H$3,0,0,'Données projet'!$E$13+1,1))</f>
        <v>482.24068797679558</v>
      </c>
      <c r="CZ77" s="62">
        <f t="shared" si="96"/>
        <v>316.28941055521693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36.545077732803058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36.545077732803058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-1.7053025658242404E-13</v>
      </c>
      <c r="DP77" s="18">
        <f>DO77*VLOOKUP('Données projet'!$B$14,Paramètres!$A$1:$I$89,3,0)*VLOOKUP('Données projet'!$B$14,Paramètres!$A$1:$I$89,5,0)</f>
        <v>-1.383341441396624E-13</v>
      </c>
      <c r="DQ77" s="14" t="e">
        <f t="shared" si="97"/>
        <v>#NUM!</v>
      </c>
      <c r="DR77" s="22" t="e">
        <f t="shared" si="70"/>
        <v>#NUM!</v>
      </c>
      <c r="DS77" s="62" t="e">
        <f t="shared" si="71"/>
        <v>#NUM!</v>
      </c>
      <c r="DT77" s="62">
        <f ca="1">AVERAGE(OFFSET($DS$3,0,0,'Données projet'!$E$14+1,1))-AVERAGE(OFFSET($H$3,0,0,'Données projet'!$E$14+1,1))</f>
        <v>325.58538970226539</v>
      </c>
      <c r="DU77" s="62">
        <f t="shared" si="98"/>
        <v>361.81085660423457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107.34940626431134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107.34940626431134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6</v>
      </c>
      <c r="EJ77" s="13">
        <f>IF('Données projet'!$A$192&gt;35,EJ76+EI77-ER76,IF(A77&lt;'Données projet'!$A$192,$EG$205^A77,IF(A77='Données projet'!$A$192,'Données projet'!$B$192,EJ76+EI77-ER76)))</f>
        <v>157.59999999999988</v>
      </c>
      <c r="EK77" s="18">
        <f>EJ77*VLOOKUP('Données projet'!$B$15,Paramètres!$A$1:$I$89,3,0)*VLOOKUP('Données projet'!$B$15,Paramètres!$A$1:$I$89,5,0)</f>
        <v>152.43071999999989</v>
      </c>
      <c r="EL77" s="14">
        <f t="shared" si="99"/>
        <v>39.130457608566715</v>
      </c>
      <c r="EM77" s="22">
        <f t="shared" si="73"/>
        <v>333.63571766825345</v>
      </c>
      <c r="EN77" s="62">
        <f t="shared" si="74"/>
        <v>601.86174677120425</v>
      </c>
      <c r="EO77" s="62">
        <f ca="1">AVERAGE(OFFSET($EN$3,0,0,'Données projet'!$E$15+1,1))-AVERAGE(OFFSET($H$3,0,0,'Données projet'!$E$15+1,1))</f>
        <v>364.22267539944085</v>
      </c>
      <c r="EP77" s="62">
        <f t="shared" si="100"/>
        <v>241.947139538615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25.894797936386166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25.894797936386166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-1.7053025658242404E-13</v>
      </c>
      <c r="FF77" s="18">
        <f>FE77*VLOOKUP('Données projet'!$B$16,Paramètres!$A$1:$I$89,3,0)*VLOOKUP('Données projet'!$B$16,Paramètres!$A$1:$I$89,5,0)</f>
        <v>-1.4897523215040567E-13</v>
      </c>
      <c r="FG77" s="14" t="e">
        <f t="shared" si="101"/>
        <v>#NUM!</v>
      </c>
      <c r="FH77" s="22" t="e">
        <f t="shared" si="76"/>
        <v>#NUM!</v>
      </c>
      <c r="FI77" s="62" t="e">
        <f t="shared" si="77"/>
        <v>#NUM!</v>
      </c>
      <c r="FJ77" s="62">
        <f ca="1">AVERAGE(OFFSET($FI$3,0,0,'Données projet'!$E$16+1,1))-AVERAGE(OFFSET($H$3,0,0,'Données projet'!$E$16+1,1))</f>
        <v>286.59837239471312</v>
      </c>
      <c r="FK77" s="62">
        <f t="shared" si="102"/>
        <v>319.26091328564689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93.175069441974429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93.175069441974429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-1.7053025658242404E-13</v>
      </c>
      <c r="GA77" s="18">
        <f>FZ77*VLOOKUP('Données projet'!$B$17,Paramètres!$A$1:$I$89,3,0)*VLOOKUP('Données projet'!$B$17,Paramètres!$A$1:$I$89,5,0)</f>
        <v>-1.1439169611549005E-13</v>
      </c>
      <c r="GB77" s="14" t="e">
        <f t="shared" si="103"/>
        <v>#NUM!</v>
      </c>
      <c r="GC77" s="22" t="e">
        <f t="shared" si="79"/>
        <v>#NUM!</v>
      </c>
      <c r="GD77" s="62" t="e">
        <f t="shared" si="80"/>
        <v>#NUM!</v>
      </c>
      <c r="GE77" s="62">
        <f ca="1">AVERAGE(OFFSET($GD$3,0,0,'Données projet'!$E$17+1,1))-AVERAGE(OFFSET($H$3,0,0,'Données projet'!$E$17+1,1))</f>
        <v>277.37570531842186</v>
      </c>
      <c r="GF77" s="62">
        <f t="shared" si="104"/>
        <v>310.00874200911312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projet'!$B$17,Paramètres!$A$1:$I$89,3,0)*0.475*44/12</f>
        <v>109.41381792324036</v>
      </c>
      <c r="GM77" s="23">
        <f>EXP(-LN(2)/25)*GM76+(1-EXP(-LN(2)/25))/(LN(2)/25)*Calculateur!GH77*Calculateur!GJ77*VLOOKUP('Données projet'!$B$17,Paramètres!$A$1:$I$89,3,0)*0.475*44/12</f>
        <v>0</v>
      </c>
      <c r="GN77" s="23">
        <f>EXP(-LN(2)/2)*GN76+(1-EXP(-LN(2)/2))/(LN(2)/2)*GH77*GK77*VLOOKUP('Données projet'!$B$17,Paramètres!$A$1:$I$89,3,0)*0.475*44/12</f>
        <v>0</v>
      </c>
      <c r="GO77" s="23">
        <f t="shared" si="81"/>
        <v>109.41381792324036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7.5</v>
      </c>
      <c r="N78" s="14">
        <f>IF('Données projet'!$A$36&gt;35,N77+M78-V77,IF(A78&lt;'Données projet'!$A$36,$K$205^A78,IF(A78='Données projet'!$A$36,'Données projet'!$B$36,N77+M78-V77)))</f>
        <v>204.50000000000017</v>
      </c>
      <c r="O78" s="14">
        <f>N78*VLOOKUP('Données projet'!$B$9,Paramètres!$A$1:$I$89,3,0)*VLOOKUP('Données projet'!$B$9,Paramètres!$A$1:$I$89,5,0)</f>
        <v>178.65120000000019</v>
      </c>
      <c r="P78" s="14">
        <f t="shared" si="87"/>
        <v>45.021971780480122</v>
      </c>
      <c r="Q78" s="22">
        <f t="shared" si="54"/>
        <v>389.56410751766992</v>
      </c>
      <c r="R78" s="62">
        <f t="shared" si="55"/>
        <v>658.22569221749472</v>
      </c>
      <c r="S78" s="62">
        <f ca="1">AVERAGE(OFFSET($R$3,0,0,'Données projet'!$E$9+1,1))-AVERAGE(OFFSET($H$3,0,0,'Données projet'!$E$9+1,1))</f>
        <v>401.34220206028908</v>
      </c>
      <c r="T78" s="62">
        <f t="shared" si="88"/>
        <v>265.33314259106987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28.662760839007387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28.662760839007387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7.7</v>
      </c>
      <c r="AI78" s="14">
        <f>IF('Données projet'!$A$62&gt;35,AI77+AH78-AQ77,IF(A78&lt;'Données projet'!$A$62,$AF$205^A78,IF(A78='Données projet'!$A$62,'Données projet'!$B$62,AI77+AH78-AQ77)))</f>
        <v>265.5</v>
      </c>
      <c r="AJ78" s="14">
        <f>AI78*VLOOKUP('Données projet'!$B$10,Paramètres!$A$1:$I$89,3,0)*VLOOKUP('Données projet'!$B$10,Paramètres!$A$1:$I$89,5,0)</f>
        <v>124.254</v>
      </c>
      <c r="AK78" s="14">
        <f t="shared" si="89"/>
        <v>32.665154397958723</v>
      </c>
      <c r="AL78" s="22">
        <f t="shared" si="58"/>
        <v>273.30086057644479</v>
      </c>
      <c r="AM78" s="62">
        <f t="shared" si="59"/>
        <v>541.96244527626959</v>
      </c>
      <c r="AN78" s="62">
        <f ca="1">AVERAGE(OFFSET($AM$3,0,0,'Données projet'!$E$10+1,1))-AVERAGE(OFFSET($H$3,0,0,'Données projet'!$E$10+1,1))</f>
        <v>253.48761861464732</v>
      </c>
      <c r="AO78" s="62">
        <f t="shared" si="90"/>
        <v>219.50855998133855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35.830375845656157</v>
      </c>
      <c r="AV78" s="23">
        <f>EXP(-LN(2)/25)*AV77+(1-EXP(-LN(2)/25))/(LN(2)/25)*Calculateur!AQ78*Calculateur!AS78*VLOOKUP('Données projet'!$B$10,Paramètres!$A$1:$I$89,3,0)*0.475*44/12</f>
        <v>8.4762148129534776</v>
      </c>
      <c r="AW78" s="23">
        <f>EXP(-LN(2)/2)*AW77+(1-EXP(-LN(2)/2))/(LN(2)/2)*AQ78*AT78*VLOOKUP('Données projet'!$B$10,Paramètres!$A$1:$I$89,3,0)*0.475*44/12</f>
        <v>0.71444217289060441</v>
      </c>
      <c r="AX78" s="23">
        <f t="shared" si="60"/>
        <v>45.021032831500243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>
        <f>BD78*VLOOKUP('Données projet'!$B$11,Paramètres!$A$1:$I$89,3,0)*VLOOKUP('Données projet'!$B$11,Paramètres!$A$1:$I$89,5,0)</f>
        <v>0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482.85256243111911</v>
      </c>
      <c r="BJ78" s="62">
        <f t="shared" si="92"/>
        <v>517.78430032567064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87.91716840430891</v>
      </c>
      <c r="BQ78" s="23">
        <f>EXP(-LN(2)/25)*BQ77+(1-EXP(-LN(2)/25))/(LN(2)/25)*Calculateur!BL78*Calculateur!BN78*VLOOKUP('Données projet'!$B$11,Paramètres!$A$1:$I$89,3,0)*0.475*44/12</f>
        <v>19.870403133370804</v>
      </c>
      <c r="BR78" s="23">
        <f>EXP(-LN(2)/2)*BR77+(1-EXP(-LN(2)/2))/(LN(2)/2)*BL78*BO78*VLOOKUP('Données projet'!$B$11,Paramètres!$A$1:$I$89,3,0)*0.475*44/12</f>
        <v>0.32182124125394312</v>
      </c>
      <c r="BS78" s="24">
        <f t="shared" si="63"/>
        <v>108.10939277893365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>
        <f>BY78*VLOOKUP('Données projet'!$B$12,Paramètres!$A$1:$I$89,3,0)*VLOOKUP('Données projet'!$B$12,Paramètres!$A$1:$I$89,5,0)</f>
        <v>0</v>
      </c>
      <c r="CA78" s="14" t="e">
        <f t="shared" si="93"/>
        <v>#NUM!</v>
      </c>
      <c r="CB78" s="22" t="e">
        <f t="shared" si="64"/>
        <v>#NUM!</v>
      </c>
      <c r="CC78" s="62" t="e">
        <f t="shared" si="65"/>
        <v>#NUM!</v>
      </c>
      <c r="CD78" s="62">
        <f ca="1">AVERAGE(OFFSET($CC$3,0,0,'Données projet'!$E$12+1,1))-AVERAGE(OFFSET($H$3,0,0,'Données projet'!$E$12+1,1))</f>
        <v>275.76900776033335</v>
      </c>
      <c r="CE78" s="62">
        <f t="shared" si="94"/>
        <v>299.36898480605191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84.253953054129383</v>
      </c>
      <c r="CL78" s="23">
        <f>EXP(-LN(2)/25)*CL77+(1-EXP(-LN(2)/25))/(LN(2)/25)*Calculateur!CG78*Calculateur!CI78*VLOOKUP('Données projet'!$B$12,Paramètres!$A$1:$I$89,3,0)*0.475*44/12</f>
        <v>19.042469669480354</v>
      </c>
      <c r="CM78" s="23">
        <f>EXP(-LN(2)/2)*CM77+(1-EXP(-LN(2)/2))/(LN(2)/2)*CG78*CJ78*VLOOKUP('Données projet'!$B$12,Paramètres!$A$1:$I$89,3,0)*0.475*44/12</f>
        <v>0.30841202286836195</v>
      </c>
      <c r="CN78" s="24">
        <f t="shared" si="66"/>
        <v>103.6048347464781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7.5</v>
      </c>
      <c r="CT78" s="13">
        <f>IF('Données projet'!$A$140&gt;35,CT77+CS78-DB77,IF(A78&lt;'Données projet'!$A$140,$CQ$205^A78,IF(A78='Données projet'!$A$140,'Données projet'!$B$140,CT77+CS78-DB77)))</f>
        <v>204.50000000000017</v>
      </c>
      <c r="CU78" s="18">
        <f>CT78*VLOOKUP('Données projet'!$B$13,Paramètres!$A$1:$I$89,3,0)*VLOOKUP('Données projet'!$B$13,Paramètres!$A$1:$I$89,5,0)</f>
        <v>223.31400000000019</v>
      </c>
      <c r="CV78" s="14">
        <f t="shared" si="95"/>
        <v>54.834539285220153</v>
      </c>
      <c r="CW78" s="22">
        <f t="shared" si="67"/>
        <v>484.44203925509208</v>
      </c>
      <c r="CX78" s="62">
        <f t="shared" si="68"/>
        <v>753.10362395491688</v>
      </c>
      <c r="CY78" s="62">
        <f ca="1">AVERAGE(OFFSET($CX$3,0,0,'Données projet'!$E$13+1,1))-AVERAGE(OFFSET($H$3,0,0,'Données projet'!$E$13+1,1))</f>
        <v>482.24068797679558</v>
      </c>
      <c r="CZ78" s="62">
        <f t="shared" si="96"/>
        <v>316.28941055521693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35.82845104875922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35.82845104875922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-1.7053025658242404E-13</v>
      </c>
      <c r="DP78" s="18">
        <f>DO78*VLOOKUP('Données projet'!$B$14,Paramètres!$A$1:$I$89,3,0)*VLOOKUP('Données projet'!$B$14,Paramètres!$A$1:$I$89,5,0)</f>
        <v>-1.383341441396624E-13</v>
      </c>
      <c r="DQ78" s="14" t="e">
        <f t="shared" si="97"/>
        <v>#NUM!</v>
      </c>
      <c r="DR78" s="22" t="e">
        <f t="shared" si="70"/>
        <v>#NUM!</v>
      </c>
      <c r="DS78" s="62" t="e">
        <f t="shared" si="71"/>
        <v>#NUM!</v>
      </c>
      <c r="DT78" s="62">
        <f ca="1">AVERAGE(OFFSET($DS$3,0,0,'Données projet'!$E$14+1,1))-AVERAGE(OFFSET($H$3,0,0,'Données projet'!$E$14+1,1))</f>
        <v>325.58538970226539</v>
      </c>
      <c r="DU78" s="62">
        <f t="shared" si="98"/>
        <v>361.81085660423457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105.24434988414073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105.24434988414073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6</v>
      </c>
      <c r="EJ78" s="13">
        <f>IF('Données projet'!$A$192&gt;35,EJ77+EI78-ER77,IF(A78&lt;'Données projet'!$A$192,$EG$205^A78,IF(A78='Données projet'!$A$192,'Données projet'!$B$192,EJ77+EI78-ER77)))</f>
        <v>163.59999999999988</v>
      </c>
      <c r="EK78" s="18">
        <f>EJ78*VLOOKUP('Données projet'!$B$15,Paramètres!$A$1:$I$89,3,0)*VLOOKUP('Données projet'!$B$15,Paramètres!$A$1:$I$89,5,0)</f>
        <v>158.2339199999999</v>
      </c>
      <c r="EL78" s="14">
        <f t="shared" si="99"/>
        <v>40.443914174673054</v>
      </c>
      <c r="EM78" s="22">
        <f t="shared" si="73"/>
        <v>346.03056118755541</v>
      </c>
      <c r="EN78" s="62">
        <f t="shared" si="74"/>
        <v>614.69214588738021</v>
      </c>
      <c r="EO78" s="62">
        <f ca="1">AVERAGE(OFFSET($EN$3,0,0,'Données projet'!$E$15+1,1))-AVERAGE(OFFSET($H$3,0,0,'Données projet'!$E$15+1,1))</f>
        <v>364.22267539944085</v>
      </c>
      <c r="EP78" s="62">
        <f t="shared" si="100"/>
        <v>241.947139538615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25.387016743120821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25.387016743120821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-1.7053025658242404E-13</v>
      </c>
      <c r="FF78" s="18">
        <f>FE78*VLOOKUP('Données projet'!$B$16,Paramètres!$A$1:$I$89,3,0)*VLOOKUP('Données projet'!$B$16,Paramètres!$A$1:$I$89,5,0)</f>
        <v>-1.4897523215040567E-13</v>
      </c>
      <c r="FG78" s="14" t="e">
        <f t="shared" si="101"/>
        <v>#NUM!</v>
      </c>
      <c r="FH78" s="22" t="e">
        <f t="shared" si="76"/>
        <v>#NUM!</v>
      </c>
      <c r="FI78" s="62" t="e">
        <f t="shared" si="77"/>
        <v>#NUM!</v>
      </c>
      <c r="FJ78" s="62">
        <f ca="1">AVERAGE(OFFSET($FI$3,0,0,'Données projet'!$E$16+1,1))-AVERAGE(OFFSET($H$3,0,0,'Données projet'!$E$16+1,1))</f>
        <v>286.59837239471312</v>
      </c>
      <c r="FK78" s="62">
        <f t="shared" si="102"/>
        <v>319.26091328564689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91.347963161398056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91.347963161398056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-1.7053025658242404E-13</v>
      </c>
      <c r="GA78" s="18">
        <f>FZ78*VLOOKUP('Données projet'!$B$17,Paramètres!$A$1:$I$89,3,0)*VLOOKUP('Données projet'!$B$17,Paramètres!$A$1:$I$89,5,0)</f>
        <v>-1.1439169611549005E-13</v>
      </c>
      <c r="GB78" s="14" t="e">
        <f t="shared" si="103"/>
        <v>#NUM!</v>
      </c>
      <c r="GC78" s="22" t="e">
        <f t="shared" si="79"/>
        <v>#NUM!</v>
      </c>
      <c r="GD78" s="62" t="e">
        <f t="shared" si="80"/>
        <v>#NUM!</v>
      </c>
      <c r="GE78" s="62">
        <f ca="1">AVERAGE(OFFSET($GD$3,0,0,'Données projet'!$E$17+1,1))-AVERAGE(OFFSET($H$3,0,0,'Données projet'!$E$17+1,1))</f>
        <v>277.37570531842186</v>
      </c>
      <c r="GF78" s="62">
        <f t="shared" si="104"/>
        <v>310.00874200911312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projet'!$B$17,Paramètres!$A$1:$I$89,3,0)*0.475*44/12</f>
        <v>107.26827968960494</v>
      </c>
      <c r="GM78" s="23">
        <f>EXP(-LN(2)/25)*GM77+(1-EXP(-LN(2)/25))/(LN(2)/25)*Calculateur!GH78*Calculateur!GJ78*VLOOKUP('Données projet'!$B$17,Paramètres!$A$1:$I$89,3,0)*0.475*44/12</f>
        <v>0</v>
      </c>
      <c r="GN78" s="23">
        <f>EXP(-LN(2)/2)*GN77+(1-EXP(-LN(2)/2))/(LN(2)/2)*GH78*GK78*VLOOKUP('Données projet'!$B$17,Paramètres!$A$1:$I$89,3,0)*0.475*44/12</f>
        <v>0</v>
      </c>
      <c r="GO78" s="23">
        <f t="shared" si="81"/>
        <v>107.26827968960494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7.5</v>
      </c>
      <c r="N79" s="14">
        <f>IF('Données projet'!$A$36&gt;35,N78+M79-V78,IF(A79&lt;'Données projet'!$A$36,$K$205^A79,IF(A79='Données projet'!$A$36,'Données projet'!$B$36,N78+M79-V78)))</f>
        <v>212.00000000000017</v>
      </c>
      <c r="O79" s="14">
        <f>N79*VLOOKUP('Données projet'!$B$9,Paramètres!$A$1:$I$89,3,0)*VLOOKUP('Données projet'!$B$9,Paramètres!$A$1:$I$89,5,0)</f>
        <v>185.20320000000018</v>
      </c>
      <c r="P79" s="14">
        <f t="shared" si="87"/>
        <v>46.477875402099428</v>
      </c>
      <c r="Q79" s="22">
        <f t="shared" si="54"/>
        <v>403.51120632532349</v>
      </c>
      <c r="R79" s="62">
        <f t="shared" si="55"/>
        <v>672.60079070617292</v>
      </c>
      <c r="S79" s="62">
        <f ca="1">AVERAGE(OFFSET($R$3,0,0,'Données projet'!$E$9+1,1))-AVERAGE(OFFSET($H$3,0,0,'Données projet'!$E$9+1,1))</f>
        <v>401.34220206028908</v>
      </c>
      <c r="T79" s="62">
        <f t="shared" si="88"/>
        <v>265.33314259106987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28.100701581512304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28.100701581512304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7.7</v>
      </c>
      <c r="AI79" s="14">
        <f>IF('Données projet'!$A$62&gt;35,AI78+AH79-AQ78,IF(A79&lt;'Données projet'!$A$62,$AF$205^A79,IF(A79='Données projet'!$A$62,'Données projet'!$B$62,AI78+AH79-AQ78)))</f>
        <v>273.2</v>
      </c>
      <c r="AJ79" s="14">
        <f>AI79*VLOOKUP('Données projet'!$B$10,Paramètres!$A$1:$I$89,3,0)*VLOOKUP('Données projet'!$B$10,Paramètres!$A$1:$I$89,5,0)</f>
        <v>127.85759999999999</v>
      </c>
      <c r="AK79" s="14">
        <f t="shared" si="89"/>
        <v>33.500835840986191</v>
      </c>
      <c r="AL79" s="22">
        <f t="shared" si="58"/>
        <v>281.0326090897176</v>
      </c>
      <c r="AM79" s="62">
        <f t="shared" si="59"/>
        <v>550.12219347056703</v>
      </c>
      <c r="AN79" s="62">
        <f ca="1">AVERAGE(OFFSET($AM$3,0,0,'Données projet'!$E$10+1,1))-AVERAGE(OFFSET($H$3,0,0,'Données projet'!$E$10+1,1))</f>
        <v>253.48761861464732</v>
      </c>
      <c r="AO79" s="62">
        <f t="shared" si="90"/>
        <v>219.50855998133855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35.127764029694163</v>
      </c>
      <c r="AV79" s="23">
        <f>EXP(-LN(2)/25)*AV78+(1-EXP(-LN(2)/25))/(LN(2)/25)*Calculateur!AQ79*Calculateur!AS79*VLOOKUP('Données projet'!$B$10,Paramètres!$A$1:$I$89,3,0)*0.475*44/12</f>
        <v>8.2444322731485009</v>
      </c>
      <c r="AW79" s="23">
        <f>EXP(-LN(2)/2)*AW78+(1-EXP(-LN(2)/2))/(LN(2)/2)*AQ79*AT79*VLOOKUP('Données projet'!$B$10,Paramètres!$A$1:$I$89,3,0)*0.475*44/12</f>
        <v>0.50518690521659815</v>
      </c>
      <c r="AX79" s="23">
        <f t="shared" si="60"/>
        <v>43.877383208059264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>
        <f>BD79*VLOOKUP('Données projet'!$B$11,Paramètres!$A$1:$I$89,3,0)*VLOOKUP('Données projet'!$B$11,Paramètres!$A$1:$I$89,5,0)</f>
        <v>0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482.85256243111911</v>
      </c>
      <c r="BJ79" s="62">
        <f t="shared" si="92"/>
        <v>517.78430032567064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86.193166356078194</v>
      </c>
      <c r="BQ79" s="23">
        <f>EXP(-LN(2)/25)*BQ78+(1-EXP(-LN(2)/25))/(LN(2)/25)*Calculateur!BL79*Calculateur!BN79*VLOOKUP('Données projet'!$B$11,Paramètres!$A$1:$I$89,3,0)*0.475*44/12</f>
        <v>19.327045914749693</v>
      </c>
      <c r="BR79" s="23">
        <f>EXP(-LN(2)/2)*BR78+(1-EXP(-LN(2)/2))/(LN(2)/2)*BL79*BO79*VLOOKUP('Données projet'!$B$11,Paramètres!$A$1:$I$89,3,0)*0.475*44/12</f>
        <v>0.2275619820205351</v>
      </c>
      <c r="BS79" s="24">
        <f t="shared" si="63"/>
        <v>105.74777425284842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>
        <f>BY79*VLOOKUP('Données projet'!$B$12,Paramètres!$A$1:$I$89,3,0)*VLOOKUP('Données projet'!$B$12,Paramètres!$A$1:$I$89,5,0)</f>
        <v>0</v>
      </c>
      <c r="CA79" s="14" t="e">
        <f t="shared" si="93"/>
        <v>#NUM!</v>
      </c>
      <c r="CB79" s="22" t="e">
        <f t="shared" si="64"/>
        <v>#NUM!</v>
      </c>
      <c r="CC79" s="62" t="e">
        <f t="shared" si="65"/>
        <v>#NUM!</v>
      </c>
      <c r="CD79" s="62">
        <f ca="1">AVERAGE(OFFSET($CC$3,0,0,'Données projet'!$E$12+1,1))-AVERAGE(OFFSET($H$3,0,0,'Données projet'!$E$12+1,1))</f>
        <v>275.76900776033335</v>
      </c>
      <c r="CE79" s="62">
        <f t="shared" si="94"/>
        <v>299.36898480605191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82.601784424574944</v>
      </c>
      <c r="CL79" s="23">
        <f>EXP(-LN(2)/25)*CL78+(1-EXP(-LN(2)/25))/(LN(2)/25)*Calculateur!CG79*Calculateur!CI79*VLOOKUP('Données projet'!$B$12,Paramètres!$A$1:$I$89,3,0)*0.475*44/12</f>
        <v>18.521752334968458</v>
      </c>
      <c r="CM79" s="23">
        <f>EXP(-LN(2)/2)*CM78+(1-EXP(-LN(2)/2))/(LN(2)/2)*CG79*CJ79*VLOOKUP('Données projet'!$B$12,Paramètres!$A$1:$I$89,3,0)*0.475*44/12</f>
        <v>0.21808023276967931</v>
      </c>
      <c r="CN79" s="24">
        <f t="shared" si="66"/>
        <v>101.34161699231308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7.5</v>
      </c>
      <c r="CT79" s="13">
        <f>IF('Données projet'!$A$140&gt;35,CT78+CS79-DB78,IF(A79&lt;'Données projet'!$A$140,$CQ$205^A79,IF(A79='Données projet'!$A$140,'Données projet'!$B$140,CT78+CS79-DB78)))</f>
        <v>212.00000000000017</v>
      </c>
      <c r="CU79" s="18">
        <f>CT79*VLOOKUP('Données projet'!$B$13,Paramètres!$A$1:$I$89,3,0)*VLOOKUP('Données projet'!$B$13,Paramètres!$A$1:$I$89,5,0)</f>
        <v>231.50400000000019</v>
      </c>
      <c r="CV79" s="14">
        <f t="shared" si="95"/>
        <v>56.607758031045741</v>
      </c>
      <c r="CW79" s="22">
        <f t="shared" si="67"/>
        <v>501.79464523740495</v>
      </c>
      <c r="CX79" s="62">
        <f t="shared" si="68"/>
        <v>770.88422961825438</v>
      </c>
      <c r="CY79" s="62">
        <f ca="1">AVERAGE(OFFSET($CX$3,0,0,'Données projet'!$E$13+1,1))-AVERAGE(OFFSET($H$3,0,0,'Données projet'!$E$13+1,1))</f>
        <v>482.24068797679558</v>
      </c>
      <c r="CZ79" s="62">
        <f t="shared" si="96"/>
        <v>316.28941055521693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35.125876976890368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35.125876976890368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-1.7053025658242404E-13</v>
      </c>
      <c r="DP79" s="18">
        <f>DO79*VLOOKUP('Données projet'!$B$14,Paramètres!$A$1:$I$89,3,0)*VLOOKUP('Données projet'!$B$14,Paramètres!$A$1:$I$89,5,0)</f>
        <v>-1.383341441396624E-13</v>
      </c>
      <c r="DQ79" s="14" t="e">
        <f t="shared" si="97"/>
        <v>#NUM!</v>
      </c>
      <c r="DR79" s="22" t="e">
        <f t="shared" si="70"/>
        <v>#NUM!</v>
      </c>
      <c r="DS79" s="62" t="e">
        <f t="shared" si="71"/>
        <v>#NUM!</v>
      </c>
      <c r="DT79" s="62">
        <f ca="1">AVERAGE(OFFSET($DS$3,0,0,'Données projet'!$E$14+1,1))-AVERAGE(OFFSET($H$3,0,0,'Données projet'!$E$14+1,1))</f>
        <v>325.58538970226539</v>
      </c>
      <c r="DU79" s="62">
        <f t="shared" si="98"/>
        <v>361.81085660423457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103.18057237562766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103.18057237562766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6</v>
      </c>
      <c r="EJ79" s="13">
        <f>IF('Données projet'!$A$192&gt;35,EJ78+EI79-ER78,IF(A79&lt;'Données projet'!$A$192,$EG$205^A79,IF(A79='Données projet'!$A$192,'Données projet'!$B$192,EJ78+EI79-ER78)))</f>
        <v>169.59999999999988</v>
      </c>
      <c r="EK79" s="18">
        <f>EJ79*VLOOKUP('Données projet'!$B$15,Paramètres!$A$1:$I$89,3,0)*VLOOKUP('Données projet'!$B$15,Paramètres!$A$1:$I$89,5,0)</f>
        <v>164.0371199999999</v>
      </c>
      <c r="EL79" s="14">
        <f t="shared" si="99"/>
        <v>41.751774288096485</v>
      </c>
      <c r="EM79" s="22">
        <f t="shared" si="73"/>
        <v>358.41565755176788</v>
      </c>
      <c r="EN79" s="62">
        <f t="shared" si="74"/>
        <v>627.50524193261731</v>
      </c>
      <c r="EO79" s="62">
        <f ca="1">AVERAGE(OFFSET($EN$3,0,0,'Données projet'!$E$15+1,1))-AVERAGE(OFFSET($H$3,0,0,'Données projet'!$E$15+1,1))</f>
        <v>364.22267539944085</v>
      </c>
      <c r="EP79" s="62">
        <f t="shared" si="100"/>
        <v>241.947139538615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24.889192829339464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24.889192829339464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-1.7053025658242404E-13</v>
      </c>
      <c r="FF79" s="18">
        <f>FE79*VLOOKUP('Données projet'!$B$16,Paramètres!$A$1:$I$89,3,0)*VLOOKUP('Données projet'!$B$16,Paramètres!$A$1:$I$89,5,0)</f>
        <v>-1.4897523215040567E-13</v>
      </c>
      <c r="FG79" s="14" t="e">
        <f t="shared" si="101"/>
        <v>#NUM!</v>
      </c>
      <c r="FH79" s="22" t="e">
        <f t="shared" si="76"/>
        <v>#NUM!</v>
      </c>
      <c r="FI79" s="62" t="e">
        <f t="shared" si="77"/>
        <v>#NUM!</v>
      </c>
      <c r="FJ79" s="62">
        <f ca="1">AVERAGE(OFFSET($FI$3,0,0,'Données projet'!$E$16+1,1))-AVERAGE(OFFSET($H$3,0,0,'Données projet'!$E$16+1,1))</f>
        <v>286.59837239471312</v>
      </c>
      <c r="FK79" s="62">
        <f t="shared" si="102"/>
        <v>319.26091328564689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89.556685320558998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89.556685320558998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-1.7053025658242404E-13</v>
      </c>
      <c r="GA79" s="18">
        <f>FZ79*VLOOKUP('Données projet'!$B$17,Paramètres!$A$1:$I$89,3,0)*VLOOKUP('Données projet'!$B$17,Paramètres!$A$1:$I$89,5,0)</f>
        <v>-1.1439169611549005E-13</v>
      </c>
      <c r="GB79" s="14" t="e">
        <f t="shared" si="103"/>
        <v>#NUM!</v>
      </c>
      <c r="GC79" s="22" t="e">
        <f t="shared" si="79"/>
        <v>#NUM!</v>
      </c>
      <c r="GD79" s="62" t="e">
        <f t="shared" si="80"/>
        <v>#NUM!</v>
      </c>
      <c r="GE79" s="62">
        <f ca="1">AVERAGE(OFFSET($GD$3,0,0,'Données projet'!$E$17+1,1))-AVERAGE(OFFSET($H$3,0,0,'Données projet'!$E$17+1,1))</f>
        <v>277.37570531842186</v>
      </c>
      <c r="GF79" s="62">
        <f t="shared" si="104"/>
        <v>310.00874200911312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projet'!$B$17,Paramètres!$A$1:$I$89,3,0)*0.475*44/12</f>
        <v>105.164814152082</v>
      </c>
      <c r="GM79" s="23">
        <f>EXP(-LN(2)/25)*GM78+(1-EXP(-LN(2)/25))/(LN(2)/25)*Calculateur!GH79*Calculateur!GJ79*VLOOKUP('Données projet'!$B$17,Paramètres!$A$1:$I$89,3,0)*0.475*44/12</f>
        <v>0</v>
      </c>
      <c r="GN79" s="23">
        <f>EXP(-LN(2)/2)*GN78+(1-EXP(-LN(2)/2))/(LN(2)/2)*GH79*GK79*VLOOKUP('Données projet'!$B$17,Paramètres!$A$1:$I$89,3,0)*0.475*44/12</f>
        <v>0</v>
      </c>
      <c r="GO79" s="23">
        <f t="shared" si="81"/>
        <v>105.164814152082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7.5</v>
      </c>
      <c r="N80" s="14">
        <f>IF('Données projet'!$A$36&gt;35,N79+M80-V79,IF(A80&lt;'Données projet'!$A$36,$K$205^A80,IF(A80='Données projet'!$A$36,'Données projet'!$B$36,N79+M80-V79)))</f>
        <v>219.50000000000017</v>
      </c>
      <c r="O80" s="14">
        <f>N80*VLOOKUP('Données projet'!$B$9,Paramètres!$A$1:$I$89,3,0)*VLOOKUP('Données projet'!$B$9,Paramètres!$A$1:$I$89,5,0)</f>
        <v>191.75520000000017</v>
      </c>
      <c r="P80" s="14">
        <f t="shared" si="87"/>
        <v>47.927794731043527</v>
      </c>
      <c r="Q80" s="22">
        <f t="shared" si="54"/>
        <v>417.44788248990108</v>
      </c>
      <c r="R80" s="62">
        <f t="shared" si="55"/>
        <v>686.95804171417331</v>
      </c>
      <c r="S80" s="62">
        <f ca="1">AVERAGE(OFFSET($R$3,0,0,'Données projet'!$E$9+1,1))-AVERAGE(OFFSET($H$3,0,0,'Données projet'!$E$9+1,1))</f>
        <v>401.34220206028908</v>
      </c>
      <c r="T80" s="62">
        <f t="shared" si="88"/>
        <v>265.33314259106987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27.549663963234405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27.549663963234405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7.7</v>
      </c>
      <c r="AI80" s="14">
        <f>IF('Données projet'!$A$62&gt;35,AI79+AH80-AQ79,IF(A80&lt;'Données projet'!$A$62,$AF$205^A80,IF(A80='Données projet'!$A$62,'Données projet'!$B$62,AI79+AH80-AQ79)))</f>
        <v>280.89999999999998</v>
      </c>
      <c r="AJ80" s="14">
        <f>AI80*VLOOKUP('Données projet'!$B$10,Paramètres!$A$1:$I$89,3,0)*VLOOKUP('Données projet'!$B$10,Paramètres!$A$1:$I$89,5,0)</f>
        <v>131.46119999999999</v>
      </c>
      <c r="AK80" s="14">
        <f t="shared" si="89"/>
        <v>34.333779795313987</v>
      </c>
      <c r="AL80" s="22">
        <f t="shared" si="58"/>
        <v>288.7595898101718</v>
      </c>
      <c r="AM80" s="62">
        <f t="shared" si="59"/>
        <v>558.26974903444409</v>
      </c>
      <c r="AN80" s="62">
        <f ca="1">AVERAGE(OFFSET($AM$3,0,0,'Données projet'!$E$10+1,1))-AVERAGE(OFFSET($H$3,0,0,'Données projet'!$E$10+1,1))</f>
        <v>253.48761861464732</v>
      </c>
      <c r="AO80" s="62">
        <f t="shared" si="90"/>
        <v>219.50855998133855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34.438930002892292</v>
      </c>
      <c r="AV80" s="23">
        <f>EXP(-LN(2)/25)*AV79+(1-EXP(-LN(2)/25))/(LN(2)/25)*Calculateur!AQ80*Calculateur!AS80*VLOOKUP('Données projet'!$B$10,Paramètres!$A$1:$I$89,3,0)*0.475*44/12</f>
        <v>8.0189878390834046</v>
      </c>
      <c r="AW80" s="23">
        <f>EXP(-LN(2)/2)*AW79+(1-EXP(-LN(2)/2))/(LN(2)/2)*AQ80*AT80*VLOOKUP('Données projet'!$B$10,Paramètres!$A$1:$I$89,3,0)*0.475*44/12</f>
        <v>0.35722108644530221</v>
      </c>
      <c r="AX80" s="23">
        <f t="shared" si="60"/>
        <v>42.815138928421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>
        <f>BD80*VLOOKUP('Données projet'!$B$11,Paramètres!$A$1:$I$89,3,0)*VLOOKUP('Données projet'!$B$11,Paramètres!$A$1:$I$89,5,0)</f>
        <v>0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482.85256243111911</v>
      </c>
      <c r="BJ80" s="62">
        <f t="shared" si="92"/>
        <v>517.78430032567064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84.502970936475862</v>
      </c>
      <c r="BQ80" s="23">
        <f>EXP(-LN(2)/25)*BQ79+(1-EXP(-LN(2)/25))/(LN(2)/25)*Calculateur!BL80*Calculateur!BN80*VLOOKUP('Données projet'!$B$11,Paramètres!$A$1:$I$89,3,0)*0.475*44/12</f>
        <v>18.798546827845691</v>
      </c>
      <c r="BR80" s="23">
        <f>EXP(-LN(2)/2)*BR79+(1-EXP(-LN(2)/2))/(LN(2)/2)*BL80*BO80*VLOOKUP('Données projet'!$B$11,Paramètres!$A$1:$I$89,3,0)*0.475*44/12</f>
        <v>0.16091062062697159</v>
      </c>
      <c r="BS80" s="24">
        <f t="shared" si="63"/>
        <v>103.46242838494852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>
        <f>BY80*VLOOKUP('Données projet'!$B$12,Paramètres!$A$1:$I$89,3,0)*VLOOKUP('Données projet'!$B$12,Paramètres!$A$1:$I$89,5,0)</f>
        <v>0</v>
      </c>
      <c r="CA80" s="14" t="e">
        <f t="shared" si="93"/>
        <v>#NUM!</v>
      </c>
      <c r="CB80" s="22" t="e">
        <f t="shared" si="64"/>
        <v>#NUM!</v>
      </c>
      <c r="CC80" s="62" t="e">
        <f t="shared" si="65"/>
        <v>#NUM!</v>
      </c>
      <c r="CD80" s="62">
        <f ca="1">AVERAGE(OFFSET($CC$3,0,0,'Données projet'!$E$12+1,1))-AVERAGE(OFFSET($H$3,0,0,'Données projet'!$E$12+1,1))</f>
        <v>275.76900776033335</v>
      </c>
      <c r="CE80" s="62">
        <f t="shared" si="94"/>
        <v>299.36898480605191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80.982013814122709</v>
      </c>
      <c r="CL80" s="23">
        <f>EXP(-LN(2)/25)*CL79+(1-EXP(-LN(2)/25))/(LN(2)/25)*Calculateur!CG80*Calculateur!CI80*VLOOKUP('Données projet'!$B$12,Paramètres!$A$1:$I$89,3,0)*0.475*44/12</f>
        <v>18.015274043352122</v>
      </c>
      <c r="CM80" s="23">
        <f>EXP(-LN(2)/2)*CM79+(1-EXP(-LN(2)/2))/(LN(2)/2)*CG80*CJ80*VLOOKUP('Données projet'!$B$12,Paramètres!$A$1:$I$89,3,0)*0.475*44/12</f>
        <v>0.15420601143418097</v>
      </c>
      <c r="CN80" s="24">
        <f t="shared" si="66"/>
        <v>99.151493868909014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7.5</v>
      </c>
      <c r="CT80" s="13">
        <f>IF('Données projet'!$A$140&gt;35,CT79+CS80-DB79,IF(A80&lt;'Données projet'!$A$140,$CQ$205^A80,IF(A80='Données projet'!$A$140,'Données projet'!$B$140,CT79+CS80-DB79)))</f>
        <v>219.50000000000017</v>
      </c>
      <c r="CU80" s="18">
        <f>CT80*VLOOKUP('Données projet'!$B$13,Paramètres!$A$1:$I$89,3,0)*VLOOKUP('Données projet'!$B$13,Paramètres!$A$1:$I$89,5,0)</f>
        <v>239.69400000000019</v>
      </c>
      <c r="CV80" s="14">
        <f t="shared" si="95"/>
        <v>58.373688203785441</v>
      </c>
      <c r="CW80" s="22">
        <f t="shared" si="67"/>
        <v>519.13455695492655</v>
      </c>
      <c r="CX80" s="62">
        <f t="shared" si="68"/>
        <v>788.64471617919889</v>
      </c>
      <c r="CY80" s="62">
        <f ca="1">AVERAGE(OFFSET($CX$3,0,0,'Données projet'!$E$13+1,1))-AVERAGE(OFFSET($H$3,0,0,'Données projet'!$E$13+1,1))</f>
        <v>482.24068797679558</v>
      </c>
      <c r="CZ80" s="62">
        <f t="shared" si="96"/>
        <v>316.28941055521693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34.437079954042993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34.437079954042993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-1.7053025658242404E-13</v>
      </c>
      <c r="DP80" s="18">
        <f>DO80*VLOOKUP('Données projet'!$B$14,Paramètres!$A$1:$I$89,3,0)*VLOOKUP('Données projet'!$B$14,Paramètres!$A$1:$I$89,5,0)</f>
        <v>-1.383341441396624E-13</v>
      </c>
      <c r="DQ80" s="14" t="e">
        <f t="shared" si="97"/>
        <v>#NUM!</v>
      </c>
      <c r="DR80" s="22" t="e">
        <f t="shared" si="70"/>
        <v>#NUM!</v>
      </c>
      <c r="DS80" s="62" t="e">
        <f t="shared" si="71"/>
        <v>#NUM!</v>
      </c>
      <c r="DT80" s="62">
        <f ca="1">AVERAGE(OFFSET($DS$3,0,0,'Données projet'!$E$14+1,1))-AVERAGE(OFFSET($H$3,0,0,'Données projet'!$E$14+1,1))</f>
        <v>325.58538970226539</v>
      </c>
      <c r="DU80" s="62">
        <f t="shared" si="98"/>
        <v>361.81085660423457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101.15726428527654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101.15726428527654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6</v>
      </c>
      <c r="EJ80" s="13">
        <f>IF('Données projet'!$A$192&gt;35,EJ79+EI80-ER79,IF(A80&lt;'Données projet'!$A$192,$EG$205^A80,IF(A80='Données projet'!$A$192,'Données projet'!$B$192,EJ79+EI80-ER79)))</f>
        <v>175.59999999999988</v>
      </c>
      <c r="EK80" s="18">
        <f>EJ80*VLOOKUP('Données projet'!$B$15,Paramètres!$A$1:$I$89,3,0)*VLOOKUP('Données projet'!$B$15,Paramètres!$A$1:$I$89,5,0)</f>
        <v>169.84031999999991</v>
      </c>
      <c r="EL80" s="14">
        <f t="shared" si="99"/>
        <v>43.054258621433497</v>
      </c>
      <c r="EM80" s="22">
        <f t="shared" si="73"/>
        <v>370.79139109899648</v>
      </c>
      <c r="EN80" s="62">
        <f t="shared" si="74"/>
        <v>640.30155032326877</v>
      </c>
      <c r="EO80" s="62">
        <f ca="1">AVERAGE(OFFSET($EN$3,0,0,'Données projet'!$E$15+1,1))-AVERAGE(OFFSET($H$3,0,0,'Données projet'!$E$15+1,1))</f>
        <v>364.22267539944085</v>
      </c>
      <c r="EP80" s="62">
        <f t="shared" si="100"/>
        <v>241.947139538615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24.401130938864753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24.401130938864753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-1.7053025658242404E-13</v>
      </c>
      <c r="FF80" s="18">
        <f>FE80*VLOOKUP('Données projet'!$B$16,Paramètres!$A$1:$I$89,3,0)*VLOOKUP('Données projet'!$B$16,Paramètres!$A$1:$I$89,5,0)</f>
        <v>-1.4897523215040567E-13</v>
      </c>
      <c r="FG80" s="14" t="e">
        <f t="shared" si="101"/>
        <v>#NUM!</v>
      </c>
      <c r="FH80" s="22" t="e">
        <f t="shared" si="76"/>
        <v>#NUM!</v>
      </c>
      <c r="FI80" s="62" t="e">
        <f t="shared" si="77"/>
        <v>#NUM!</v>
      </c>
      <c r="FJ80" s="62">
        <f ca="1">AVERAGE(OFFSET($FI$3,0,0,'Données projet'!$E$16+1,1))-AVERAGE(OFFSET($H$3,0,0,'Données projet'!$E$16+1,1))</f>
        <v>286.59837239471312</v>
      </c>
      <c r="FK80" s="62">
        <f t="shared" si="102"/>
        <v>319.26091328564689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87.800533345607192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87.800533345607192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-1.7053025658242404E-13</v>
      </c>
      <c r="GA80" s="18">
        <f>FZ80*VLOOKUP('Données projet'!$B$17,Paramètres!$A$1:$I$89,3,0)*VLOOKUP('Données projet'!$B$17,Paramètres!$A$1:$I$89,5,0)</f>
        <v>-1.1439169611549005E-13</v>
      </c>
      <c r="GB80" s="14" t="e">
        <f t="shared" si="103"/>
        <v>#NUM!</v>
      </c>
      <c r="GC80" s="22" t="e">
        <f t="shared" si="79"/>
        <v>#NUM!</v>
      </c>
      <c r="GD80" s="62" t="e">
        <f t="shared" si="80"/>
        <v>#NUM!</v>
      </c>
      <c r="GE80" s="62">
        <f ca="1">AVERAGE(OFFSET($GD$3,0,0,'Données projet'!$E$17+1,1))-AVERAGE(OFFSET($H$3,0,0,'Données projet'!$E$17+1,1))</f>
        <v>277.37570531842186</v>
      </c>
      <c r="GF80" s="62">
        <f t="shared" si="104"/>
        <v>310.00874200911312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projet'!$B$17,Paramètres!$A$1:$I$89,3,0)*0.475*44/12</f>
        <v>103.10259629076259</v>
      </c>
      <c r="GM80" s="23">
        <f>EXP(-LN(2)/25)*GM79+(1-EXP(-LN(2)/25))/(LN(2)/25)*Calculateur!GH80*Calculateur!GJ80*VLOOKUP('Données projet'!$B$17,Paramètres!$A$1:$I$89,3,0)*0.475*44/12</f>
        <v>0</v>
      </c>
      <c r="GN80" s="23">
        <f>EXP(-LN(2)/2)*GN79+(1-EXP(-LN(2)/2))/(LN(2)/2)*GH80*GK80*VLOOKUP('Données projet'!$B$17,Paramètres!$A$1:$I$89,3,0)*0.475*44/12</f>
        <v>0</v>
      </c>
      <c r="GO80" s="23">
        <f t="shared" si="81"/>
        <v>103.10259629076259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>
        <f>VLOOKUP(A81,'Données projet'!$A$35:$I$55,2,0)</f>
        <v>227</v>
      </c>
      <c r="L81" s="13">
        <f>VLOOKUP(A81,'Données projet'!$A$35:$I$55,9,0)</f>
        <v>7.5</v>
      </c>
      <c r="M81" s="13">
        <f t="array" ref="M81">INDEX(L:L,MIN(IF(ISNUMBER(L81:L277),ROW(L81:L277),"")))</f>
        <v>7.5</v>
      </c>
      <c r="N81" s="14">
        <f>IF('Données projet'!$A$36&gt;35,N80+M81-V80,IF(A81&lt;'Données projet'!$A$36,$K$205^A81,IF(A81='Données projet'!$A$36,'Données projet'!$B$36,N80+M81-V80)))</f>
        <v>227.00000000000017</v>
      </c>
      <c r="O81" s="14">
        <f>N81*VLOOKUP('Données projet'!$B$9,Paramètres!$A$1:$I$89,3,0)*VLOOKUP('Données projet'!$B$9,Paramètres!$A$1:$I$89,5,0)</f>
        <v>198.30720000000017</v>
      </c>
      <c r="P81" s="14">
        <f t="shared" si="87"/>
        <v>49.371957679623414</v>
      </c>
      <c r="Q81" s="22">
        <f t="shared" si="54"/>
        <v>431.37453295867772</v>
      </c>
      <c r="R81" s="62">
        <f t="shared" si="55"/>
        <v>701.29797099310395</v>
      </c>
      <c r="S81" s="62">
        <f ca="1">AVERAGE(OFFSET($R$3,0,0,'Données projet'!$E$9+1,1))-AVERAGE(OFFSET($H$3,0,0,'Données projet'!$E$9+1,1))</f>
        <v>401.34220206028908</v>
      </c>
      <c r="T81" s="62">
        <f t="shared" si="88"/>
        <v>265.33314259106987</v>
      </c>
      <c r="U81" s="16">
        <f>IF(ISNA(VLOOKUP(A81,'Données projet'!$A$35:$I$55,3,0)),0,VLOOKUP(A81,'Données projet'!$A$35:$I$55,3,0))</f>
        <v>7</v>
      </c>
      <c r="V81" s="16">
        <f>IF(ISNA(VLOOKUP(A81,'Données projet'!$A$35:$I$55,4,0)),0,VLOOKUP(A81,'Données projet'!$A$35:$I$55,4,0))</f>
        <v>42</v>
      </c>
      <c r="W81" s="17">
        <f>IF(ISNA(VLOOKUP(A81,'Données projet'!$A$35:$I$55,5,0)),0%,VLOOKUP(A81,'Données projet'!$A$35:$I$55,5,0)*VLOOKUP('Données projet'!$B$9,Paramètres!$A$1:$I$89,7,0))</f>
        <v>0.30099999999999999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39.218303328196505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39.218303328196505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7.7</v>
      </c>
      <c r="AI81" s="14">
        <f>IF('Données projet'!$A$62&gt;35,AI80+AH81-AQ80,IF(A81&lt;'Données projet'!$A$62,$AF$205^A81,IF(A81='Données projet'!$A$62,'Données projet'!$B$62,AI80+AH81-AQ80)))</f>
        <v>288.59999999999997</v>
      </c>
      <c r="AJ81" s="14">
        <f>AI81*VLOOKUP('Données projet'!$B$10,Paramètres!$A$1:$I$89,3,0)*VLOOKUP('Données projet'!$B$10,Paramètres!$A$1:$I$89,5,0)</f>
        <v>135.06479999999999</v>
      </c>
      <c r="AK81" s="14">
        <f t="shared" si="89"/>
        <v>35.164069923019092</v>
      </c>
      <c r="AL81" s="22">
        <f t="shared" si="58"/>
        <v>296.4819484492582</v>
      </c>
      <c r="AM81" s="62">
        <f t="shared" si="59"/>
        <v>566.40538648368442</v>
      </c>
      <c r="AN81" s="62">
        <f ca="1">AVERAGE(OFFSET($AM$3,0,0,'Données projet'!$E$10+1,1))-AVERAGE(OFFSET($H$3,0,0,'Données projet'!$E$10+1,1))</f>
        <v>253.48761861464732</v>
      </c>
      <c r="AO81" s="62">
        <f t="shared" si="90"/>
        <v>219.50855998133855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33.763603591208735</v>
      </c>
      <c r="AV81" s="23">
        <f>EXP(-LN(2)/25)*AV80+(1-EXP(-LN(2)/25))/(LN(2)/25)*Calculateur!AQ81*Calculateur!AS81*VLOOKUP('Données projet'!$B$10,Paramètres!$A$1:$I$89,3,0)*0.475*44/12</f>
        <v>7.7997081949234257</v>
      </c>
      <c r="AW81" s="23">
        <f>EXP(-LN(2)/2)*AW80+(1-EXP(-LN(2)/2))/(LN(2)/2)*AQ81*AT81*VLOOKUP('Données projet'!$B$10,Paramètres!$A$1:$I$89,3,0)*0.475*44/12</f>
        <v>0.25259345260829907</v>
      </c>
      <c r="AX81" s="23">
        <f t="shared" si="60"/>
        <v>41.815905238740463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>
        <f>BD81*VLOOKUP('Données projet'!$B$11,Paramètres!$A$1:$I$89,3,0)*VLOOKUP('Données projet'!$B$11,Paramètres!$A$1:$I$89,5,0)</f>
        <v>0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482.85256243111911</v>
      </c>
      <c r="BJ81" s="62">
        <f t="shared" si="92"/>
        <v>517.78430032567064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82.845919218134526</v>
      </c>
      <c r="BQ81" s="23">
        <f>EXP(-LN(2)/25)*BQ80+(1-EXP(-LN(2)/25))/(LN(2)/25)*Calculateur!BL81*Calculateur!BN81*VLOOKUP('Données projet'!$B$11,Paramètres!$A$1:$I$89,3,0)*0.475*44/12</f>
        <v>18.284499576265638</v>
      </c>
      <c r="BR81" s="23">
        <f>EXP(-LN(2)/2)*BR80+(1-EXP(-LN(2)/2))/(LN(2)/2)*BL81*BO81*VLOOKUP('Données projet'!$B$11,Paramètres!$A$1:$I$89,3,0)*0.475*44/12</f>
        <v>0.11378099101026756</v>
      </c>
      <c r="BS81" s="24">
        <f t="shared" si="63"/>
        <v>101.24419978541043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>
        <f>BY81*VLOOKUP('Données projet'!$B$12,Paramètres!$A$1:$I$89,3,0)*VLOOKUP('Données projet'!$B$12,Paramètres!$A$1:$I$89,5,0)</f>
        <v>0</v>
      </c>
      <c r="CA81" s="14" t="e">
        <f t="shared" si="93"/>
        <v>#NUM!</v>
      </c>
      <c r="CB81" s="22" t="e">
        <f t="shared" si="64"/>
        <v>#NUM!</v>
      </c>
      <c r="CC81" s="62" t="e">
        <f t="shared" si="65"/>
        <v>#NUM!</v>
      </c>
      <c r="CD81" s="62">
        <f ca="1">AVERAGE(OFFSET($CC$3,0,0,'Données projet'!$E$12+1,1))-AVERAGE(OFFSET($H$3,0,0,'Données projet'!$E$12+1,1))</f>
        <v>275.76900776033335</v>
      </c>
      <c r="CE81" s="62">
        <f t="shared" si="94"/>
        <v>299.36898480605191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79.394005917378919</v>
      </c>
      <c r="CL81" s="23">
        <f>EXP(-LN(2)/25)*CL80+(1-EXP(-LN(2)/25))/(LN(2)/25)*Calculateur!CG81*Calculateur!CI81*VLOOKUP('Données projet'!$B$12,Paramètres!$A$1:$I$89,3,0)*0.475*44/12</f>
        <v>17.52264542725457</v>
      </c>
      <c r="CM81" s="23">
        <f>EXP(-LN(2)/2)*CM80+(1-EXP(-LN(2)/2))/(LN(2)/2)*CG81*CJ81*VLOOKUP('Données projet'!$B$12,Paramètres!$A$1:$I$89,3,0)*0.475*44/12</f>
        <v>0.10904011638483965</v>
      </c>
      <c r="CN81" s="24">
        <f t="shared" si="66"/>
        <v>97.025691461018326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>
        <f>VLOOKUP(A81,'Données projet'!$A$139:$I$159,2,0)</f>
        <v>227</v>
      </c>
      <c r="CR81" s="13">
        <f>VLOOKUP(A81,'Données projet'!$A$139:$I$159,9,0)</f>
        <v>7.5</v>
      </c>
      <c r="CS81" s="13">
        <f t="array" ref="CS81">INDEX(CR:CR,MIN(IF(ISNUMBER(CR81:CR277),ROW(CR81:CR277),"")))</f>
        <v>7.5</v>
      </c>
      <c r="CT81" s="13">
        <f>IF('Données projet'!$A$140&gt;35,CT80+CS81-DB80,IF(A81&lt;'Données projet'!$A$140,$CQ$205^A81,IF(A81='Données projet'!$A$140,'Données projet'!$B$140,CT80+CS81-DB80)))</f>
        <v>227.00000000000017</v>
      </c>
      <c r="CU81" s="18">
        <f>CT81*VLOOKUP('Données projet'!$B$13,Paramètres!$A$1:$I$89,3,0)*VLOOKUP('Données projet'!$B$13,Paramètres!$A$1:$I$89,5,0)</f>
        <v>247.88400000000019</v>
      </c>
      <c r="CV81" s="14">
        <f t="shared" si="95"/>
        <v>60.132607389383942</v>
      </c>
      <c r="CW81" s="22">
        <f t="shared" si="67"/>
        <v>536.46225786984394</v>
      </c>
      <c r="CX81" s="62">
        <f t="shared" si="68"/>
        <v>806.38569590427016</v>
      </c>
      <c r="CY81" s="62">
        <f ca="1">AVERAGE(OFFSET($CX$3,0,0,'Données projet'!$E$13+1,1))-AVERAGE(OFFSET($H$3,0,0,'Données projet'!$E$13+1,1))</f>
        <v>482.24068797679558</v>
      </c>
      <c r="CZ81" s="62">
        <f t="shared" si="96"/>
        <v>316.28941055521693</v>
      </c>
      <c r="DA81" s="16">
        <f>IF(ISNA(VLOOKUP(A81,'Données projet'!$A$139:$I$159,3,0)),0,VLOOKUP(A81,'Données projet'!$A$139:$I$159,3,0))</f>
        <v>7</v>
      </c>
      <c r="DB81" s="16">
        <f>IF(ISNA(VLOOKUP(A81,'Données projet'!$A$139:$I$159,4,0)),0,VLOOKUP(A81,'Données projet'!$A$139:$I$159,4,0))</f>
        <v>42</v>
      </c>
      <c r="DC81" s="17">
        <f>IF(ISNA(VLOOKUP(A81,'Données projet'!$A$139:$I$159,5,0)),0%,VLOOKUP(A81,'Données projet'!$A$139:$I$159,5,0)*VLOOKUP('Données projet'!$B$13,Paramètres!$A$1:$I$89,7,0))</f>
        <v>0.30099999999999999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49.022879160245623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49.022879160245623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-1.7053025658242404E-13</v>
      </c>
      <c r="DP81" s="18">
        <f>DO81*VLOOKUP('Données projet'!$B$14,Paramètres!$A$1:$I$89,3,0)*VLOOKUP('Données projet'!$B$14,Paramètres!$A$1:$I$89,5,0)</f>
        <v>-1.383341441396624E-13</v>
      </c>
      <c r="DQ81" s="14" t="e">
        <f t="shared" si="97"/>
        <v>#NUM!</v>
      </c>
      <c r="DR81" s="22" t="e">
        <f t="shared" si="70"/>
        <v>#NUM!</v>
      </c>
      <c r="DS81" s="62" t="e">
        <f t="shared" si="71"/>
        <v>#NUM!</v>
      </c>
      <c r="DT81" s="62">
        <f ca="1">AVERAGE(OFFSET($DS$3,0,0,'Données projet'!$E$14+1,1))-AVERAGE(OFFSET($H$3,0,0,'Données projet'!$E$14+1,1))</f>
        <v>325.58538970226539</v>
      </c>
      <c r="DU81" s="62">
        <f t="shared" si="98"/>
        <v>361.81085660423457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99.173632032481123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99.173632032481123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>
        <f>VLOOKUP(A81,'Données projet'!$A$191:$I$211,2,0)</f>
        <v>181.6</v>
      </c>
      <c r="EH81" s="13">
        <f>VLOOKUP(A81,'Données projet'!$A$191:$I$211,9,0)</f>
        <v>6</v>
      </c>
      <c r="EI81" s="13">
        <f t="array" ref="EI81">INDEX(EH:EH,MIN(IF(ISNUMBER(EH81:EH277),ROW(EH81:EH277),"")))</f>
        <v>6</v>
      </c>
      <c r="EJ81" s="13">
        <f>IF('Données projet'!$A$192&gt;35,EJ80+EI81-ER80,IF(A81&lt;'Données projet'!$A$192,$EG$205^A81,IF(A81='Données projet'!$A$192,'Données projet'!$B$192,EJ80+EI81-ER80)))</f>
        <v>181.59999999999988</v>
      </c>
      <c r="EK81" s="18">
        <f>EJ81*VLOOKUP('Données projet'!$B$15,Paramètres!$A$1:$I$89,3,0)*VLOOKUP('Données projet'!$B$15,Paramètres!$A$1:$I$89,5,0)</f>
        <v>175.64351999999988</v>
      </c>
      <c r="EL81" s="14">
        <f t="shared" si="99"/>
        <v>44.351571911739697</v>
      </c>
      <c r="EM81" s="22">
        <f t="shared" si="73"/>
        <v>383.15811841294641</v>
      </c>
      <c r="EN81" s="62">
        <f t="shared" si="74"/>
        <v>653.08155644737258</v>
      </c>
      <c r="EO81" s="62">
        <f ca="1">AVERAGE(OFFSET($EN$3,0,0,'Données projet'!$E$15+1,1))-AVERAGE(OFFSET($H$3,0,0,'Données projet'!$E$15+1,1))</f>
        <v>364.22267539944085</v>
      </c>
      <c r="EP81" s="62">
        <f t="shared" si="100"/>
        <v>241.947139538615</v>
      </c>
      <c r="EQ81" s="16">
        <f>IF(ISNA(VLOOKUP(A81,'Données projet'!$A$191:$I$211,3,0)),0,VLOOKUP(A81,'Données projet'!$A$191:$I$211,3,0))</f>
        <v>7</v>
      </c>
      <c r="ER81" s="16">
        <f>IF(ISNA(VLOOKUP(A81,'Données projet'!$A$191:$I$211,4,0)),0,VLOOKUP(A81,'Données projet'!$A$191:$I$211,4,0))</f>
        <v>33.6</v>
      </c>
      <c r="ES81" s="17">
        <f>IF(ISNA(VLOOKUP(A81,'Données projet'!$A$191:$I$211,5,0)),0%,VLOOKUP(A81,'Données projet'!$A$191:$I$211,5,0)*VLOOKUP('Données projet'!$B$15,Paramètres!$A$1:$I$89,7,0))</f>
        <v>0.30099999999999999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34.736211519259754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34.736211519259754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-1.7053025658242404E-13</v>
      </c>
      <c r="FF81" s="18">
        <f>FE81*VLOOKUP('Données projet'!$B$16,Paramètres!$A$1:$I$89,3,0)*VLOOKUP('Données projet'!$B$16,Paramètres!$A$1:$I$89,5,0)</f>
        <v>-1.4897523215040567E-13</v>
      </c>
      <c r="FG81" s="14" t="e">
        <f t="shared" si="101"/>
        <v>#NUM!</v>
      </c>
      <c r="FH81" s="22" t="e">
        <f t="shared" si="76"/>
        <v>#NUM!</v>
      </c>
      <c r="FI81" s="62" t="e">
        <f t="shared" si="77"/>
        <v>#NUM!</v>
      </c>
      <c r="FJ81" s="62">
        <f ca="1">AVERAGE(OFFSET($FI$3,0,0,'Données projet'!$E$16+1,1))-AVERAGE(OFFSET($H$3,0,0,'Données projet'!$E$16+1,1))</f>
        <v>286.59837239471312</v>
      </c>
      <c r="FK81" s="62">
        <f t="shared" si="102"/>
        <v>319.26091328564689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86.078818439737248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86.078818439737248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-1.7053025658242404E-13</v>
      </c>
      <c r="GA81" s="18">
        <f>FZ81*VLOOKUP('Données projet'!$B$17,Paramètres!$A$1:$I$89,3,0)*VLOOKUP('Données projet'!$B$17,Paramètres!$A$1:$I$89,5,0)</f>
        <v>-1.1439169611549005E-13</v>
      </c>
      <c r="GB81" s="14" t="e">
        <f t="shared" si="103"/>
        <v>#NUM!</v>
      </c>
      <c r="GC81" s="22" t="e">
        <f t="shared" si="79"/>
        <v>#NUM!</v>
      </c>
      <c r="GD81" s="62" t="e">
        <f t="shared" si="80"/>
        <v>#NUM!</v>
      </c>
      <c r="GE81" s="62">
        <f ca="1">AVERAGE(OFFSET($GD$3,0,0,'Données projet'!$E$17+1,1))-AVERAGE(OFFSET($H$3,0,0,'Données projet'!$E$17+1,1))</f>
        <v>277.37570531842186</v>
      </c>
      <c r="GF81" s="62">
        <f t="shared" si="104"/>
        <v>310.00874200911312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projet'!$B$17,Paramètres!$A$1:$I$89,3,0)*0.475*44/12</f>
        <v>101.08081726387496</v>
      </c>
      <c r="GM81" s="23">
        <f>EXP(-LN(2)/25)*GM80+(1-EXP(-LN(2)/25))/(LN(2)/25)*Calculateur!GH81*Calculateur!GJ81*VLOOKUP('Données projet'!$B$17,Paramètres!$A$1:$I$89,3,0)*0.475*44/12</f>
        <v>0</v>
      </c>
      <c r="GN81" s="23">
        <f>EXP(-LN(2)/2)*GN80+(1-EXP(-LN(2)/2))/(LN(2)/2)*GH81*GK81*VLOOKUP('Données projet'!$B$17,Paramètres!$A$1:$I$89,3,0)*0.475*44/12</f>
        <v>0</v>
      </c>
      <c r="GO81" s="23">
        <f t="shared" si="81"/>
        <v>101.08081726387496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6.4444444444444446</v>
      </c>
      <c r="N82" s="14">
        <f>IF('Données projet'!$A$36&gt;35,N81+M82-V81,IF(A82&lt;'Données projet'!$A$36,$K$205^A82,IF(A82='Données projet'!$A$36,'Données projet'!$B$36,N81+M82-V81)))</f>
        <v>191.44444444444463</v>
      </c>
      <c r="O82" s="14">
        <f>N82*VLOOKUP('Données projet'!$B$9,Paramètres!$A$1:$I$89,3,0)*VLOOKUP('Données projet'!$B$9,Paramètres!$A$1:$I$89,5,0)</f>
        <v>167.24586666666687</v>
      </c>
      <c r="P82" s="14">
        <f t="shared" si="87"/>
        <v>42.472604195745014</v>
      </c>
      <c r="Q82" s="22">
        <f t="shared" si="54"/>
        <v>365.25967008536736</v>
      </c>
      <c r="R82" s="62">
        <f t="shared" si="55"/>
        <v>635.58921746654437</v>
      </c>
      <c r="S82" s="62">
        <f ca="1">AVERAGE(OFFSET($R$3,0,0,'Données projet'!$E$9+1,1))-AVERAGE(OFFSET($H$3,0,0,'Données projet'!$E$9+1,1))</f>
        <v>401.34220206028908</v>
      </c>
      <c r="T82" s="62">
        <f t="shared" si="88"/>
        <v>265.33314259106987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38.449256320733618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38.449256320733618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7.7</v>
      </c>
      <c r="AI82" s="14">
        <f>IF('Données projet'!$A$62&gt;35,AI81+AH82-AQ81,IF(A82&lt;'Données projet'!$A$62,$AF$205^A82,IF(A82='Données projet'!$A$62,'Données projet'!$B$62,AI81+AH82-AQ81)))</f>
        <v>296.29999999999995</v>
      </c>
      <c r="AJ82" s="14">
        <f>AI82*VLOOKUP('Données projet'!$B$10,Paramètres!$A$1:$I$89,3,0)*VLOOKUP('Données projet'!$B$10,Paramètres!$A$1:$I$89,5,0)</f>
        <v>138.66839999999996</v>
      </c>
      <c r="AK82" s="14">
        <f t="shared" si="89"/>
        <v>35.991785167697529</v>
      </c>
      <c r="AL82" s="22">
        <f t="shared" si="58"/>
        <v>304.19982250040647</v>
      </c>
      <c r="AM82" s="62">
        <f t="shared" si="59"/>
        <v>574.52936988158342</v>
      </c>
      <c r="AN82" s="62">
        <f ca="1">AVERAGE(OFFSET($AM$3,0,0,'Données projet'!$E$10+1,1))-AVERAGE(OFFSET($H$3,0,0,'Données projet'!$E$10+1,1))</f>
        <v>253.48761861464732</v>
      </c>
      <c r="AO82" s="62">
        <f t="shared" si="90"/>
        <v>219.50855998133855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33.101519918549855</v>
      </c>
      <c r="AV82" s="23">
        <f>EXP(-LN(2)/25)*AV81+(1-EXP(-LN(2)/25))/(LN(2)/25)*Calculateur!AQ82*Calculateur!AS82*VLOOKUP('Données projet'!$B$10,Paramètres!$A$1:$I$89,3,0)*0.475*44/12</f>
        <v>7.5864247641644171</v>
      </c>
      <c r="AW82" s="23">
        <f>EXP(-LN(2)/2)*AW81+(1-EXP(-LN(2)/2))/(LN(2)/2)*AQ82*AT82*VLOOKUP('Données projet'!$B$10,Paramètres!$A$1:$I$89,3,0)*0.475*44/12</f>
        <v>0.1786105432226511</v>
      </c>
      <c r="AX82" s="23">
        <f t="shared" si="60"/>
        <v>40.866555225936928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>
        <f>BD82*VLOOKUP('Données projet'!$B$11,Paramètres!$A$1:$I$89,3,0)*VLOOKUP('Données projet'!$B$11,Paramètres!$A$1:$I$89,5,0)</f>
        <v>0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482.85256243111911</v>
      </c>
      <c r="BJ82" s="62">
        <f t="shared" si="92"/>
        <v>517.78430032567064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81.22136127328811</v>
      </c>
      <c r="BQ82" s="23">
        <f>EXP(-LN(2)/25)*BQ81+(1-EXP(-LN(2)/25))/(LN(2)/25)*Calculateur!BL82*Calculateur!BN82*VLOOKUP('Données projet'!$B$11,Paramètres!$A$1:$I$89,3,0)*0.475*44/12</f>
        <v>17.78450897381261</v>
      </c>
      <c r="BR82" s="23">
        <f>EXP(-LN(2)/2)*BR81+(1-EXP(-LN(2)/2))/(LN(2)/2)*BL82*BO82*VLOOKUP('Données projet'!$B$11,Paramètres!$A$1:$I$89,3,0)*0.475*44/12</f>
        <v>8.0455310313485795E-2</v>
      </c>
      <c r="BS82" s="24">
        <f t="shared" si="63"/>
        <v>99.086325557414199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>
        <f>BY82*VLOOKUP('Données projet'!$B$12,Paramètres!$A$1:$I$89,3,0)*VLOOKUP('Données projet'!$B$12,Paramètres!$A$1:$I$89,5,0)</f>
        <v>0</v>
      </c>
      <c r="CA82" s="14" t="e">
        <f t="shared" si="93"/>
        <v>#NUM!</v>
      </c>
      <c r="CB82" s="22" t="e">
        <f t="shared" si="64"/>
        <v>#NUM!</v>
      </c>
      <c r="CC82" s="62" t="e">
        <f t="shared" si="65"/>
        <v>#NUM!</v>
      </c>
      <c r="CD82" s="62">
        <f ca="1">AVERAGE(OFFSET($CC$3,0,0,'Données projet'!$E$12+1,1))-AVERAGE(OFFSET($H$3,0,0,'Données projet'!$E$12+1,1))</f>
        <v>275.76900776033335</v>
      </c>
      <c r="CE82" s="62">
        <f t="shared" si="94"/>
        <v>299.36898480605191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77.837137886901104</v>
      </c>
      <c r="CL82" s="23">
        <f>EXP(-LN(2)/25)*CL81+(1-EXP(-LN(2)/25))/(LN(2)/25)*Calculateur!CG82*Calculateur!CI82*VLOOKUP('Données projet'!$B$12,Paramètres!$A$1:$I$89,3,0)*0.475*44/12</f>
        <v>17.043487766570419</v>
      </c>
      <c r="CM82" s="23">
        <f>EXP(-LN(2)/2)*CM81+(1-EXP(-LN(2)/2))/(LN(2)/2)*CG82*CJ82*VLOOKUP('Données projet'!$B$12,Paramètres!$A$1:$I$89,3,0)*0.475*44/12</f>
        <v>7.7103005717090486E-2</v>
      </c>
      <c r="CN82" s="24">
        <f t="shared" si="66"/>
        <v>94.957728659188618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6.4444444444444446</v>
      </c>
      <c r="CT82" s="13">
        <f>IF('Données projet'!$A$140&gt;35,CT81+CS82-DB81,IF(A82&lt;'Données projet'!$A$140,$CQ$205^A82,IF(A82='Données projet'!$A$140,'Données projet'!$B$140,CT81+CS82-DB81)))</f>
        <v>191.44444444444463</v>
      </c>
      <c r="CU82" s="18">
        <f>CT82*VLOOKUP('Données projet'!$B$13,Paramètres!$A$1:$I$89,3,0)*VLOOKUP('Données projet'!$B$13,Paramètres!$A$1:$I$89,5,0)</f>
        <v>209.05733333333353</v>
      </c>
      <c r="CV82" s="14">
        <f t="shared" si="95"/>
        <v>51.729535407130662</v>
      </c>
      <c r="CW82" s="22">
        <f t="shared" si="67"/>
        <v>454.2037963896417</v>
      </c>
      <c r="CX82" s="62">
        <f t="shared" si="68"/>
        <v>724.53334377081865</v>
      </c>
      <c r="CY82" s="62">
        <f ca="1">AVERAGE(OFFSET($CX$3,0,0,'Données projet'!$E$13+1,1))-AVERAGE(OFFSET($H$3,0,0,'Données projet'!$E$13+1,1))</f>
        <v>482.24068797679558</v>
      </c>
      <c r="CZ82" s="62">
        <f t="shared" si="96"/>
        <v>316.28941055521693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48.061570400917013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48.061570400917013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-1.7053025658242404E-13</v>
      </c>
      <c r="DP82" s="18">
        <f>DO82*VLOOKUP('Données projet'!$B$14,Paramètres!$A$1:$I$89,3,0)*VLOOKUP('Données projet'!$B$14,Paramètres!$A$1:$I$89,5,0)</f>
        <v>-1.383341441396624E-13</v>
      </c>
      <c r="DQ82" s="14" t="e">
        <f t="shared" si="97"/>
        <v>#NUM!</v>
      </c>
      <c r="DR82" s="22" t="e">
        <f t="shared" si="70"/>
        <v>#NUM!</v>
      </c>
      <c r="DS82" s="62" t="e">
        <f t="shared" si="71"/>
        <v>#NUM!</v>
      </c>
      <c r="DT82" s="62">
        <f ca="1">AVERAGE(OFFSET($DS$3,0,0,'Données projet'!$E$14+1,1))-AVERAGE(OFFSET($H$3,0,0,'Données projet'!$E$14+1,1))</f>
        <v>325.58538970226539</v>
      </c>
      <c r="DU82" s="62">
        <f t="shared" si="98"/>
        <v>361.81085660423457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97.228897598266826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97.228897598266826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5.1555555555555559</v>
      </c>
      <c r="EJ82" s="13">
        <f>IF('Données projet'!$A$192&gt;35,EJ81+EI82-ER81,IF(A82&lt;'Données projet'!$A$192,$EG$205^A82,IF(A82='Données projet'!$A$192,'Données projet'!$B$192,EJ81+EI82-ER81)))</f>
        <v>153.15555555555545</v>
      </c>
      <c r="EK82" s="18">
        <f>EJ82*VLOOKUP('Données projet'!$B$15,Paramètres!$A$1:$I$89,3,0)*VLOOKUP('Données projet'!$B$15,Paramètres!$A$1:$I$89,5,0)</f>
        <v>148.13205333333326</v>
      </c>
      <c r="EL82" s="14">
        <f t="shared" si="99"/>
        <v>38.153778942492373</v>
      </c>
      <c r="EM82" s="22">
        <f t="shared" si="73"/>
        <v>324.44782454706302</v>
      </c>
      <c r="EN82" s="62">
        <f t="shared" si="74"/>
        <v>594.77737192823997</v>
      </c>
      <c r="EO82" s="62">
        <f ca="1">AVERAGE(OFFSET($EN$3,0,0,'Données projet'!$E$15+1,1))-AVERAGE(OFFSET($H$3,0,0,'Données projet'!$E$15+1,1))</f>
        <v>364.22267539944085</v>
      </c>
      <c r="EP82" s="62">
        <f t="shared" si="100"/>
        <v>241.947139538615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34.055055598364056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34.055055598364056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-1.7053025658242404E-13</v>
      </c>
      <c r="FF82" s="18">
        <f>FE82*VLOOKUP('Données projet'!$B$16,Paramètres!$A$1:$I$89,3,0)*VLOOKUP('Données projet'!$B$16,Paramètres!$A$1:$I$89,5,0)</f>
        <v>-1.4897523215040567E-13</v>
      </c>
      <c r="FG82" s="14" t="e">
        <f t="shared" si="101"/>
        <v>#NUM!</v>
      </c>
      <c r="FH82" s="22" t="e">
        <f t="shared" si="76"/>
        <v>#NUM!</v>
      </c>
      <c r="FI82" s="62" t="e">
        <f t="shared" si="77"/>
        <v>#NUM!</v>
      </c>
      <c r="FJ82" s="62">
        <f ca="1">AVERAGE(OFFSET($FI$3,0,0,'Données projet'!$E$16+1,1))-AVERAGE(OFFSET($H$3,0,0,'Données projet'!$E$16+1,1))</f>
        <v>286.59837239471312</v>
      </c>
      <c r="FK82" s="62">
        <f t="shared" si="102"/>
        <v>319.26091328564689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84.390865313029025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84.390865313029025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-1.7053025658242404E-13</v>
      </c>
      <c r="GA82" s="18">
        <f>FZ82*VLOOKUP('Données projet'!$B$17,Paramètres!$A$1:$I$89,3,0)*VLOOKUP('Données projet'!$B$17,Paramètres!$A$1:$I$89,5,0)</f>
        <v>-1.1439169611549005E-13</v>
      </c>
      <c r="GB82" s="14" t="e">
        <f t="shared" si="103"/>
        <v>#NUM!</v>
      </c>
      <c r="GC82" s="22" t="e">
        <f t="shared" si="79"/>
        <v>#NUM!</v>
      </c>
      <c r="GD82" s="62" t="e">
        <f t="shared" si="80"/>
        <v>#NUM!</v>
      </c>
      <c r="GE82" s="62">
        <f ca="1">AVERAGE(OFFSET($GD$3,0,0,'Données projet'!$E$17+1,1))-AVERAGE(OFFSET($H$3,0,0,'Données projet'!$E$17+1,1))</f>
        <v>277.37570531842186</v>
      </c>
      <c r="GF82" s="62">
        <f t="shared" si="104"/>
        <v>310.00874200911312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projet'!$B$17,Paramètres!$A$1:$I$89,3,0)*0.475*44/12</f>
        <v>99.098684090541155</v>
      </c>
      <c r="GM82" s="23">
        <f>EXP(-LN(2)/25)*GM81+(1-EXP(-LN(2)/25))/(LN(2)/25)*Calculateur!GH82*Calculateur!GJ82*VLOOKUP('Données projet'!$B$17,Paramètres!$A$1:$I$89,3,0)*0.475*44/12</f>
        <v>0</v>
      </c>
      <c r="GN82" s="23">
        <f>EXP(-LN(2)/2)*GN81+(1-EXP(-LN(2)/2))/(LN(2)/2)*GH82*GK82*VLOOKUP('Données projet'!$B$17,Paramètres!$A$1:$I$89,3,0)*0.475*44/12</f>
        <v>0</v>
      </c>
      <c r="GO82" s="23">
        <f t="shared" si="81"/>
        <v>99.098684090541155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6.4444444444444446</v>
      </c>
      <c r="N83" s="14">
        <f>IF('Données projet'!$A$36&gt;35,N82+M83-V82,IF(A83&lt;'Données projet'!$A$36,$K$205^A83,IF(A83='Données projet'!$A$36,'Données projet'!$B$36,N82+M83-V82)))</f>
        <v>197.88888888888908</v>
      </c>
      <c r="O83" s="14">
        <f>N83*VLOOKUP('Données projet'!$B$9,Paramètres!$A$1:$I$89,3,0)*VLOOKUP('Données projet'!$B$9,Paramètres!$A$1:$I$89,5,0)</f>
        <v>172.87573333333353</v>
      </c>
      <c r="P83" s="14">
        <f t="shared" si="87"/>
        <v>43.733462049456179</v>
      </c>
      <c r="Q83" s="22">
        <f t="shared" si="54"/>
        <v>377.26101529169205</v>
      </c>
      <c r="R83" s="62">
        <f t="shared" si="55"/>
        <v>647.98962693037811</v>
      </c>
      <c r="S83" s="62">
        <f ca="1">AVERAGE(OFFSET($R$3,0,0,'Données projet'!$E$9+1,1))-AVERAGE(OFFSET($H$3,0,0,'Données projet'!$E$9+1,1))</f>
        <v>401.34220206028908</v>
      </c>
      <c r="T83" s="62">
        <f t="shared" si="88"/>
        <v>265.33314259106987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37.695289856014718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37.695289856014718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304</v>
      </c>
      <c r="AG83" s="13">
        <f>VLOOKUP(A83,'Données projet'!$A$61:$I$81,9,0)</f>
        <v>7.7</v>
      </c>
      <c r="AH83" s="13">
        <f t="array" ref="AH83">INDEX(AG:AG,MIN(IF(ISNUMBER(AG83:AG279),ROW(AG83:AG279),"")))</f>
        <v>7.7</v>
      </c>
      <c r="AI83" s="14">
        <f>IF('Données projet'!$A$62&gt;35,AI82+AH83-AQ82,IF(A83&lt;'Données projet'!$A$62,$AF$205^A83,IF(A83='Données projet'!$A$62,'Données projet'!$B$62,AI82+AH83-AQ82)))</f>
        <v>303.99999999999994</v>
      </c>
      <c r="AJ83" s="14">
        <f>AI83*VLOOKUP('Données projet'!$B$10,Paramètres!$A$1:$I$89,3,0)*VLOOKUP('Données projet'!$B$10,Paramètres!$A$1:$I$89,5,0)</f>
        <v>142.27199999999996</v>
      </c>
      <c r="AK83" s="14">
        <f t="shared" si="89"/>
        <v>36.817000136193229</v>
      </c>
      <c r="AL83" s="22">
        <f t="shared" si="58"/>
        <v>311.91334190386976</v>
      </c>
      <c r="AM83" s="62">
        <f t="shared" si="59"/>
        <v>582.64195354255594</v>
      </c>
      <c r="AN83" s="62">
        <f ca="1">AVERAGE(OFFSET($AM$3,0,0,'Données projet'!$E$10+1,1))-AVERAGE(OFFSET($H$3,0,0,'Données projet'!$E$10+1,1))</f>
        <v>253.48761861464732</v>
      </c>
      <c r="AO83" s="62">
        <f t="shared" si="90"/>
        <v>219.50855998133855</v>
      </c>
      <c r="AP83" s="16">
        <f>IF(ISNA(VLOOKUP(A83,'Données projet'!$A$61:$I$81,3,0)),0,VLOOKUP(A83,'Données projet'!$A$61:$I$81,3,0))</f>
        <v>7</v>
      </c>
      <c r="AQ83" s="16">
        <f>IF(ISNA(VLOOKUP(A83,'Données projet'!$A$61:$I$81,4,0)),0,VLOOKUP(A83,'Données projet'!$A$61:$I$81,4,0))</f>
        <v>61</v>
      </c>
      <c r="AR83" s="17">
        <f>IF(ISNA(VLOOKUP(A83,'Données projet'!$A$61:$I$81,5,0)),0%,VLOOKUP(A83,'Données projet'!$A$61:$I$81,5,0)*VLOOKUP('Données projet'!$B$10,Paramètres!$A$1:$I$89,7,0))</f>
        <v>0.38500000000000001</v>
      </c>
      <c r="AS83" s="17">
        <f>IF(ISNA(VLOOKUP(A83,'Données projet'!$A$61:$I$81,6,0)),0%,VLOOKUP(A83,'Données projet'!$A$61:$I$81,6,0)*VLOOKUP('Données projet'!$B$10,Paramètres!$A$1:$I$89,7,0))</f>
        <v>9.3500000000000014E-2</v>
      </c>
      <c r="AT83" s="17">
        <f>IF(ISNA(VLOOKUP(A83,'Données projet'!$A$61:$I$81,7,0)),0%,VLOOKUP(A83,'Données projet'!$A$61:$I$81,7,0))</f>
        <v>0.13</v>
      </c>
      <c r="AU83" s="23">
        <f>EXP(-LN(2)/35)*AU82+(1-EXP(-LN(2)/35))/(LN(2)/35)*AQ83*AR83*VLOOKUP('Données projet'!$B$10,Paramètres!$A$1:$I$89,3,0)*0.475*44/12</f>
        <v>47.032662701327531</v>
      </c>
      <c r="AV83" s="23">
        <f>EXP(-LN(2)/25)*AV82+(1-EXP(-LN(2)/25))/(LN(2)/25)*Calculateur!AQ83*Calculateur!AS83*VLOOKUP('Données projet'!$B$10,Paramètres!$A$1:$I$89,3,0)*0.475*44/12</f>
        <v>10.905947897457624</v>
      </c>
      <c r="AW83" s="23">
        <f>EXP(-LN(2)/2)*AW82+(1-EXP(-LN(2)/2))/(LN(2)/2)*AQ83*AT83*VLOOKUP('Données projet'!$B$10,Paramètres!$A$1:$I$89,3,0)*0.475*44/12</f>
        <v>4.3282825181762705</v>
      </c>
      <c r="AX83" s="23">
        <f t="shared" si="60"/>
        <v>62.266893116961427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>
        <f>BD83*VLOOKUP('Données projet'!$B$11,Paramètres!$A$1:$I$89,3,0)*VLOOKUP('Données projet'!$B$11,Paramètres!$A$1:$I$89,5,0)</f>
        <v>0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482.85256243111911</v>
      </c>
      <c r="BJ83" s="62">
        <f t="shared" si="92"/>
        <v>517.78430032567064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79.628659918857622</v>
      </c>
      <c r="BQ83" s="23">
        <f>EXP(-LN(2)/25)*BQ82+(1-EXP(-LN(2)/25))/(LN(2)/25)*Calculateur!BL83*Calculateur!BN83*VLOOKUP('Données projet'!$B$11,Paramètres!$A$1:$I$89,3,0)*0.475*44/12</f>
        <v>17.298190640677024</v>
      </c>
      <c r="BR83" s="23">
        <f>EXP(-LN(2)/2)*BR82+(1-EXP(-LN(2)/2))/(LN(2)/2)*BL83*BO83*VLOOKUP('Données projet'!$B$11,Paramètres!$A$1:$I$89,3,0)*0.475*44/12</f>
        <v>5.6890495505133781E-2</v>
      </c>
      <c r="BS83" s="24">
        <f t="shared" si="63"/>
        <v>96.983741055039772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>
        <f>BY83*VLOOKUP('Données projet'!$B$12,Paramètres!$A$1:$I$89,3,0)*VLOOKUP('Données projet'!$B$12,Paramètres!$A$1:$I$89,5,0)</f>
        <v>0</v>
      </c>
      <c r="CA83" s="14" t="e">
        <f t="shared" si="93"/>
        <v>#NUM!</v>
      </c>
      <c r="CB83" s="22" t="e">
        <f t="shared" si="64"/>
        <v>#NUM!</v>
      </c>
      <c r="CC83" s="62" t="e">
        <f t="shared" si="65"/>
        <v>#NUM!</v>
      </c>
      <c r="CD83" s="62">
        <f ca="1">AVERAGE(OFFSET($CC$3,0,0,'Données projet'!$E$12+1,1))-AVERAGE(OFFSET($H$3,0,0,'Données projet'!$E$12+1,1))</f>
        <v>275.76900776033335</v>
      </c>
      <c r="CE83" s="62">
        <f t="shared" si="94"/>
        <v>299.36898480605191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76.310799088905227</v>
      </c>
      <c r="CL83" s="23">
        <f>EXP(-LN(2)/25)*CL82+(1-EXP(-LN(2)/25))/(LN(2)/25)*Calculateur!CG83*Calculateur!CI83*VLOOKUP('Données projet'!$B$12,Paramètres!$A$1:$I$89,3,0)*0.475*44/12</f>
        <v>16.577432697315484</v>
      </c>
      <c r="CM83" s="23">
        <f>EXP(-LN(2)/2)*CM82+(1-EXP(-LN(2)/2))/(LN(2)/2)*CG83*CJ83*VLOOKUP('Données projet'!$B$12,Paramètres!$A$1:$I$89,3,0)*0.475*44/12</f>
        <v>5.4520058192419826E-2</v>
      </c>
      <c r="CN83" s="24">
        <f t="shared" si="66"/>
        <v>92.942751844413138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6.4444444444444446</v>
      </c>
      <c r="CT83" s="13">
        <f>IF('Données projet'!$A$140&gt;35,CT82+CS83-DB82,IF(A83&lt;'Données projet'!$A$140,$CQ$205^A83,IF(A83='Données projet'!$A$140,'Données projet'!$B$140,CT82+CS83-DB82)))</f>
        <v>197.88888888888908</v>
      </c>
      <c r="CU83" s="18">
        <f>CT83*VLOOKUP('Données projet'!$B$13,Paramètres!$A$1:$I$89,3,0)*VLOOKUP('Données projet'!$B$13,Paramètres!$A$1:$I$89,5,0)</f>
        <v>216.09466666666688</v>
      </c>
      <c r="CV83" s="14">
        <f t="shared" si="95"/>
        <v>53.265198035358367</v>
      </c>
      <c r="CW83" s="22">
        <f t="shared" si="67"/>
        <v>469.13509768936063</v>
      </c>
      <c r="CX83" s="62">
        <f t="shared" si="68"/>
        <v>739.86370932804675</v>
      </c>
      <c r="CY83" s="62">
        <f ca="1">AVERAGE(OFFSET($CX$3,0,0,'Données projet'!$E$13+1,1))-AVERAGE(OFFSET($H$3,0,0,'Données projet'!$E$13+1,1))</f>
        <v>482.24068797679558</v>
      </c>
      <c r="CZ83" s="62">
        <f t="shared" si="96"/>
        <v>316.28941055521693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47.119112320018395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47.119112320018395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-1.7053025658242404E-13</v>
      </c>
      <c r="DP83" s="18">
        <f>DO83*VLOOKUP('Données projet'!$B$14,Paramètres!$A$1:$I$89,3,0)*VLOOKUP('Données projet'!$B$14,Paramètres!$A$1:$I$89,5,0)</f>
        <v>-1.383341441396624E-13</v>
      </c>
      <c r="DQ83" s="14" t="e">
        <f t="shared" si="97"/>
        <v>#NUM!</v>
      </c>
      <c r="DR83" s="22" t="e">
        <f t="shared" si="70"/>
        <v>#NUM!</v>
      </c>
      <c r="DS83" s="62" t="e">
        <f t="shared" si="71"/>
        <v>#NUM!</v>
      </c>
      <c r="DT83" s="62">
        <f ca="1">AVERAGE(OFFSET($DS$3,0,0,'Données projet'!$E$14+1,1))-AVERAGE(OFFSET($H$3,0,0,'Données projet'!$E$14+1,1))</f>
        <v>325.58538970226539</v>
      </c>
      <c r="DU83" s="62">
        <f t="shared" si="98"/>
        <v>361.81085660423457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95.322298220136588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95.322298220136588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5.1555555555555559</v>
      </c>
      <c r="EJ83" s="13">
        <f>IF('Données projet'!$A$192&gt;35,EJ82+EI83-ER82,IF(A83&lt;'Données projet'!$A$192,$EG$205^A83,IF(A83='Données projet'!$A$192,'Données projet'!$B$192,EJ82+EI83-ER82)))</f>
        <v>158.31111111111102</v>
      </c>
      <c r="EK83" s="18">
        <f>EJ83*VLOOKUP('Données projet'!$B$15,Paramètres!$A$1:$I$89,3,0)*VLOOKUP('Données projet'!$B$15,Paramètres!$A$1:$I$89,5,0)</f>
        <v>153.11850666666658</v>
      </c>
      <c r="EL83" s="14">
        <f t="shared" si="99"/>
        <v>39.286426510008866</v>
      </c>
      <c r="EM83" s="22">
        <f t="shared" si="73"/>
        <v>335.10525861604305</v>
      </c>
      <c r="EN83" s="62">
        <f t="shared" si="74"/>
        <v>605.83387025472916</v>
      </c>
      <c r="EO83" s="62">
        <f ca="1">AVERAGE(OFFSET($EN$3,0,0,'Données projet'!$E$15+1,1))-AVERAGE(OFFSET($H$3,0,0,'Données projet'!$E$15+1,1))</f>
        <v>364.22267539944085</v>
      </c>
      <c r="EP83" s="62">
        <f t="shared" si="100"/>
        <v>241.947139538615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33.387256729613036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33.387256729613036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-1.7053025658242404E-13</v>
      </c>
      <c r="FF83" s="18">
        <f>FE83*VLOOKUP('Données projet'!$B$16,Paramètres!$A$1:$I$89,3,0)*VLOOKUP('Données projet'!$B$16,Paramètres!$A$1:$I$89,5,0)</f>
        <v>-1.4897523215040567E-13</v>
      </c>
      <c r="FG83" s="14" t="e">
        <f t="shared" si="101"/>
        <v>#NUM!</v>
      </c>
      <c r="FH83" s="22" t="e">
        <f t="shared" si="76"/>
        <v>#NUM!</v>
      </c>
      <c r="FI83" s="62" t="e">
        <f t="shared" si="77"/>
        <v>#NUM!</v>
      </c>
      <c r="FJ83" s="62">
        <f ca="1">AVERAGE(OFFSET($FI$3,0,0,'Données projet'!$E$16+1,1))-AVERAGE(OFFSET($H$3,0,0,'Données projet'!$E$16+1,1))</f>
        <v>286.59837239471312</v>
      </c>
      <c r="FK83" s="62">
        <f t="shared" si="102"/>
        <v>319.26091328564689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82.736011917585799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82.736011917585799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-1.7053025658242404E-13</v>
      </c>
      <c r="GA83" s="18">
        <f>FZ83*VLOOKUP('Données projet'!$B$17,Paramètres!$A$1:$I$89,3,0)*VLOOKUP('Données projet'!$B$17,Paramètres!$A$1:$I$89,5,0)</f>
        <v>-1.1439169611549005E-13</v>
      </c>
      <c r="GB83" s="14" t="e">
        <f t="shared" si="103"/>
        <v>#NUM!</v>
      </c>
      <c r="GC83" s="22" t="e">
        <f t="shared" si="79"/>
        <v>#NUM!</v>
      </c>
      <c r="GD83" s="62" t="e">
        <f t="shared" si="80"/>
        <v>#NUM!</v>
      </c>
      <c r="GE83" s="62">
        <f ca="1">AVERAGE(OFFSET($GD$3,0,0,'Données projet'!$E$17+1,1))-AVERAGE(OFFSET($H$3,0,0,'Données projet'!$E$17+1,1))</f>
        <v>277.37570531842186</v>
      </c>
      <c r="GF83" s="62">
        <f t="shared" si="104"/>
        <v>310.00874200911312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projet'!$B$17,Paramètres!$A$1:$I$89,3,0)*0.475*44/12</f>
        <v>97.155419339754573</v>
      </c>
      <c r="GM83" s="23">
        <f>EXP(-LN(2)/25)*GM82+(1-EXP(-LN(2)/25))/(LN(2)/25)*Calculateur!GH83*Calculateur!GJ83*VLOOKUP('Données projet'!$B$17,Paramètres!$A$1:$I$89,3,0)*0.475*44/12</f>
        <v>0</v>
      </c>
      <c r="GN83" s="23">
        <f>EXP(-LN(2)/2)*GN82+(1-EXP(-LN(2)/2))/(LN(2)/2)*GH83*GK83*VLOOKUP('Données projet'!$B$17,Paramètres!$A$1:$I$89,3,0)*0.475*44/12</f>
        <v>0</v>
      </c>
      <c r="GO83" s="23">
        <f t="shared" si="81"/>
        <v>97.155419339754573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6.4444444444444446</v>
      </c>
      <c r="N84" s="14">
        <f>IF('Données projet'!$A$36&gt;35,N83+M84-V83,IF(A84&lt;'Données projet'!$A$36,$K$205^A84,IF(A84='Données projet'!$A$36,'Données projet'!$B$36,N83+M84-V83)))</f>
        <v>204.33333333333354</v>
      </c>
      <c r="O84" s="14">
        <f>N84*VLOOKUP('Données projet'!$B$9,Paramètres!$A$1:$I$89,3,0)*VLOOKUP('Données projet'!$B$9,Paramètres!$A$1:$I$89,5,0)</f>
        <v>178.50560000000019</v>
      </c>
      <c r="P84" s="14">
        <f t="shared" si="87"/>
        <v>44.98954855164547</v>
      </c>
      <c r="Q84" s="22">
        <f t="shared" si="54"/>
        <v>389.25405039411618</v>
      </c>
      <c r="R84" s="62">
        <f t="shared" si="55"/>
        <v>660.37480341761761</v>
      </c>
      <c r="S84" s="62">
        <f ca="1">AVERAGE(OFFSET($R$3,0,0,'Données projet'!$E$9+1,1))-AVERAGE(OFFSET($H$3,0,0,'Données projet'!$E$9+1,1))</f>
        <v>401.34220206028908</v>
      </c>
      <c r="T84" s="62">
        <f t="shared" si="88"/>
        <v>265.33314259106987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36.95610821379482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36.95610821379482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8.3000000000000007</v>
      </c>
      <c r="AI84" s="14">
        <f>IF('Données projet'!$A$62&gt;35,AI83+AH84-AQ83,IF(A84&lt;'Données projet'!$A$62,$AF$205^A84,IF(A84='Données projet'!$A$62,'Données projet'!$B$62,AI83+AH84-AQ83)))</f>
        <v>251.29999999999995</v>
      </c>
      <c r="AJ84" s="14">
        <f>AI84*VLOOKUP('Données projet'!$B$10,Paramètres!$A$1:$I$89,3,0)*VLOOKUP('Données projet'!$B$10,Paramètres!$A$1:$I$89,5,0)</f>
        <v>117.60839999999997</v>
      </c>
      <c r="AK84" s="14">
        <f t="shared" si="89"/>
        <v>31.11654601042537</v>
      </c>
      <c r="AL84" s="22">
        <f t="shared" si="58"/>
        <v>259.02928096815748</v>
      </c>
      <c r="AM84" s="62">
        <f t="shared" si="59"/>
        <v>530.15003399165892</v>
      </c>
      <c r="AN84" s="62">
        <f ca="1">AVERAGE(OFFSET($AM$3,0,0,'Données projet'!$E$10+1,1))-AVERAGE(OFFSET($H$3,0,0,'Données projet'!$E$10+1,1))</f>
        <v>253.48761861464732</v>
      </c>
      <c r="AO84" s="62">
        <f t="shared" si="90"/>
        <v>219.50855998133855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46.110380872846129</v>
      </c>
      <c r="AV84" s="23">
        <f>EXP(-LN(2)/25)*AV83+(1-EXP(-LN(2)/25))/(LN(2)/25)*Calculateur!AQ84*Calculateur!AS84*VLOOKUP('Données projet'!$B$10,Paramètres!$A$1:$I$89,3,0)*0.475*44/12</f>
        <v>10.607724178682771</v>
      </c>
      <c r="AW84" s="23">
        <f>EXP(-LN(2)/2)*AW83+(1-EXP(-LN(2)/2))/(LN(2)/2)*AQ84*AT84*VLOOKUP('Données projet'!$B$10,Paramètres!$A$1:$I$89,3,0)*0.475*44/12</f>
        <v>3.0605579194936272</v>
      </c>
      <c r="AX84" s="23">
        <f t="shared" si="60"/>
        <v>59.778662971022527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>
        <f>BD84*VLOOKUP('Données projet'!$B$11,Paramètres!$A$1:$I$89,3,0)*VLOOKUP('Données projet'!$B$11,Paramètres!$A$1:$I$89,5,0)</f>
        <v>0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482.85256243111911</v>
      </c>
      <c r="BJ84" s="62">
        <f t="shared" si="92"/>
        <v>517.78430032567064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78.067190466535621</v>
      </c>
      <c r="BQ84" s="23">
        <f>EXP(-LN(2)/25)*BQ83+(1-EXP(-LN(2)/25))/(LN(2)/25)*Calculateur!BL84*Calculateur!BN84*VLOOKUP('Données projet'!$B$11,Paramètres!$A$1:$I$89,3,0)*0.475*44/12</f>
        <v>16.825170707935399</v>
      </c>
      <c r="BR84" s="23">
        <f>EXP(-LN(2)/2)*BR83+(1-EXP(-LN(2)/2))/(LN(2)/2)*BL84*BO84*VLOOKUP('Données projet'!$B$11,Paramètres!$A$1:$I$89,3,0)*0.475*44/12</f>
        <v>4.0227655156742897E-2</v>
      </c>
      <c r="BS84" s="24">
        <f t="shared" si="63"/>
        <v>94.932588829627761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>
        <f>BY84*VLOOKUP('Données projet'!$B$12,Paramètres!$A$1:$I$89,3,0)*VLOOKUP('Données projet'!$B$12,Paramètres!$A$1:$I$89,5,0)</f>
        <v>0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275.76900776033335</v>
      </c>
      <c r="CE84" s="62">
        <f t="shared" si="94"/>
        <v>299.36898480605191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74.814390863763307</v>
      </c>
      <c r="CL84" s="23">
        <f>EXP(-LN(2)/25)*CL83+(1-EXP(-LN(2)/25))/(LN(2)/25)*Calculateur!CG84*Calculateur!CI84*VLOOKUP('Données projet'!$B$12,Paramètres!$A$1:$I$89,3,0)*0.475*44/12</f>
        <v>16.124121928438093</v>
      </c>
      <c r="CM84" s="23">
        <f>EXP(-LN(2)/2)*CM83+(1-EXP(-LN(2)/2))/(LN(2)/2)*CG84*CJ84*VLOOKUP('Données projet'!$B$12,Paramètres!$A$1:$I$89,3,0)*0.475*44/12</f>
        <v>3.8551502858545243E-2</v>
      </c>
      <c r="CN84" s="24">
        <f t="shared" si="66"/>
        <v>90.977064295059947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6.4444444444444446</v>
      </c>
      <c r="CT84" s="13">
        <f>IF('Données projet'!$A$140&gt;35,CT83+CS84-DB83,IF(A84&lt;'Données projet'!$A$140,$CQ$205^A84,IF(A84='Données projet'!$A$140,'Données projet'!$B$140,CT83+CS84-DB83)))</f>
        <v>204.33333333333354</v>
      </c>
      <c r="CU84" s="18">
        <f>CT84*VLOOKUP('Données projet'!$B$13,Paramètres!$A$1:$I$89,3,0)*VLOOKUP('Données projet'!$B$13,Paramètres!$A$1:$I$89,5,0)</f>
        <v>223.13200000000023</v>
      </c>
      <c r="CV84" s="14">
        <f t="shared" si="95"/>
        <v>54.795049392952521</v>
      </c>
      <c r="CW84" s="22">
        <f t="shared" si="67"/>
        <v>484.0562776927261</v>
      </c>
      <c r="CX84" s="62">
        <f t="shared" si="68"/>
        <v>755.17703071622759</v>
      </c>
      <c r="CY84" s="62">
        <f ca="1">AVERAGE(OFFSET($CX$3,0,0,'Données projet'!$E$13+1,1))-AVERAGE(OFFSET($H$3,0,0,'Données projet'!$E$13+1,1))</f>
        <v>482.24068797679558</v>
      </c>
      <c r="CZ84" s="62">
        <f t="shared" si="96"/>
        <v>316.28941055521693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46.195135267243529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46.195135267243529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-1.7053025658242404E-13</v>
      </c>
      <c r="DP84" s="18">
        <f>DO84*VLOOKUP('Données projet'!$B$14,Paramètres!$A$1:$I$89,3,0)*VLOOKUP('Données projet'!$B$14,Paramètres!$A$1:$I$89,5,0)</f>
        <v>-1.383341441396624E-13</v>
      </c>
      <c r="DQ84" s="14" t="e">
        <f t="shared" si="97"/>
        <v>#NUM!</v>
      </c>
      <c r="DR84" s="22" t="e">
        <f t="shared" si="70"/>
        <v>#NUM!</v>
      </c>
      <c r="DS84" s="62" t="e">
        <f t="shared" si="71"/>
        <v>#NUM!</v>
      </c>
      <c r="DT84" s="62">
        <f ca="1">AVERAGE(OFFSET($DS$3,0,0,'Données projet'!$E$14+1,1))-AVERAGE(OFFSET($H$3,0,0,'Données projet'!$E$14+1,1))</f>
        <v>325.58538970226539</v>
      </c>
      <c r="DU84" s="62">
        <f t="shared" si="98"/>
        <v>361.81085660423457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93.453086092900691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93.453086092900691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5.1555555555555559</v>
      </c>
      <c r="EJ84" s="13">
        <f>IF('Données projet'!$A$192&gt;35,EJ83+EI84-ER83,IF(A84&lt;'Données projet'!$A$192,$EG$205^A84,IF(A84='Données projet'!$A$192,'Données projet'!$B$192,EJ83+EI84-ER83)))</f>
        <v>163.46666666666658</v>
      </c>
      <c r="EK84" s="18">
        <f>EJ84*VLOOKUP('Données projet'!$B$15,Paramètres!$A$1:$I$89,3,0)*VLOOKUP('Données projet'!$B$15,Paramètres!$A$1:$I$89,5,0)</f>
        <v>158.10495999999992</v>
      </c>
      <c r="EL84" s="14">
        <f t="shared" si="99"/>
        <v>40.414787900713975</v>
      </c>
      <c r="EM84" s="22">
        <f t="shared" si="73"/>
        <v>345.75522759374343</v>
      </c>
      <c r="EN84" s="62">
        <f t="shared" si="74"/>
        <v>616.87598061724486</v>
      </c>
      <c r="EO84" s="62">
        <f ca="1">AVERAGE(OFFSET($EN$3,0,0,'Données projet'!$E$15+1,1))-AVERAGE(OFFSET($H$3,0,0,'Données projet'!$E$15+1,1))</f>
        <v>364.22267539944085</v>
      </c>
      <c r="EP84" s="62">
        <f t="shared" si="100"/>
        <v>241.947139538615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32.732552989361132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32.732552989361132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-1.7053025658242404E-13</v>
      </c>
      <c r="FF84" s="18">
        <f>FE84*VLOOKUP('Données projet'!$B$16,Paramètres!$A$1:$I$89,3,0)*VLOOKUP('Données projet'!$B$16,Paramètres!$A$1:$I$89,5,0)</f>
        <v>-1.4897523215040567E-13</v>
      </c>
      <c r="FG84" s="14" t="e">
        <f t="shared" si="101"/>
        <v>#NUM!</v>
      </c>
      <c r="FH84" s="22" t="e">
        <f t="shared" si="76"/>
        <v>#NUM!</v>
      </c>
      <c r="FI84" s="62" t="e">
        <f t="shared" si="77"/>
        <v>#NUM!</v>
      </c>
      <c r="FJ84" s="62">
        <f ca="1">AVERAGE(OFFSET($FI$3,0,0,'Données projet'!$E$16+1,1))-AVERAGE(OFFSET($H$3,0,0,'Données projet'!$E$16+1,1))</f>
        <v>286.59837239471312</v>
      </c>
      <c r="FK84" s="62">
        <f t="shared" si="102"/>
        <v>319.26091328564689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81.113609187866302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81.113609187866302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-1.7053025658242404E-13</v>
      </c>
      <c r="GA84" s="18">
        <f>FZ84*VLOOKUP('Données projet'!$B$17,Paramètres!$A$1:$I$89,3,0)*VLOOKUP('Données projet'!$B$17,Paramètres!$A$1:$I$89,5,0)</f>
        <v>-1.1439169611549005E-13</v>
      </c>
      <c r="GB84" s="14" t="e">
        <f t="shared" si="103"/>
        <v>#NUM!</v>
      </c>
      <c r="GC84" s="22" t="e">
        <f t="shared" si="79"/>
        <v>#NUM!</v>
      </c>
      <c r="GD84" s="62" t="e">
        <f t="shared" si="80"/>
        <v>#NUM!</v>
      </c>
      <c r="GE84" s="62">
        <f ca="1">AVERAGE(OFFSET($GD$3,0,0,'Données projet'!$E$17+1,1))-AVERAGE(OFFSET($H$3,0,0,'Données projet'!$E$17+1,1))</f>
        <v>277.37570531842186</v>
      </c>
      <c r="GF84" s="62">
        <f t="shared" si="104"/>
        <v>310.00874200911312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projet'!$B$17,Paramètres!$A$1:$I$89,3,0)*0.475*44/12</f>
        <v>95.250260825456451</v>
      </c>
      <c r="GM84" s="23">
        <f>EXP(-LN(2)/25)*GM83+(1-EXP(-LN(2)/25))/(LN(2)/25)*Calculateur!GH84*Calculateur!GJ84*VLOOKUP('Données projet'!$B$17,Paramètres!$A$1:$I$89,3,0)*0.475*44/12</f>
        <v>0</v>
      </c>
      <c r="GN84" s="23">
        <f>EXP(-LN(2)/2)*GN83+(1-EXP(-LN(2)/2))/(LN(2)/2)*GH84*GK84*VLOOKUP('Données projet'!$B$17,Paramètres!$A$1:$I$89,3,0)*0.475*44/12</f>
        <v>0</v>
      </c>
      <c r="GO84" s="23">
        <f t="shared" si="81"/>
        <v>95.250260825456451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6.4444444444444446</v>
      </c>
      <c r="N85" s="14">
        <f>IF('Données projet'!$A$36&gt;35,N84+M85-V84,IF(A85&lt;'Données projet'!$A$36,$K$205^A85,IF(A85='Données projet'!$A$36,'Données projet'!$B$36,N84+M85-V84)))</f>
        <v>210.777777777778</v>
      </c>
      <c r="O85" s="14">
        <f>N85*VLOOKUP('Données projet'!$B$9,Paramètres!$A$1:$I$89,3,0)*VLOOKUP('Données projet'!$B$9,Paramètres!$A$1:$I$89,5,0)</f>
        <v>184.13546666666687</v>
      </c>
      <c r="P85" s="14">
        <f t="shared" si="87"/>
        <v>46.241031450066401</v>
      </c>
      <c r="Q85" s="22">
        <f t="shared" si="54"/>
        <v>401.23906755331041</v>
      </c>
      <c r="R85" s="62">
        <f t="shared" si="55"/>
        <v>672.74515918529744</v>
      </c>
      <c r="S85" s="62">
        <f ca="1">AVERAGE(OFFSET($R$3,0,0,'Données projet'!$E$9+1,1))-AVERAGE(OFFSET($H$3,0,0,'Données projet'!$E$9+1,1))</f>
        <v>401.34220206028908</v>
      </c>
      <c r="T85" s="62">
        <f t="shared" si="88"/>
        <v>265.33314259106987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36.231421472722573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36.231421472722573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8.3000000000000007</v>
      </c>
      <c r="AI85" s="14">
        <f>IF('Données projet'!$A$62&gt;35,AI84+AH85-AQ84,IF(A85&lt;'Données projet'!$A$62,$AF$205^A85,IF(A85='Données projet'!$A$62,'Données projet'!$B$62,AI84+AH85-AQ84)))</f>
        <v>259.59999999999997</v>
      </c>
      <c r="AJ85" s="14">
        <f>AI85*VLOOKUP('Données projet'!$B$10,Paramètres!$A$1:$I$89,3,0)*VLOOKUP('Données projet'!$B$10,Paramètres!$A$1:$I$89,5,0)</f>
        <v>121.49279999999999</v>
      </c>
      <c r="AK85" s="14">
        <f t="shared" si="89"/>
        <v>32.02291946024841</v>
      </c>
      <c r="AL85" s="22">
        <f t="shared" si="58"/>
        <v>267.37321139326588</v>
      </c>
      <c r="AM85" s="62">
        <f t="shared" si="59"/>
        <v>538.87930302525297</v>
      </c>
      <c r="AN85" s="62">
        <f ca="1">AVERAGE(OFFSET($AM$3,0,0,'Données projet'!$E$10+1,1))-AVERAGE(OFFSET($H$3,0,0,'Données projet'!$E$10+1,1))</f>
        <v>253.48761861464732</v>
      </c>
      <c r="AO85" s="62">
        <f t="shared" si="90"/>
        <v>219.50855998133855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45.206184428484882</v>
      </c>
      <c r="AV85" s="23">
        <f>EXP(-LN(2)/25)*AV84+(1-EXP(-LN(2)/25))/(LN(2)/25)*Calculateur!AQ85*Calculateur!AS85*VLOOKUP('Données projet'!$B$10,Paramètres!$A$1:$I$89,3,0)*0.475*44/12</f>
        <v>10.317655403180721</v>
      </c>
      <c r="AW85" s="23">
        <f>EXP(-LN(2)/2)*AW84+(1-EXP(-LN(2)/2))/(LN(2)/2)*AQ85*AT85*VLOOKUP('Données projet'!$B$10,Paramètres!$A$1:$I$89,3,0)*0.475*44/12</f>
        <v>2.1641412590881357</v>
      </c>
      <c r="AX85" s="23">
        <f t="shared" si="60"/>
        <v>57.687981090753738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>
        <f>BD85*VLOOKUP('Données projet'!$B$11,Paramètres!$A$1:$I$89,3,0)*VLOOKUP('Données projet'!$B$11,Paramètres!$A$1:$I$89,5,0)</f>
        <v>0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482.85256243111911</v>
      </c>
      <c r="BJ85" s="62">
        <f t="shared" si="92"/>
        <v>517.78430032567064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76.536340477771319</v>
      </c>
      <c r="BQ85" s="23">
        <f>EXP(-LN(2)/25)*BQ84+(1-EXP(-LN(2)/25))/(LN(2)/25)*Calculateur!BL85*Calculateur!BN85*VLOOKUP('Données projet'!$B$11,Paramètres!$A$1:$I$89,3,0)*0.475*44/12</f>
        <v>16.365085530129633</v>
      </c>
      <c r="BR85" s="23">
        <f>EXP(-LN(2)/2)*BR84+(1-EXP(-LN(2)/2))/(LN(2)/2)*BL85*BO85*VLOOKUP('Données projet'!$B$11,Paramètres!$A$1:$I$89,3,0)*0.475*44/12</f>
        <v>2.8445247752566891E-2</v>
      </c>
      <c r="BS85" s="24">
        <f t="shared" si="63"/>
        <v>92.929871255653524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>
        <f>BY85*VLOOKUP('Données projet'!$B$12,Paramètres!$A$1:$I$89,3,0)*VLOOKUP('Données projet'!$B$12,Paramètres!$A$1:$I$89,5,0)</f>
        <v>0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275.76900776033335</v>
      </c>
      <c r="CE85" s="62">
        <f t="shared" si="94"/>
        <v>299.36898480605191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73.347326291197518</v>
      </c>
      <c r="CL85" s="23">
        <f>EXP(-LN(2)/25)*CL84+(1-EXP(-LN(2)/25))/(LN(2)/25)*Calculateur!CG85*Calculateur!CI85*VLOOKUP('Données projet'!$B$12,Paramètres!$A$1:$I$89,3,0)*0.475*44/12</f>
        <v>15.683206966374234</v>
      </c>
      <c r="CM85" s="23">
        <f>EXP(-LN(2)/2)*CM84+(1-EXP(-LN(2)/2))/(LN(2)/2)*CG85*CJ85*VLOOKUP('Données projet'!$B$12,Paramètres!$A$1:$I$89,3,0)*0.475*44/12</f>
        <v>2.7260029096209913E-2</v>
      </c>
      <c r="CN85" s="24">
        <f t="shared" si="66"/>
        <v>89.057793286667959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6.4444444444444446</v>
      </c>
      <c r="CT85" s="13">
        <f>IF('Données projet'!$A$140&gt;35,CT84+CS85-DB84,IF(A85&lt;'Données projet'!$A$140,$CQ$205^A85,IF(A85='Données projet'!$A$140,'Données projet'!$B$140,CT84+CS85-DB84)))</f>
        <v>210.777777777778</v>
      </c>
      <c r="CU85" s="18">
        <f>CT85*VLOOKUP('Données projet'!$B$13,Paramètres!$A$1:$I$89,3,0)*VLOOKUP('Données projet'!$B$13,Paramètres!$A$1:$I$89,5,0)</f>
        <v>230.16933333333358</v>
      </c>
      <c r="CV85" s="14">
        <f t="shared" si="95"/>
        <v>56.31929378839672</v>
      </c>
      <c r="CW85" s="22">
        <f t="shared" si="67"/>
        <v>498.96769223701364</v>
      </c>
      <c r="CX85" s="62">
        <f t="shared" si="68"/>
        <v>770.47378386900073</v>
      </c>
      <c r="CY85" s="62">
        <f ca="1">AVERAGE(OFFSET($CX$3,0,0,'Données projet'!$E$13+1,1))-AVERAGE(OFFSET($H$3,0,0,'Données projet'!$E$13+1,1))</f>
        <v>482.24068797679558</v>
      </c>
      <c r="CZ85" s="62">
        <f t="shared" si="96"/>
        <v>316.28941055521693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45.28927684090322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45.28927684090322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-1.7053025658242404E-13</v>
      </c>
      <c r="DP85" s="18">
        <f>DO85*VLOOKUP('Données projet'!$B$14,Paramètres!$A$1:$I$89,3,0)*VLOOKUP('Données projet'!$B$14,Paramètres!$A$1:$I$89,5,0)</f>
        <v>-1.383341441396624E-13</v>
      </c>
      <c r="DQ85" s="14" t="e">
        <f t="shared" si="97"/>
        <v>#NUM!</v>
      </c>
      <c r="DR85" s="22" t="e">
        <f t="shared" si="70"/>
        <v>#NUM!</v>
      </c>
      <c r="DS85" s="62" t="e">
        <f t="shared" si="71"/>
        <v>#NUM!</v>
      </c>
      <c r="DT85" s="62">
        <f ca="1">AVERAGE(OFFSET($DS$3,0,0,'Données projet'!$E$14+1,1))-AVERAGE(OFFSET($H$3,0,0,'Données projet'!$E$14+1,1))</f>
        <v>325.58538970226539</v>
      </c>
      <c r="DU85" s="62">
        <f t="shared" si="98"/>
        <v>361.81085660423457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91.620528075373073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91.620528075373073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5.1555555555555559</v>
      </c>
      <c r="EJ85" s="13">
        <f>IF('Données projet'!$A$192&gt;35,EJ84+EI85-ER84,IF(A85&lt;'Données projet'!$A$192,$EG$205^A85,IF(A85='Données projet'!$A$192,'Données projet'!$B$192,EJ84+EI85-ER84)))</f>
        <v>168.62222222222215</v>
      </c>
      <c r="EK85" s="18">
        <f>EJ85*VLOOKUP('Données projet'!$B$15,Paramètres!$A$1:$I$89,3,0)*VLOOKUP('Données projet'!$B$15,Paramètres!$A$1:$I$89,5,0)</f>
        <v>163.09141333333326</v>
      </c>
      <c r="EL85" s="14">
        <f t="shared" si="99"/>
        <v>41.539013804936893</v>
      </c>
      <c r="EM85" s="22">
        <f t="shared" si="73"/>
        <v>356.39799393248722</v>
      </c>
      <c r="EN85" s="62">
        <f t="shared" si="74"/>
        <v>627.90408556447426</v>
      </c>
      <c r="EO85" s="62">
        <f ca="1">AVERAGE(OFFSET($EN$3,0,0,'Données projet'!$E$15+1,1))-AVERAGE(OFFSET($H$3,0,0,'Données projet'!$E$15+1,1))</f>
        <v>364.22267539944085</v>
      </c>
      <c r="EP85" s="62">
        <f t="shared" si="100"/>
        <v>241.947139538615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32.090687590125718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32.090687590125718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-1.7053025658242404E-13</v>
      </c>
      <c r="FF85" s="18">
        <f>FE85*VLOOKUP('Données projet'!$B$16,Paramètres!$A$1:$I$89,3,0)*VLOOKUP('Données projet'!$B$16,Paramètres!$A$1:$I$89,5,0)</f>
        <v>-1.4897523215040567E-13</v>
      </c>
      <c r="FG85" s="14" t="e">
        <f t="shared" si="101"/>
        <v>#NUM!</v>
      </c>
      <c r="FH85" s="22" t="e">
        <f t="shared" si="76"/>
        <v>#NUM!</v>
      </c>
      <c r="FI85" s="62" t="e">
        <f t="shared" si="77"/>
        <v>#NUM!</v>
      </c>
      <c r="FJ85" s="62">
        <f ca="1">AVERAGE(OFFSET($FI$3,0,0,'Données projet'!$E$16+1,1))-AVERAGE(OFFSET($H$3,0,0,'Données projet'!$E$16+1,1))</f>
        <v>286.59837239471312</v>
      </c>
      <c r="FK85" s="62">
        <f t="shared" si="102"/>
        <v>319.26091328564689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79.52302078610866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79.52302078610866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-1.7053025658242404E-13</v>
      </c>
      <c r="GA85" s="18">
        <f>FZ85*VLOOKUP('Données projet'!$B$17,Paramètres!$A$1:$I$89,3,0)*VLOOKUP('Données projet'!$B$17,Paramètres!$A$1:$I$89,5,0)</f>
        <v>-1.1439169611549005E-13</v>
      </c>
      <c r="GB85" s="14" t="e">
        <f t="shared" si="103"/>
        <v>#NUM!</v>
      </c>
      <c r="GC85" s="22" t="e">
        <f t="shared" si="79"/>
        <v>#NUM!</v>
      </c>
      <c r="GD85" s="62" t="e">
        <f t="shared" si="80"/>
        <v>#NUM!</v>
      </c>
      <c r="GE85" s="62">
        <f ca="1">AVERAGE(OFFSET($GD$3,0,0,'Données projet'!$E$17+1,1))-AVERAGE(OFFSET($H$3,0,0,'Données projet'!$E$17+1,1))</f>
        <v>277.37570531842186</v>
      </c>
      <c r="GF85" s="62">
        <f t="shared" si="104"/>
        <v>310.00874200911312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projet'!$B$17,Paramètres!$A$1:$I$89,3,0)*0.475*44/12</f>
        <v>93.382461307591754</v>
      </c>
      <c r="GM85" s="23">
        <f>EXP(-LN(2)/25)*GM84+(1-EXP(-LN(2)/25))/(LN(2)/25)*Calculateur!GH85*Calculateur!GJ85*VLOOKUP('Données projet'!$B$17,Paramètres!$A$1:$I$89,3,0)*0.475*44/12</f>
        <v>0</v>
      </c>
      <c r="GN85" s="23">
        <f>EXP(-LN(2)/2)*GN84+(1-EXP(-LN(2)/2))/(LN(2)/2)*GH85*GK85*VLOOKUP('Données projet'!$B$17,Paramètres!$A$1:$I$89,3,0)*0.475*44/12</f>
        <v>0</v>
      </c>
      <c r="GO85" s="23">
        <f t="shared" si="81"/>
        <v>93.382461307591754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6.4444444444444446</v>
      </c>
      <c r="N86" s="14">
        <f>IF('Données projet'!$A$36&gt;35,N85+M86-V85,IF(A86&lt;'Données projet'!$A$36,$K$205^A86,IF(A86='Données projet'!$A$36,'Données projet'!$B$36,N85+M86-V85)))</f>
        <v>217.22222222222246</v>
      </c>
      <c r="O86" s="14">
        <f>N86*VLOOKUP('Données projet'!$B$9,Paramètres!$A$1:$I$89,3,0)*VLOOKUP('Données projet'!$B$9,Paramètres!$A$1:$I$89,5,0)</f>
        <v>189.76533333333356</v>
      </c>
      <c r="P86" s="14">
        <f t="shared" si="87"/>
        <v>47.488067652011274</v>
      </c>
      <c r="Q86" s="22">
        <f t="shared" si="54"/>
        <v>413.21634004947555</v>
      </c>
      <c r="R86" s="62">
        <f t="shared" si="55"/>
        <v>685.10108552657903</v>
      </c>
      <c r="S86" s="62">
        <f ca="1">AVERAGE(OFFSET($R$3,0,0,'Données projet'!$E$9+1,1))-AVERAGE(OFFSET($H$3,0,0,'Données projet'!$E$9+1,1))</f>
        <v>401.34220206028908</v>
      </c>
      <c r="T86" s="62">
        <f t="shared" si="88"/>
        <v>265.33314259106987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35.520945396627489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35.520945396627489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8.3000000000000007</v>
      </c>
      <c r="AI86" s="14">
        <f>IF('Données projet'!$A$62&gt;35,AI85+AH86-AQ85,IF(A86&lt;'Données projet'!$A$62,$AF$205^A86,IF(A86='Données projet'!$A$62,'Données projet'!$B$62,AI85+AH86-AQ85)))</f>
        <v>267.89999999999998</v>
      </c>
      <c r="AJ86" s="14">
        <f>AI86*VLOOKUP('Données projet'!$B$10,Paramètres!$A$1:$I$89,3,0)*VLOOKUP('Données projet'!$B$10,Paramètres!$A$1:$I$89,5,0)</f>
        <v>125.37719999999999</v>
      </c>
      <c r="AK86" s="14">
        <f t="shared" si="89"/>
        <v>32.925925439106848</v>
      </c>
      <c r="AL86" s="22">
        <f t="shared" si="58"/>
        <v>275.71127680644446</v>
      </c>
      <c r="AM86" s="62">
        <f t="shared" si="59"/>
        <v>547.59602228354788</v>
      </c>
      <c r="AN86" s="62">
        <f ca="1">AVERAGE(OFFSET($AM$3,0,0,'Données projet'!$E$10+1,1))-AVERAGE(OFFSET($H$3,0,0,'Données projet'!$E$10+1,1))</f>
        <v>253.48761861464732</v>
      </c>
      <c r="AO86" s="62">
        <f t="shared" si="90"/>
        <v>219.50855998133855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44.319718724892184</v>
      </c>
      <c r="AV86" s="23">
        <f>EXP(-LN(2)/25)*AV85+(1-EXP(-LN(2)/25))/(LN(2)/25)*Calculateur!AQ86*Calculateur!AS86*VLOOKUP('Données projet'!$B$10,Paramètres!$A$1:$I$89,3,0)*0.475*44/12</f>
        <v>10.035518573598829</v>
      </c>
      <c r="AW86" s="23">
        <f>EXP(-LN(2)/2)*AW85+(1-EXP(-LN(2)/2))/(LN(2)/2)*AQ86*AT86*VLOOKUP('Données projet'!$B$10,Paramètres!$A$1:$I$89,3,0)*0.475*44/12</f>
        <v>1.5302789597468138</v>
      </c>
      <c r="AX86" s="23">
        <f t="shared" si="60"/>
        <v>55.885516258237828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>
        <f>BD86*VLOOKUP('Données projet'!$B$11,Paramètres!$A$1:$I$89,3,0)*VLOOKUP('Données projet'!$B$11,Paramètres!$A$1:$I$89,5,0)</f>
        <v>0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482.85256243111911</v>
      </c>
      <c r="BJ86" s="62">
        <f t="shared" si="92"/>
        <v>517.78430032567064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75.035509523560393</v>
      </c>
      <c r="BQ86" s="23">
        <f>EXP(-LN(2)/25)*BQ85+(1-EXP(-LN(2)/25))/(LN(2)/25)*Calculateur!BL86*Calculateur!BN86*VLOOKUP('Données projet'!$B$11,Paramètres!$A$1:$I$89,3,0)*0.475*44/12</f>
        <v>15.917581405705793</v>
      </c>
      <c r="BR86" s="23">
        <f>EXP(-LN(2)/2)*BR85+(1-EXP(-LN(2)/2))/(LN(2)/2)*BL86*BO86*VLOOKUP('Données projet'!$B$11,Paramètres!$A$1:$I$89,3,0)*0.475*44/12</f>
        <v>2.0113827578371449E-2</v>
      </c>
      <c r="BS86" s="24">
        <f t="shared" si="63"/>
        <v>90.973204756844552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>
        <f>BY86*VLOOKUP('Données projet'!$B$12,Paramètres!$A$1:$I$89,3,0)*VLOOKUP('Données projet'!$B$12,Paramètres!$A$1:$I$89,5,0)</f>
        <v>0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275.76900776033335</v>
      </c>
      <c r="CE86" s="62">
        <f t="shared" si="94"/>
        <v>299.36898480605191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71.909029960078712</v>
      </c>
      <c r="CL86" s="23">
        <f>EXP(-LN(2)/25)*CL85+(1-EXP(-LN(2)/25))/(LN(2)/25)*Calculateur!CG86*Calculateur!CI86*VLOOKUP('Données projet'!$B$12,Paramètres!$A$1:$I$89,3,0)*0.475*44/12</f>
        <v>15.25434884713472</v>
      </c>
      <c r="CM86" s="23">
        <f>EXP(-LN(2)/2)*CM85+(1-EXP(-LN(2)/2))/(LN(2)/2)*CG86*CJ86*VLOOKUP('Données projet'!$B$12,Paramètres!$A$1:$I$89,3,0)*0.475*44/12</f>
        <v>1.9275751429272622E-2</v>
      </c>
      <c r="CN86" s="24">
        <f t="shared" si="66"/>
        <v>87.18265455864271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6.4444444444444446</v>
      </c>
      <c r="CT86" s="13">
        <f>IF('Données projet'!$A$140&gt;35,CT85+CS86-DB85,IF(A86&lt;'Données projet'!$A$140,$CQ$205^A86,IF(A86='Données projet'!$A$140,'Données projet'!$B$140,CT85+CS86-DB85)))</f>
        <v>217.22222222222246</v>
      </c>
      <c r="CU86" s="18">
        <f>CT86*VLOOKUP('Données projet'!$B$13,Paramètres!$A$1:$I$89,3,0)*VLOOKUP('Données projet'!$B$13,Paramètres!$A$1:$I$89,5,0)</f>
        <v>237.20666666666693</v>
      </c>
      <c r="CV86" s="14">
        <f t="shared" si="95"/>
        <v>57.838122327027833</v>
      </c>
      <c r="CW86" s="22">
        <f t="shared" si="67"/>
        <v>513.86967416401831</v>
      </c>
      <c r="CX86" s="62">
        <f t="shared" si="68"/>
        <v>785.75441964112179</v>
      </c>
      <c r="CY86" s="62">
        <f ca="1">AVERAGE(OFFSET($CX$3,0,0,'Données projet'!$E$13+1,1))-AVERAGE(OFFSET($H$3,0,0,'Données projet'!$E$13+1,1))</f>
        <v>482.24068797679558</v>
      </c>
      <c r="CZ86" s="62">
        <f t="shared" si="96"/>
        <v>316.28941055521693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44.401181745784363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44.401181745784363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-1.7053025658242404E-13</v>
      </c>
      <c r="DP86" s="18">
        <f>DO86*VLOOKUP('Données projet'!$B$14,Paramètres!$A$1:$I$89,3,0)*VLOOKUP('Données projet'!$B$14,Paramètres!$A$1:$I$89,5,0)</f>
        <v>-1.383341441396624E-13</v>
      </c>
      <c r="DQ86" s="14" t="e">
        <f t="shared" si="97"/>
        <v>#NUM!</v>
      </c>
      <c r="DR86" s="22" t="e">
        <f t="shared" si="70"/>
        <v>#NUM!</v>
      </c>
      <c r="DS86" s="62" t="e">
        <f t="shared" si="71"/>
        <v>#NUM!</v>
      </c>
      <c r="DT86" s="62">
        <f ca="1">AVERAGE(OFFSET($DS$3,0,0,'Données projet'!$E$14+1,1))-AVERAGE(OFFSET($H$3,0,0,'Données projet'!$E$14+1,1))</f>
        <v>325.58538970226539</v>
      </c>
      <c r="DU86" s="62">
        <f t="shared" si="98"/>
        <v>361.81085660423457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89.82390540281915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89.82390540281915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5.1555555555555559</v>
      </c>
      <c r="EJ86" s="13">
        <f>IF('Données projet'!$A$192&gt;35,EJ85+EI86-ER85,IF(A86&lt;'Données projet'!$A$192,$EG$205^A86,IF(A86='Données projet'!$A$192,'Données projet'!$B$192,EJ85+EI86-ER85)))</f>
        <v>173.77777777777771</v>
      </c>
      <c r="EK86" s="18">
        <f>EJ86*VLOOKUP('Données projet'!$B$15,Paramètres!$A$1:$I$89,3,0)*VLOOKUP('Données projet'!$B$15,Paramètres!$A$1:$I$89,5,0)</f>
        <v>168.07786666666661</v>
      </c>
      <c r="EL86" s="14">
        <f t="shared" si="99"/>
        <v>42.659245174857382</v>
      </c>
      <c r="EM86" s="22">
        <f t="shared" si="73"/>
        <v>367.03380312398758</v>
      </c>
      <c r="EN86" s="62">
        <f t="shared" si="74"/>
        <v>638.91854860109106</v>
      </c>
      <c r="EO86" s="62">
        <f ca="1">AVERAGE(OFFSET($EN$3,0,0,'Données projet'!$E$15+1,1))-AVERAGE(OFFSET($H$3,0,0,'Données projet'!$E$15+1,1))</f>
        <v>364.22267539944085</v>
      </c>
      <c r="EP86" s="62">
        <f t="shared" si="100"/>
        <v>241.947139538615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31.461408779870073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31.461408779870073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-1.7053025658242404E-13</v>
      </c>
      <c r="FF86" s="18">
        <f>FE86*VLOOKUP('Données projet'!$B$16,Paramètres!$A$1:$I$89,3,0)*VLOOKUP('Données projet'!$B$16,Paramètres!$A$1:$I$89,5,0)</f>
        <v>-1.4897523215040567E-13</v>
      </c>
      <c r="FG86" s="14" t="e">
        <f t="shared" si="101"/>
        <v>#NUM!</v>
      </c>
      <c r="FH86" s="22" t="e">
        <f t="shared" si="76"/>
        <v>#NUM!</v>
      </c>
      <c r="FI86" s="62" t="e">
        <f t="shared" si="77"/>
        <v>#NUM!</v>
      </c>
      <c r="FJ86" s="62">
        <f ca="1">AVERAGE(OFFSET($FI$3,0,0,'Données projet'!$E$16+1,1))-AVERAGE(OFFSET($H$3,0,0,'Données projet'!$E$16+1,1))</f>
        <v>286.59837239471312</v>
      </c>
      <c r="FK86" s="62">
        <f t="shared" si="102"/>
        <v>319.26091328564689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77.963622852746354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77.963622852746354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-1.7053025658242404E-13</v>
      </c>
      <c r="GA86" s="18">
        <f>FZ86*VLOOKUP('Données projet'!$B$17,Paramètres!$A$1:$I$89,3,0)*VLOOKUP('Données projet'!$B$17,Paramètres!$A$1:$I$89,5,0)</f>
        <v>-1.1439169611549005E-13</v>
      </c>
      <c r="GB86" s="14" t="e">
        <f t="shared" si="103"/>
        <v>#NUM!</v>
      </c>
      <c r="GC86" s="22" t="e">
        <f t="shared" si="79"/>
        <v>#NUM!</v>
      </c>
      <c r="GD86" s="62" t="e">
        <f t="shared" si="80"/>
        <v>#NUM!</v>
      </c>
      <c r="GE86" s="62">
        <f ca="1">AVERAGE(OFFSET($GD$3,0,0,'Données projet'!$E$17+1,1))-AVERAGE(OFFSET($H$3,0,0,'Données projet'!$E$17+1,1))</f>
        <v>277.37570531842186</v>
      </c>
      <c r="GF86" s="62">
        <f t="shared" si="104"/>
        <v>310.00874200911312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projet'!$B$17,Paramètres!$A$1:$I$89,3,0)*0.475*44/12</f>
        <v>91.551288199027169</v>
      </c>
      <c r="GM86" s="23">
        <f>EXP(-LN(2)/25)*GM85+(1-EXP(-LN(2)/25))/(LN(2)/25)*Calculateur!GH86*Calculateur!GJ86*VLOOKUP('Données projet'!$B$17,Paramètres!$A$1:$I$89,3,0)*0.475*44/12</f>
        <v>0</v>
      </c>
      <c r="GN86" s="23">
        <f>EXP(-LN(2)/2)*GN85+(1-EXP(-LN(2)/2))/(LN(2)/2)*GH86*GK86*VLOOKUP('Données projet'!$B$17,Paramètres!$A$1:$I$89,3,0)*0.475*44/12</f>
        <v>0</v>
      </c>
      <c r="GO86" s="23">
        <f t="shared" si="81"/>
        <v>91.551288199027169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6.4444444444444446</v>
      </c>
      <c r="N87" s="14">
        <f>IF('Données projet'!$A$36&gt;35,N86+M87-V86,IF(A87&lt;'Données projet'!$A$36,$K$205^A87,IF(A87='Données projet'!$A$36,'Données projet'!$B$36,N86+M87-V86)))</f>
        <v>223.66666666666691</v>
      </c>
      <c r="O87" s="14">
        <f>N87*VLOOKUP('Données projet'!$B$9,Paramètres!$A$1:$I$89,3,0)*VLOOKUP('Données projet'!$B$9,Paramètres!$A$1:$I$89,5,0)</f>
        <v>195.39520000000024</v>
      </c>
      <c r="P87" s="14">
        <f t="shared" si="87"/>
        <v>48.730804225443322</v>
      </c>
      <c r="Q87" s="22">
        <f t="shared" si="54"/>
        <v>425.18612402598092</v>
      </c>
      <c r="R87" s="62">
        <f t="shared" si="55"/>
        <v>697.44295455053123</v>
      </c>
      <c r="S87" s="62">
        <f ca="1">AVERAGE(OFFSET($R$3,0,0,'Données projet'!$E$9+1,1))-AVERAGE(OFFSET($H$3,0,0,'Données projet'!$E$9+1,1))</f>
        <v>401.34220206028908</v>
      </c>
      <c r="T87" s="62">
        <f t="shared" si="88"/>
        <v>265.33314259106987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34.824401323037009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34.824401323037009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8.3000000000000007</v>
      </c>
      <c r="AI87" s="14">
        <f>IF('Données projet'!$A$62&gt;35,AI86+AH87-AQ86,IF(A87&lt;'Données projet'!$A$62,$AF$205^A87,IF(A87='Données projet'!$A$62,'Données projet'!$B$62,AI86+AH87-AQ86)))</f>
        <v>276.2</v>
      </c>
      <c r="AJ87" s="14">
        <f>AI87*VLOOKUP('Données projet'!$B$10,Paramètres!$A$1:$I$89,3,0)*VLOOKUP('Données projet'!$B$10,Paramètres!$A$1:$I$89,5,0)</f>
        <v>129.26159999999999</v>
      </c>
      <c r="AK87" s="14">
        <f t="shared" si="89"/>
        <v>33.825680249002822</v>
      </c>
      <c r="AL87" s="22">
        <f t="shared" si="58"/>
        <v>284.0436797670132</v>
      </c>
      <c r="AM87" s="62">
        <f t="shared" si="59"/>
        <v>556.30051029156357</v>
      </c>
      <c r="AN87" s="62">
        <f ca="1">AVERAGE(OFFSET($AM$3,0,0,'Données projet'!$E$10+1,1))-AVERAGE(OFFSET($H$3,0,0,'Données projet'!$E$10+1,1))</f>
        <v>253.48761861464732</v>
      </c>
      <c r="AO87" s="62">
        <f t="shared" si="90"/>
        <v>219.50855998133855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43.450636073056245</v>
      </c>
      <c r="AV87" s="23">
        <f>EXP(-LN(2)/25)*AV86+(1-EXP(-LN(2)/25))/(LN(2)/25)*Calculateur!AQ87*Calculateur!AS87*VLOOKUP('Données projet'!$B$10,Paramètres!$A$1:$I$89,3,0)*0.475*44/12</f>
        <v>9.7610967904587831</v>
      </c>
      <c r="AW87" s="23">
        <f>EXP(-LN(2)/2)*AW86+(1-EXP(-LN(2)/2))/(LN(2)/2)*AQ87*AT87*VLOOKUP('Données projet'!$B$10,Paramètres!$A$1:$I$89,3,0)*0.475*44/12</f>
        <v>1.0820706295440679</v>
      </c>
      <c r="AX87" s="23">
        <f t="shared" si="60"/>
        <v>54.293803493059094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>
        <f>BD87*VLOOKUP('Données projet'!$B$11,Paramètres!$A$1:$I$89,3,0)*VLOOKUP('Données projet'!$B$11,Paramètres!$A$1:$I$89,5,0)</f>
        <v>0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482.85256243111911</v>
      </c>
      <c r="BJ87" s="62">
        <f t="shared" si="92"/>
        <v>517.78430032567064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73.564108948945048</v>
      </c>
      <c r="BQ87" s="23">
        <f>EXP(-LN(2)/25)*BQ86+(1-EXP(-LN(2)/25))/(LN(2)/25)*Calculateur!BL87*Calculateur!BN87*VLOOKUP('Données projet'!$B$11,Paramètres!$A$1:$I$89,3,0)*0.475*44/12</f>
        <v>15.482314305097542</v>
      </c>
      <c r="BR87" s="23">
        <f>EXP(-LN(2)/2)*BR86+(1-EXP(-LN(2)/2))/(LN(2)/2)*BL87*BO87*VLOOKUP('Données projet'!$B$11,Paramètres!$A$1:$I$89,3,0)*0.475*44/12</f>
        <v>1.4222623876283445E-2</v>
      </c>
      <c r="BS87" s="24">
        <f t="shared" si="63"/>
        <v>89.060645877918873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>
        <f>BY87*VLOOKUP('Données projet'!$B$12,Paramètres!$A$1:$I$89,3,0)*VLOOKUP('Données projet'!$B$12,Paramètres!$A$1:$I$89,5,0)</f>
        <v>0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275.76900776033335</v>
      </c>
      <c r="CE87" s="62">
        <f t="shared" si="94"/>
        <v>299.36898480605191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70.498937742739017</v>
      </c>
      <c r="CL87" s="23">
        <f>EXP(-LN(2)/25)*CL86+(1-EXP(-LN(2)/25))/(LN(2)/25)*Calculateur!CG87*Calculateur!CI87*VLOOKUP('Données projet'!$B$12,Paramètres!$A$1:$I$89,3,0)*0.475*44/12</f>
        <v>14.83721787571848</v>
      </c>
      <c r="CM87" s="23">
        <f>EXP(-LN(2)/2)*CM86+(1-EXP(-LN(2)/2))/(LN(2)/2)*CG87*CJ87*VLOOKUP('Données projet'!$B$12,Paramètres!$A$1:$I$89,3,0)*0.475*44/12</f>
        <v>1.3630014548104957E-2</v>
      </c>
      <c r="CN87" s="24">
        <f t="shared" si="66"/>
        <v>85.349785633005595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6.4444444444444446</v>
      </c>
      <c r="CT87" s="13">
        <f>IF('Données projet'!$A$140&gt;35,CT86+CS87-DB86,IF(A87&lt;'Données projet'!$A$140,$CQ$205^A87,IF(A87='Données projet'!$A$140,'Données projet'!$B$140,CT86+CS87-DB86)))</f>
        <v>223.66666666666691</v>
      </c>
      <c r="CU87" s="18">
        <f>CT87*VLOOKUP('Données projet'!$B$13,Paramètres!$A$1:$I$89,3,0)*VLOOKUP('Données projet'!$B$13,Paramètres!$A$1:$I$89,5,0)</f>
        <v>244.24400000000026</v>
      </c>
      <c r="CV87" s="14">
        <f t="shared" si="95"/>
        <v>59.351714130365615</v>
      </c>
      <c r="CW87" s="22">
        <f t="shared" si="67"/>
        <v>528.76253544372059</v>
      </c>
      <c r="CX87" s="62">
        <f t="shared" si="68"/>
        <v>801.0193659682709</v>
      </c>
      <c r="CY87" s="62">
        <f ca="1">AVERAGE(OFFSET($CX$3,0,0,'Données projet'!$E$13+1,1))-AVERAGE(OFFSET($H$3,0,0,'Données projet'!$E$13+1,1))</f>
        <v>482.24068797679558</v>
      </c>
      <c r="CZ87" s="62">
        <f t="shared" si="96"/>
        <v>316.28941055521693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43.530501653796264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43.530501653796264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-1.7053025658242404E-13</v>
      </c>
      <c r="DP87" s="18">
        <f>DO87*VLOOKUP('Données projet'!$B$14,Paramètres!$A$1:$I$89,3,0)*VLOOKUP('Données projet'!$B$14,Paramètres!$A$1:$I$89,5,0)</f>
        <v>-1.383341441396624E-13</v>
      </c>
      <c r="DQ87" s="14" t="e">
        <f t="shared" si="97"/>
        <v>#NUM!</v>
      </c>
      <c r="DR87" s="22" t="e">
        <f t="shared" si="70"/>
        <v>#NUM!</v>
      </c>
      <c r="DS87" s="62" t="e">
        <f t="shared" si="71"/>
        <v>#NUM!</v>
      </c>
      <c r="DT87" s="62">
        <f ca="1">AVERAGE(OFFSET($DS$3,0,0,'Données projet'!$E$14+1,1))-AVERAGE(OFFSET($H$3,0,0,'Données projet'!$E$14+1,1))</f>
        <v>325.58538970226539</v>
      </c>
      <c r="DU87" s="62">
        <f t="shared" si="98"/>
        <v>361.81085660423457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88.062513405042381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88.062513405042381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5.1555555555555559</v>
      </c>
      <c r="EJ87" s="13">
        <f>IF('Données projet'!$A$192&gt;35,EJ86+EI87-ER86,IF(A87&lt;'Données projet'!$A$192,$EG$205^A87,IF(A87='Données projet'!$A$192,'Données projet'!$B$192,EJ86+EI87-ER86)))</f>
        <v>178.93333333333328</v>
      </c>
      <c r="EK87" s="18">
        <f>EJ87*VLOOKUP('Données projet'!$B$15,Paramètres!$A$1:$I$89,3,0)*VLOOKUP('Données projet'!$B$15,Paramètres!$A$1:$I$89,5,0)</f>
        <v>173.06431999999995</v>
      </c>
      <c r="EL87" s="14">
        <f t="shared" si="99"/>
        <v>43.775614123838075</v>
      </c>
      <c r="EM87" s="22">
        <f t="shared" si="73"/>
        <v>377.66288526568451</v>
      </c>
      <c r="EN87" s="62">
        <f t="shared" si="74"/>
        <v>649.91971579023482</v>
      </c>
      <c r="EO87" s="62">
        <f ca="1">AVERAGE(OFFSET($EN$3,0,0,'Données projet'!$E$15+1,1))-AVERAGE(OFFSET($H$3,0,0,'Données projet'!$E$15+1,1))</f>
        <v>364.22267539944085</v>
      </c>
      <c r="EP87" s="62">
        <f t="shared" si="100"/>
        <v>241.947139538615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30.844469743261364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30.844469743261364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-1.7053025658242404E-13</v>
      </c>
      <c r="FF87" s="18">
        <f>FE87*VLOOKUP('Données projet'!$B$16,Paramètres!$A$1:$I$89,3,0)*VLOOKUP('Données projet'!$B$16,Paramètres!$A$1:$I$89,5,0)</f>
        <v>-1.4897523215040567E-13</v>
      </c>
      <c r="FG87" s="14" t="e">
        <f t="shared" si="101"/>
        <v>#NUM!</v>
      </c>
      <c r="FH87" s="22" t="e">
        <f t="shared" si="76"/>
        <v>#NUM!</v>
      </c>
      <c r="FI87" s="62" t="e">
        <f t="shared" si="77"/>
        <v>#NUM!</v>
      </c>
      <c r="FJ87" s="62">
        <f ca="1">AVERAGE(OFFSET($FI$3,0,0,'Données projet'!$E$16+1,1))-AVERAGE(OFFSET($H$3,0,0,'Données projet'!$E$16+1,1))</f>
        <v>286.59837239471312</v>
      </c>
      <c r="FK87" s="62">
        <f t="shared" si="102"/>
        <v>319.26091328564689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76.434803761718456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76.434803761718456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-1.7053025658242404E-13</v>
      </c>
      <c r="GA87" s="18">
        <f>FZ87*VLOOKUP('Données projet'!$B$17,Paramètres!$A$1:$I$89,3,0)*VLOOKUP('Données projet'!$B$17,Paramètres!$A$1:$I$89,5,0)</f>
        <v>-1.1439169611549005E-13</v>
      </c>
      <c r="GB87" s="14" t="e">
        <f t="shared" si="103"/>
        <v>#NUM!</v>
      </c>
      <c r="GC87" s="22" t="e">
        <f t="shared" si="79"/>
        <v>#NUM!</v>
      </c>
      <c r="GD87" s="62" t="e">
        <f t="shared" si="80"/>
        <v>#NUM!</v>
      </c>
      <c r="GE87" s="62">
        <f ca="1">AVERAGE(OFFSET($GD$3,0,0,'Données projet'!$E$17+1,1))-AVERAGE(OFFSET($H$3,0,0,'Données projet'!$E$17+1,1))</f>
        <v>277.37570531842186</v>
      </c>
      <c r="GF87" s="62">
        <f t="shared" si="104"/>
        <v>310.00874200911312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projet'!$B$17,Paramètres!$A$1:$I$89,3,0)*0.475*44/12</f>
        <v>89.756023278216233</v>
      </c>
      <c r="GM87" s="23">
        <f>EXP(-LN(2)/25)*GM86+(1-EXP(-LN(2)/25))/(LN(2)/25)*Calculateur!GH87*Calculateur!GJ87*VLOOKUP('Données projet'!$B$17,Paramètres!$A$1:$I$89,3,0)*0.475*44/12</f>
        <v>0</v>
      </c>
      <c r="GN87" s="23">
        <f>EXP(-LN(2)/2)*GN86+(1-EXP(-LN(2)/2))/(LN(2)/2)*GH87*GK87*VLOOKUP('Données projet'!$B$17,Paramètres!$A$1:$I$89,3,0)*0.475*44/12</f>
        <v>0</v>
      </c>
      <c r="GO87" s="23">
        <f t="shared" si="81"/>
        <v>89.756023278216233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6.4444444444444446</v>
      </c>
      <c r="N88" s="14">
        <f>IF('Données projet'!$A$36&gt;35,N87+M88-V87,IF(A88&lt;'Données projet'!$A$36,$K$205^A88,IF(A88='Données projet'!$A$36,'Données projet'!$B$36,N87+M88-V87)))</f>
        <v>230.11111111111137</v>
      </c>
      <c r="O88" s="14">
        <f>N88*VLOOKUP('Données projet'!$B$9,Paramètres!$A$1:$I$89,3,0)*VLOOKUP('Données projet'!$B$9,Paramètres!$A$1:$I$89,5,0)</f>
        <v>201.02506666666693</v>
      </c>
      <c r="P88" s="14">
        <f t="shared" si="87"/>
        <v>49.969379281505084</v>
      </c>
      <c r="Q88" s="22">
        <f t="shared" si="54"/>
        <v>437.14866002639957</v>
      </c>
      <c r="R88" s="62">
        <f t="shared" si="55"/>
        <v>709.77112075468108</v>
      </c>
      <c r="S88" s="62">
        <f ca="1">AVERAGE(OFFSET($R$3,0,0,'Données projet'!$E$9+1,1))-AVERAGE(OFFSET($H$3,0,0,'Données projet'!$E$9+1,1))</f>
        <v>401.34220206028908</v>
      </c>
      <c r="T88" s="62">
        <f t="shared" si="88"/>
        <v>265.33314259106987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34.141516053879705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34.141516053879705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8.3000000000000007</v>
      </c>
      <c r="AI88" s="14">
        <f>IF('Données projet'!$A$62&gt;35,AI87+AH88-AQ87,IF(A88&lt;'Données projet'!$A$62,$AF$205^A88,IF(A88='Données projet'!$A$62,'Données projet'!$B$62,AI87+AH88-AQ87)))</f>
        <v>284.5</v>
      </c>
      <c r="AJ88" s="14">
        <f>AI88*VLOOKUP('Données projet'!$B$10,Paramètres!$A$1:$I$89,3,0)*VLOOKUP('Données projet'!$B$10,Paramètres!$A$1:$I$89,5,0)</f>
        <v>133.14600000000002</v>
      </c>
      <c r="AK88" s="14">
        <f t="shared" si="89"/>
        <v>34.722292804767527</v>
      </c>
      <c r="AL88" s="22">
        <f t="shared" si="58"/>
        <v>292.37060996830348</v>
      </c>
      <c r="AM88" s="62">
        <f t="shared" si="59"/>
        <v>564.99307069658494</v>
      </c>
      <c r="AN88" s="62">
        <f ca="1">AVERAGE(OFFSET($AM$3,0,0,'Données projet'!$E$10+1,1))-AVERAGE(OFFSET($H$3,0,0,'Données projet'!$E$10+1,1))</f>
        <v>253.48761861464732</v>
      </c>
      <c r="AO88" s="62">
        <f t="shared" si="90"/>
        <v>219.50855998133855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42.598595601934733</v>
      </c>
      <c r="AV88" s="23">
        <f>EXP(-LN(2)/25)*AV87+(1-EXP(-LN(2)/25))/(LN(2)/25)*Calculateur!AQ88*Calculateur!AS88*VLOOKUP('Données projet'!$B$10,Paramètres!$A$1:$I$89,3,0)*0.475*44/12</f>
        <v>9.4941790854099164</v>
      </c>
      <c r="AW88" s="23">
        <f>EXP(-LN(2)/2)*AW87+(1-EXP(-LN(2)/2))/(LN(2)/2)*AQ88*AT88*VLOOKUP('Données projet'!$B$10,Paramètres!$A$1:$I$89,3,0)*0.475*44/12</f>
        <v>0.76513947987340691</v>
      </c>
      <c r="AX88" s="23">
        <f t="shared" si="60"/>
        <v>52.857914167218055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>
        <f>BD88*VLOOKUP('Données projet'!$B$11,Paramètres!$A$1:$I$89,3,0)*VLOOKUP('Données projet'!$B$11,Paramètres!$A$1:$I$89,5,0)</f>
        <v>0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482.85256243111911</v>
      </c>
      <c r="BJ88" s="62">
        <f t="shared" si="92"/>
        <v>517.78430032567064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72.121561642132178</v>
      </c>
      <c r="BQ88" s="23">
        <f>EXP(-LN(2)/25)*BQ87+(1-EXP(-LN(2)/25))/(LN(2)/25)*Calculateur!BL88*Calculateur!BN88*VLOOKUP('Données projet'!$B$11,Paramètres!$A$1:$I$89,3,0)*0.475*44/12</f>
        <v>15.058949606245125</v>
      </c>
      <c r="BR88" s="23">
        <f>EXP(-LN(2)/2)*BR87+(1-EXP(-LN(2)/2))/(LN(2)/2)*BL88*BO88*VLOOKUP('Données projet'!$B$11,Paramètres!$A$1:$I$89,3,0)*0.475*44/12</f>
        <v>1.0056913789185724E-2</v>
      </c>
      <c r="BS88" s="24">
        <f t="shared" si="63"/>
        <v>87.190568162166485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>
        <f>BY88*VLOOKUP('Données projet'!$B$12,Paramètres!$A$1:$I$89,3,0)*VLOOKUP('Données projet'!$B$12,Paramètres!$A$1:$I$89,5,0)</f>
        <v>0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275.76900776033335</v>
      </c>
      <c r="CE88" s="62">
        <f t="shared" si="94"/>
        <v>299.36898480605191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69.116496573710023</v>
      </c>
      <c r="CL88" s="23">
        <f>EXP(-LN(2)/25)*CL87+(1-EXP(-LN(2)/25))/(LN(2)/25)*Calculateur!CG88*Calculateur!CI88*VLOOKUP('Données projet'!$B$12,Paramètres!$A$1:$I$89,3,0)*0.475*44/12</f>
        <v>14.43149337265158</v>
      </c>
      <c r="CM88" s="23">
        <f>EXP(-LN(2)/2)*CM87+(1-EXP(-LN(2)/2))/(LN(2)/2)*CG88*CJ88*VLOOKUP('Données projet'!$B$12,Paramètres!$A$1:$I$89,3,0)*0.475*44/12</f>
        <v>9.6378757146363108E-3</v>
      </c>
      <c r="CN88" s="24">
        <f t="shared" si="66"/>
        <v>83.557627822076242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6.4444444444444446</v>
      </c>
      <c r="CT88" s="13">
        <f>IF('Données projet'!$A$140&gt;35,CT87+CS88-DB87,IF(A88&lt;'Données projet'!$A$140,$CQ$205^A88,IF(A88='Données projet'!$A$140,'Données projet'!$B$140,CT87+CS88-DB87)))</f>
        <v>230.11111111111137</v>
      </c>
      <c r="CU88" s="18">
        <f>CT88*VLOOKUP('Données projet'!$B$13,Paramètres!$A$1:$I$89,3,0)*VLOOKUP('Données projet'!$B$13,Paramètres!$A$1:$I$89,5,0)</f>
        <v>251.28133333333361</v>
      </c>
      <c r="CV88" s="14">
        <f t="shared" si="95"/>
        <v>60.860237410964267</v>
      </c>
      <c r="CW88" s="22">
        <f t="shared" si="67"/>
        <v>543.64656904631875</v>
      </c>
      <c r="CX88" s="62">
        <f t="shared" si="68"/>
        <v>816.26902977460031</v>
      </c>
      <c r="CY88" s="62">
        <f ca="1">AVERAGE(OFFSET($CX$3,0,0,'Données projet'!$E$13+1,1))-AVERAGE(OFFSET($H$3,0,0,'Données projet'!$E$13+1,1))</f>
        <v>482.24068797679558</v>
      </c>
      <c r="CZ88" s="62">
        <f t="shared" si="96"/>
        <v>316.28941055521693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42.676895067349633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42.676895067349633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-1.7053025658242404E-13</v>
      </c>
      <c r="DP88" s="18">
        <f>DO88*VLOOKUP('Données projet'!$B$14,Paramètres!$A$1:$I$89,3,0)*VLOOKUP('Données projet'!$B$14,Paramètres!$A$1:$I$89,5,0)</f>
        <v>-1.383341441396624E-13</v>
      </c>
      <c r="DQ88" s="14" t="e">
        <f t="shared" si="97"/>
        <v>#NUM!</v>
      </c>
      <c r="DR88" s="22" t="e">
        <f t="shared" si="70"/>
        <v>#NUM!</v>
      </c>
      <c r="DS88" s="62" t="e">
        <f t="shared" si="71"/>
        <v>#NUM!</v>
      </c>
      <c r="DT88" s="62">
        <f ca="1">AVERAGE(OFFSET($DS$3,0,0,'Données projet'!$E$14+1,1))-AVERAGE(OFFSET($H$3,0,0,'Données projet'!$E$14+1,1))</f>
        <v>325.58538970226539</v>
      </c>
      <c r="DU88" s="62">
        <f t="shared" si="98"/>
        <v>361.81085660423457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86.335661229998976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86.335661229998976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5.1555555555555559</v>
      </c>
      <c r="EJ88" s="13">
        <f>IF('Données projet'!$A$192&gt;35,EJ87+EI88-ER87,IF(A88&lt;'Données projet'!$A$192,$EG$205^A88,IF(A88='Données projet'!$A$192,'Données projet'!$B$192,EJ87+EI88-ER87)))</f>
        <v>184.08888888888885</v>
      </c>
      <c r="EK88" s="18">
        <f>EJ88*VLOOKUP('Données projet'!$B$15,Paramètres!$A$1:$I$89,3,0)*VLOOKUP('Données projet'!$B$15,Paramètres!$A$1:$I$89,5,0)</f>
        <v>178.0507733333333</v>
      </c>
      <c r="EL88" s="14">
        <f t="shared" si="99"/>
        <v>44.888244719194873</v>
      </c>
      <c r="EM88" s="22">
        <f t="shared" si="73"/>
        <v>388.28545644148653</v>
      </c>
      <c r="EN88" s="62">
        <f t="shared" si="74"/>
        <v>660.9079171697681</v>
      </c>
      <c r="EO88" s="62">
        <f ca="1">AVERAGE(OFFSET($EN$3,0,0,'Données projet'!$E$15+1,1))-AVERAGE(OFFSET($H$3,0,0,'Données projet'!$E$15+1,1))</f>
        <v>364.22267539944085</v>
      </c>
      <c r="EP88" s="62">
        <f t="shared" si="100"/>
        <v>241.947139538615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30.239628504864896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30.239628504864896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-1.7053025658242404E-13</v>
      </c>
      <c r="FF88" s="18">
        <f>FE88*VLOOKUP('Données projet'!$B$16,Paramètres!$A$1:$I$89,3,0)*VLOOKUP('Données projet'!$B$16,Paramètres!$A$1:$I$89,5,0)</f>
        <v>-1.4897523215040567E-13</v>
      </c>
      <c r="FG88" s="14" t="e">
        <f t="shared" si="101"/>
        <v>#NUM!</v>
      </c>
      <c r="FH88" s="22" t="e">
        <f t="shared" si="76"/>
        <v>#NUM!</v>
      </c>
      <c r="FI88" s="62" t="e">
        <f t="shared" si="77"/>
        <v>#NUM!</v>
      </c>
      <c r="FJ88" s="62">
        <f ca="1">AVERAGE(OFFSET($FI$3,0,0,'Données projet'!$E$16+1,1))-AVERAGE(OFFSET($H$3,0,0,'Données projet'!$E$16+1,1))</f>
        <v>286.59837239471312</v>
      </c>
      <c r="FK88" s="62">
        <f t="shared" si="102"/>
        <v>319.26091328564689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74.935963880578043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74.935963880578043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-1.7053025658242404E-13</v>
      </c>
      <c r="GA88" s="18">
        <f>FZ88*VLOOKUP('Données projet'!$B$17,Paramètres!$A$1:$I$89,3,0)*VLOOKUP('Données projet'!$B$17,Paramètres!$A$1:$I$89,5,0)</f>
        <v>-1.1439169611549005E-13</v>
      </c>
      <c r="GB88" s="14" t="e">
        <f t="shared" si="103"/>
        <v>#NUM!</v>
      </c>
      <c r="GC88" s="22" t="e">
        <f t="shared" si="79"/>
        <v>#NUM!</v>
      </c>
      <c r="GD88" s="62" t="e">
        <f t="shared" si="80"/>
        <v>#NUM!</v>
      </c>
      <c r="GE88" s="62">
        <f ca="1">AVERAGE(OFFSET($GD$3,0,0,'Données projet'!$E$17+1,1))-AVERAGE(OFFSET($H$3,0,0,'Données projet'!$E$17+1,1))</f>
        <v>277.37570531842186</v>
      </c>
      <c r="GF88" s="62">
        <f t="shared" si="104"/>
        <v>310.00874200911312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projet'!$B$17,Paramètres!$A$1:$I$89,3,0)*0.475*44/12</f>
        <v>87.995962407498922</v>
      </c>
      <c r="GM88" s="23">
        <f>EXP(-LN(2)/25)*GM87+(1-EXP(-LN(2)/25))/(LN(2)/25)*Calculateur!GH88*Calculateur!GJ88*VLOOKUP('Données projet'!$B$17,Paramètres!$A$1:$I$89,3,0)*0.475*44/12</f>
        <v>0</v>
      </c>
      <c r="GN88" s="23">
        <f>EXP(-LN(2)/2)*GN87+(1-EXP(-LN(2)/2))/(LN(2)/2)*GH88*GK88*VLOOKUP('Données projet'!$B$17,Paramètres!$A$1:$I$89,3,0)*0.475*44/12</f>
        <v>0</v>
      </c>
      <c r="GO88" s="23">
        <f t="shared" si="81"/>
        <v>87.995962407498922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6.4444444444444446</v>
      </c>
      <c r="N89" s="14">
        <f>IF('Données projet'!$A$36&gt;35,N88+M89-V88,IF(A89&lt;'Données projet'!$A$36,$K$205^A89,IF(A89='Données projet'!$A$36,'Données projet'!$B$36,N88+M89-V88)))</f>
        <v>236.55555555555583</v>
      </c>
      <c r="O89" s="14">
        <f>N89*VLOOKUP('Données projet'!$B$9,Paramètres!$A$1:$I$89,3,0)*VLOOKUP('Données projet'!$B$9,Paramètres!$A$1:$I$89,5,0)</f>
        <v>206.65493333333359</v>
      </c>
      <c r="P89" s="14">
        <f t="shared" si="87"/>
        <v>51.20392275538574</v>
      </c>
      <c r="Q89" s="22">
        <f t="shared" si="54"/>
        <v>449.1041743545195</v>
      </c>
      <c r="R89" s="62">
        <f t="shared" si="55"/>
        <v>722.08592241992415</v>
      </c>
      <c r="S89" s="62">
        <f ca="1">AVERAGE(OFFSET($R$3,0,0,'Données projet'!$E$9+1,1))-AVERAGE(OFFSET($H$3,0,0,'Données projet'!$E$9+1,1))</f>
        <v>401.34220206028908</v>
      </c>
      <c r="T89" s="62">
        <f t="shared" si="88"/>
        <v>265.33314259106987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33.472021748331692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33.472021748331692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8.3000000000000007</v>
      </c>
      <c r="AI89" s="14">
        <f>IF('Données projet'!$A$62&gt;35,AI88+AH89-AQ88,IF(A89&lt;'Données projet'!$A$62,$AF$205^A89,IF(A89='Données projet'!$A$62,'Données projet'!$B$62,AI88+AH89-AQ88)))</f>
        <v>292.8</v>
      </c>
      <c r="AJ89" s="14">
        <f>AI89*VLOOKUP('Données projet'!$B$10,Paramètres!$A$1:$I$89,3,0)*VLOOKUP('Données projet'!$B$10,Paramètres!$A$1:$I$89,5,0)</f>
        <v>137.03040000000001</v>
      </c>
      <c r="AK89" s="14">
        <f t="shared" si="89"/>
        <v>35.615865304933934</v>
      </c>
      <c r="AL89" s="22">
        <f t="shared" si="58"/>
        <v>300.69224540609326</v>
      </c>
      <c r="AM89" s="62">
        <f t="shared" si="59"/>
        <v>573.67399347149797</v>
      </c>
      <c r="AN89" s="62">
        <f ca="1">AVERAGE(OFFSET($AM$3,0,0,'Données projet'!$E$10+1,1))-AVERAGE(OFFSET($H$3,0,0,'Données projet'!$E$10+1,1))</f>
        <v>253.48761861464732</v>
      </c>
      <c r="AO89" s="62">
        <f t="shared" si="90"/>
        <v>219.50855998133855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41.763263124758545</v>
      </c>
      <c r="AV89" s="23">
        <f>EXP(-LN(2)/25)*AV88+(1-EXP(-LN(2)/25))/(LN(2)/25)*Calculateur!AQ89*Calculateur!AS89*VLOOKUP('Données projet'!$B$10,Paramètres!$A$1:$I$89,3,0)*0.475*44/12</f>
        <v>9.2345602590422029</v>
      </c>
      <c r="AW89" s="23">
        <f>EXP(-LN(2)/2)*AW88+(1-EXP(-LN(2)/2))/(LN(2)/2)*AQ89*AT89*VLOOKUP('Données projet'!$B$10,Paramètres!$A$1:$I$89,3,0)*0.475*44/12</f>
        <v>0.54103531477203393</v>
      </c>
      <c r="AX89" s="23">
        <f t="shared" si="60"/>
        <v>51.538858698572781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>
        <f>BD89*VLOOKUP('Données projet'!$B$11,Paramètres!$A$1:$I$89,3,0)*VLOOKUP('Données projet'!$B$11,Paramètres!$A$1:$I$89,5,0)</f>
        <v>0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482.85256243111911</v>
      </c>
      <c r="BJ89" s="62">
        <f t="shared" si="92"/>
        <v>517.78430032567064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70.707301808138936</v>
      </c>
      <c r="BQ89" s="23">
        <f>EXP(-LN(2)/25)*BQ88+(1-EXP(-LN(2)/25))/(LN(2)/25)*Calculateur!BL89*Calculateur!BN89*VLOOKUP('Données projet'!$B$11,Paramètres!$A$1:$I$89,3,0)*0.475*44/12</f>
        <v>14.64716183734661</v>
      </c>
      <c r="BR89" s="23">
        <f>EXP(-LN(2)/2)*BR88+(1-EXP(-LN(2)/2))/(LN(2)/2)*BL89*BO89*VLOOKUP('Données projet'!$B$11,Paramètres!$A$1:$I$89,3,0)*0.475*44/12</f>
        <v>7.1113119381417227E-3</v>
      </c>
      <c r="BS89" s="24">
        <f t="shared" si="63"/>
        <v>85.361574957423699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>
        <f>BY89*VLOOKUP('Données projet'!$B$12,Paramètres!$A$1:$I$89,3,0)*VLOOKUP('Données projet'!$B$12,Paramètres!$A$1:$I$89,5,0)</f>
        <v>0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275.76900776033335</v>
      </c>
      <c r="CE89" s="62">
        <f t="shared" si="94"/>
        <v>299.36898480605191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67.761164232799828</v>
      </c>
      <c r="CL89" s="23">
        <f>EXP(-LN(2)/25)*CL88+(1-EXP(-LN(2)/25))/(LN(2)/25)*Calculateur!CG89*Calculateur!CI89*VLOOKUP('Données projet'!$B$12,Paramètres!$A$1:$I$89,3,0)*0.475*44/12</f>
        <v>14.03686342745717</v>
      </c>
      <c r="CM89" s="23">
        <f>EXP(-LN(2)/2)*CM88+(1-EXP(-LN(2)/2))/(LN(2)/2)*CG89*CJ89*VLOOKUP('Données projet'!$B$12,Paramètres!$A$1:$I$89,3,0)*0.475*44/12</f>
        <v>6.8150072740524783E-3</v>
      </c>
      <c r="CN89" s="24">
        <f t="shared" si="66"/>
        <v>81.804842667531048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6.4444444444444446</v>
      </c>
      <c r="CT89" s="13">
        <f>IF('Données projet'!$A$140&gt;35,CT88+CS89-DB88,IF(A89&lt;'Données projet'!$A$140,$CQ$205^A89,IF(A89='Données projet'!$A$140,'Données projet'!$B$140,CT88+CS89-DB88)))</f>
        <v>236.55555555555583</v>
      </c>
      <c r="CU89" s="18">
        <f>CT89*VLOOKUP('Données projet'!$B$13,Paramètres!$A$1:$I$89,3,0)*VLOOKUP('Données projet'!$B$13,Paramètres!$A$1:$I$89,5,0)</f>
        <v>258.31866666666696</v>
      </c>
      <c r="CV89" s="14">
        <f t="shared" si="95"/>
        <v>62.363850423470616</v>
      </c>
      <c r="CW89" s="22">
        <f t="shared" si="67"/>
        <v>558.52205059865628</v>
      </c>
      <c r="CX89" s="62">
        <f t="shared" si="68"/>
        <v>831.50379866406092</v>
      </c>
      <c r="CY89" s="62">
        <f ca="1">AVERAGE(OFFSET($CX$3,0,0,'Données projet'!$E$13+1,1))-AVERAGE(OFFSET($H$3,0,0,'Données projet'!$E$13+1,1))</f>
        <v>482.24068797679558</v>
      </c>
      <c r="CZ89" s="62">
        <f t="shared" si="96"/>
        <v>316.28941055521693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41.840027185414613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41.840027185414613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-1.7053025658242404E-13</v>
      </c>
      <c r="DP89" s="18">
        <f>DO89*VLOOKUP('Données projet'!$B$14,Paramètres!$A$1:$I$89,3,0)*VLOOKUP('Données projet'!$B$14,Paramètres!$A$1:$I$89,5,0)</f>
        <v>-1.383341441396624E-13</v>
      </c>
      <c r="DQ89" s="14" t="e">
        <f t="shared" si="97"/>
        <v>#NUM!</v>
      </c>
      <c r="DR89" s="22" t="e">
        <f t="shared" si="70"/>
        <v>#NUM!</v>
      </c>
      <c r="DS89" s="62" t="e">
        <f t="shared" si="71"/>
        <v>#NUM!</v>
      </c>
      <c r="DT89" s="62">
        <f ca="1">AVERAGE(OFFSET($DS$3,0,0,'Données projet'!$E$14+1,1))-AVERAGE(OFFSET($H$3,0,0,'Données projet'!$E$14+1,1))</f>
        <v>325.58538970226539</v>
      </c>
      <c r="DU89" s="62">
        <f t="shared" si="98"/>
        <v>361.81085660423457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84.642671572832342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84.642671572832342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5.1555555555555559</v>
      </c>
      <c r="EJ89" s="13">
        <f>IF('Données projet'!$A$192&gt;35,EJ88+EI89-ER88,IF(A89&lt;'Données projet'!$A$192,$EG$205^A89,IF(A89='Données projet'!$A$192,'Données projet'!$B$192,EJ88+EI89-ER88)))</f>
        <v>189.24444444444441</v>
      </c>
      <c r="EK89" s="18">
        <f>EJ89*VLOOKUP('Données projet'!$B$15,Paramètres!$A$1:$I$89,3,0)*VLOOKUP('Données projet'!$B$15,Paramètres!$A$1:$I$89,5,0)</f>
        <v>183.03722666666664</v>
      </c>
      <c r="EL89" s="14">
        <f t="shared" si="99"/>
        <v>45.99725368366186</v>
      </c>
      <c r="EM89" s="22">
        <f t="shared" si="73"/>
        <v>398.90171994348879</v>
      </c>
      <c r="EN89" s="62">
        <f t="shared" si="74"/>
        <v>671.88346800889349</v>
      </c>
      <c r="EO89" s="62">
        <f ca="1">AVERAGE(OFFSET($EN$3,0,0,'Données projet'!$E$15+1,1))-AVERAGE(OFFSET($H$3,0,0,'Données projet'!$E$15+1,1))</f>
        <v>364.22267539944085</v>
      </c>
      <c r="EP89" s="62">
        <f t="shared" si="100"/>
        <v>241.947139538615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29.646647834236656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29.646647834236656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-1.7053025658242404E-13</v>
      </c>
      <c r="FF89" s="18">
        <f>FE89*VLOOKUP('Données projet'!$B$16,Paramètres!$A$1:$I$89,3,0)*VLOOKUP('Données projet'!$B$16,Paramètres!$A$1:$I$89,5,0)</f>
        <v>-1.4897523215040567E-13</v>
      </c>
      <c r="FG89" s="14" t="e">
        <f t="shared" si="101"/>
        <v>#NUM!</v>
      </c>
      <c r="FH89" s="22" t="e">
        <f t="shared" si="76"/>
        <v>#NUM!</v>
      </c>
      <c r="FI89" s="62" t="e">
        <f t="shared" si="77"/>
        <v>#NUM!</v>
      </c>
      <c r="FJ89" s="62">
        <f ca="1">AVERAGE(OFFSET($FI$3,0,0,'Données projet'!$E$16+1,1))-AVERAGE(OFFSET($H$3,0,0,'Données projet'!$E$16+1,1))</f>
        <v>286.59837239471312</v>
      </c>
      <c r="FK89" s="62">
        <f t="shared" si="102"/>
        <v>319.26091328564689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73.466515335304734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73.466515335304734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-1.7053025658242404E-13</v>
      </c>
      <c r="GA89" s="18">
        <f>FZ89*VLOOKUP('Données projet'!$B$17,Paramètres!$A$1:$I$89,3,0)*VLOOKUP('Données projet'!$B$17,Paramètres!$A$1:$I$89,5,0)</f>
        <v>-1.1439169611549005E-13</v>
      </c>
      <c r="GB89" s="14" t="e">
        <f t="shared" si="103"/>
        <v>#NUM!</v>
      </c>
      <c r="GC89" s="22" t="e">
        <f t="shared" si="79"/>
        <v>#NUM!</v>
      </c>
      <c r="GD89" s="62" t="e">
        <f t="shared" si="80"/>
        <v>#NUM!</v>
      </c>
      <c r="GE89" s="62">
        <f ca="1">AVERAGE(OFFSET($GD$3,0,0,'Données projet'!$E$17+1,1))-AVERAGE(OFFSET($H$3,0,0,'Données projet'!$E$17+1,1))</f>
        <v>277.37570531842186</v>
      </c>
      <c r="GF89" s="62">
        <f t="shared" si="104"/>
        <v>310.00874200911312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projet'!$B$17,Paramètres!$A$1:$I$89,3,0)*0.475*44/12</f>
        <v>86.270415256925247</v>
      </c>
      <c r="GM89" s="23">
        <f>EXP(-LN(2)/25)*GM88+(1-EXP(-LN(2)/25))/(LN(2)/25)*Calculateur!GH89*Calculateur!GJ89*VLOOKUP('Données projet'!$B$17,Paramètres!$A$1:$I$89,3,0)*0.475*44/12</f>
        <v>0</v>
      </c>
      <c r="GN89" s="23">
        <f>EXP(-LN(2)/2)*GN88+(1-EXP(-LN(2)/2))/(LN(2)/2)*GH89*GK89*VLOOKUP('Données projet'!$B$17,Paramètres!$A$1:$I$89,3,0)*0.475*44/12</f>
        <v>0</v>
      </c>
      <c r="GO89" s="23">
        <f t="shared" si="81"/>
        <v>86.270415256925247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>
        <f>VLOOKUP(A90,'Données projet'!$A$35:$I$55,2,0)</f>
        <v>243</v>
      </c>
      <c r="L90" s="13">
        <f>VLOOKUP(A90,'Données projet'!$A$35:$I$55,9,0)</f>
        <v>6.4444444444444446</v>
      </c>
      <c r="M90" s="13">
        <f t="array" ref="M90">INDEX(L:L,MIN(IF(ISNUMBER(L90:L286),ROW(L90:L286),"")))</f>
        <v>6.4444444444444446</v>
      </c>
      <c r="N90" s="14">
        <f>IF('Données projet'!$A$36&gt;35,N89+M90-V89,IF(A90&lt;'Données projet'!$A$36,$K$205^A90,IF(A90='Données projet'!$A$36,'Données projet'!$B$36,N89+M90-V89)))</f>
        <v>243.00000000000028</v>
      </c>
      <c r="O90" s="14">
        <f>N90*VLOOKUP('Données projet'!$B$9,Paramètres!$A$1:$I$89,3,0)*VLOOKUP('Données projet'!$B$9,Paramètres!$A$1:$I$89,5,0)</f>
        <v>212.2848000000003</v>
      </c>
      <c r="P90" s="14">
        <f t="shared" si="87"/>
        <v>52.434557099704236</v>
      </c>
      <c r="Q90" s="22">
        <f t="shared" si="54"/>
        <v>461.05288028198538</v>
      </c>
      <c r="R90" s="62">
        <f t="shared" si="55"/>
        <v>734.38768285246022</v>
      </c>
      <c r="S90" s="62">
        <f ca="1">AVERAGE(OFFSET($R$3,0,0,'Données projet'!$E$9+1,1))-AVERAGE(OFFSET($H$3,0,0,'Données projet'!$E$9+1,1))</f>
        <v>401.34220206028908</v>
      </c>
      <c r="T90" s="62">
        <f t="shared" si="88"/>
        <v>265.33314259106987</v>
      </c>
      <c r="U90" s="16">
        <f>IF(ISNA(VLOOKUP(A90,'Données projet'!$A$35:$I$55,3,0)),0,VLOOKUP(A90,'Données projet'!$A$35:$I$55,3,0))</f>
        <v>8</v>
      </c>
      <c r="V90" s="16">
        <f>IF(ISNA(VLOOKUP(A90,'Données projet'!$A$35:$I$55,4,0)),0,VLOOKUP(A90,'Données projet'!$A$35:$I$55,4,0))</f>
        <v>39</v>
      </c>
      <c r="W90" s="17">
        <f>IF(ISNA(VLOOKUP(A90,'Données projet'!$A$35:$I$55,5,0)),0%,VLOOKUP(A90,'Données projet'!$A$35:$I$55,5,0)*VLOOKUP('Données projet'!$B$9,Paramètres!$A$1:$I$89,7,0))</f>
        <v>0.38700000000000001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47.391553391055126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47.391553391055126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8.3000000000000007</v>
      </c>
      <c r="AI90" s="14">
        <f>IF('Données projet'!$A$62&gt;35,AI89+AH90-AQ89,IF(A90&lt;'Données projet'!$A$62,$AF$205^A90,IF(A90='Données projet'!$A$62,'Données projet'!$B$62,AI89+AH90-AQ89)))</f>
        <v>301.10000000000002</v>
      </c>
      <c r="AJ90" s="14">
        <f>AI90*VLOOKUP('Données projet'!$B$10,Paramètres!$A$1:$I$89,3,0)*VLOOKUP('Données projet'!$B$10,Paramètres!$A$1:$I$89,5,0)</f>
        <v>140.91480000000001</v>
      </c>
      <c r="AK90" s="14">
        <f t="shared" si="89"/>
        <v>36.506493824402639</v>
      </c>
      <c r="AL90" s="22">
        <f t="shared" si="58"/>
        <v>309.00875341083457</v>
      </c>
      <c r="AM90" s="62">
        <f t="shared" si="59"/>
        <v>582.34355598130946</v>
      </c>
      <c r="AN90" s="62">
        <f ca="1">AVERAGE(OFFSET($AM$3,0,0,'Données projet'!$E$10+1,1))-AVERAGE(OFFSET($H$3,0,0,'Données projet'!$E$10+1,1))</f>
        <v>253.48761861464732</v>
      </c>
      <c r="AO90" s="62">
        <f t="shared" si="90"/>
        <v>219.50855998133855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40.944311007957282</v>
      </c>
      <c r="AV90" s="23">
        <f>EXP(-LN(2)/25)*AV89+(1-EXP(-LN(2)/25))/(LN(2)/25)*Calculateur!AQ90*Calculateur!AS90*VLOOKUP('Données projet'!$B$10,Paramètres!$A$1:$I$89,3,0)*0.475*44/12</f>
        <v>8.9820407231342756</v>
      </c>
      <c r="AW90" s="23">
        <f>EXP(-LN(2)/2)*AW89+(1-EXP(-LN(2)/2))/(LN(2)/2)*AQ90*AT90*VLOOKUP('Données projet'!$B$10,Paramètres!$A$1:$I$89,3,0)*0.475*44/12</f>
        <v>0.38256973993670346</v>
      </c>
      <c r="AX90" s="23">
        <f t="shared" si="60"/>
        <v>50.308921471028263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>
        <f>BD90*VLOOKUP('Données projet'!$B$11,Paramètres!$A$1:$I$89,3,0)*VLOOKUP('Données projet'!$B$11,Paramètres!$A$1:$I$89,5,0)</f>
        <v>0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482.85256243111911</v>
      </c>
      <c r="BJ90" s="62">
        <f t="shared" si="92"/>
        <v>517.78430032567064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69.320774746876978</v>
      </c>
      <c r="BQ90" s="23">
        <f>EXP(-LN(2)/25)*BQ89+(1-EXP(-LN(2)/25))/(LN(2)/25)*Calculateur!BL90*Calculateur!BN90*VLOOKUP('Données projet'!$B$11,Paramètres!$A$1:$I$89,3,0)*0.475*44/12</f>
        <v>14.246634426643602</v>
      </c>
      <c r="BR90" s="23">
        <f>EXP(-LN(2)/2)*BR89+(1-EXP(-LN(2)/2))/(LN(2)/2)*BL90*BO90*VLOOKUP('Données projet'!$B$11,Paramètres!$A$1:$I$89,3,0)*0.475*44/12</f>
        <v>5.0284568945928622E-3</v>
      </c>
      <c r="BS90" s="24">
        <f t="shared" si="63"/>
        <v>83.57243763041518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>
        <f>BY90*VLOOKUP('Données projet'!$B$12,Paramètres!$A$1:$I$89,3,0)*VLOOKUP('Données projet'!$B$12,Paramètres!$A$1:$I$89,5,0)</f>
        <v>0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275.76900776033335</v>
      </c>
      <c r="CE90" s="62">
        <f t="shared" si="94"/>
        <v>299.36898480605191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66.432409132423786</v>
      </c>
      <c r="CL90" s="23">
        <f>EXP(-LN(2)/25)*CL89+(1-EXP(-LN(2)/25))/(LN(2)/25)*Calculateur!CG90*Calculateur!CI90*VLOOKUP('Données projet'!$B$12,Paramètres!$A$1:$I$89,3,0)*0.475*44/12</f>
        <v>13.653024658866789</v>
      </c>
      <c r="CM90" s="23">
        <f>EXP(-LN(2)/2)*CM89+(1-EXP(-LN(2)/2))/(LN(2)/2)*CG90*CJ90*VLOOKUP('Données projet'!$B$12,Paramètres!$A$1:$I$89,3,0)*0.475*44/12</f>
        <v>4.8189378573181554E-3</v>
      </c>
      <c r="CN90" s="24">
        <f t="shared" si="66"/>
        <v>80.090252729147892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>
        <f>VLOOKUP(A90,'Données projet'!$A$139:$I$159,2,0)</f>
        <v>243</v>
      </c>
      <c r="CR90" s="13">
        <f>VLOOKUP(A90,'Données projet'!$A$139:$I$159,9,0)</f>
        <v>6.4444444444444446</v>
      </c>
      <c r="CS90" s="13">
        <f t="array" ref="CS90">INDEX(CR:CR,MIN(IF(ISNUMBER(CR90:CR286),ROW(CR90:CR286),"")))</f>
        <v>6.4444444444444446</v>
      </c>
      <c r="CT90" s="13">
        <f>IF('Données projet'!$A$140&gt;35,CT89+CS90-DB89,IF(A90&lt;'Données projet'!$A$140,$CQ$205^A90,IF(A90='Données projet'!$A$140,'Données projet'!$B$140,CT89+CS90-DB89)))</f>
        <v>243.00000000000028</v>
      </c>
      <c r="CU90" s="18">
        <f>CT90*VLOOKUP('Données projet'!$B$13,Paramètres!$A$1:$I$89,3,0)*VLOOKUP('Données projet'!$B$13,Paramètres!$A$1:$I$89,5,0)</f>
        <v>265.35600000000034</v>
      </c>
      <c r="CV90" s="14">
        <f t="shared" si="95"/>
        <v>63.862702309129944</v>
      </c>
      <c r="CW90" s="22">
        <f t="shared" si="67"/>
        <v>573.38923985506847</v>
      </c>
      <c r="CX90" s="62">
        <f t="shared" si="68"/>
        <v>846.7240424255433</v>
      </c>
      <c r="CY90" s="62">
        <f ca="1">AVERAGE(OFFSET($CX$3,0,0,'Données projet'!$E$13+1,1))-AVERAGE(OFFSET($H$3,0,0,'Données projet'!$E$13+1,1))</f>
        <v>482.24068797679558</v>
      </c>
      <c r="CZ90" s="62">
        <f t="shared" si="96"/>
        <v>316.28941055521693</v>
      </c>
      <c r="DA90" s="16">
        <f>IF(ISNA(VLOOKUP(A90,'Données projet'!$A$139:$I$159,3,0)),0,VLOOKUP(A90,'Données projet'!$A$139:$I$159,3,0))</f>
        <v>8</v>
      </c>
      <c r="DB90" s="16">
        <f>IF(ISNA(VLOOKUP(A90,'Données projet'!$A$139:$I$159,4,0)),0,VLOOKUP(A90,'Données projet'!$A$139:$I$159,4,0))</f>
        <v>39</v>
      </c>
      <c r="DC90" s="17">
        <f>IF(ISNA(VLOOKUP(A90,'Données projet'!$A$139:$I$159,5,0)),0%,VLOOKUP(A90,'Données projet'!$A$139:$I$159,5,0)*VLOOKUP('Données projet'!$B$13,Paramètres!$A$1:$I$89,7,0))</f>
        <v>0.38700000000000001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59.239441738818911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59.239441738818911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-1.7053025658242404E-13</v>
      </c>
      <c r="DP90" s="18">
        <f>DO90*VLOOKUP('Données projet'!$B$14,Paramètres!$A$1:$I$89,3,0)*VLOOKUP('Données projet'!$B$14,Paramètres!$A$1:$I$89,5,0)</f>
        <v>-1.383341441396624E-13</v>
      </c>
      <c r="DQ90" s="14" t="e">
        <f t="shared" si="97"/>
        <v>#NUM!</v>
      </c>
      <c r="DR90" s="22" t="e">
        <f t="shared" si="70"/>
        <v>#NUM!</v>
      </c>
      <c r="DS90" s="62" t="e">
        <f t="shared" si="71"/>
        <v>#NUM!</v>
      </c>
      <c r="DT90" s="62">
        <f ca="1">AVERAGE(OFFSET($DS$3,0,0,'Données projet'!$E$14+1,1))-AVERAGE(OFFSET($H$3,0,0,'Données projet'!$E$14+1,1))</f>
        <v>325.58538970226539</v>
      </c>
      <c r="DU90" s="62">
        <f t="shared" si="98"/>
        <v>361.81085660423457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82.982880410221028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82.982880410221028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>
        <f>VLOOKUP(A90,'Données projet'!$A$191:$I$211,2,0)</f>
        <v>194.4</v>
      </c>
      <c r="EH90" s="13">
        <f>VLOOKUP(A90,'Données projet'!$A$191:$I$211,9,0)</f>
        <v>5.1555555555555559</v>
      </c>
      <c r="EI90" s="13">
        <f t="array" ref="EI90">INDEX(EH:EH,MIN(IF(ISNUMBER(EH90:EH286),ROW(EH90:EH286),"")))</f>
        <v>5.1555555555555559</v>
      </c>
      <c r="EJ90" s="13">
        <f>IF('Données projet'!$A$192&gt;35,EJ89+EI90-ER89,IF(A90&lt;'Données projet'!$A$192,$EG$205^A90,IF(A90='Données projet'!$A$192,'Données projet'!$B$192,EJ89+EI90-ER89)))</f>
        <v>194.39999999999998</v>
      </c>
      <c r="EK90" s="18">
        <f>EJ90*VLOOKUP('Données projet'!$B$15,Paramètres!$A$1:$I$89,3,0)*VLOOKUP('Données projet'!$B$15,Paramètres!$A$1:$I$89,5,0)</f>
        <v>188.02367999999998</v>
      </c>
      <c r="EL90" s="14">
        <f t="shared" si="99"/>
        <v>47.102751018267753</v>
      </c>
      <c r="EM90" s="22">
        <f t="shared" si="73"/>
        <v>409.51186735681631</v>
      </c>
      <c r="EN90" s="62">
        <f t="shared" si="74"/>
        <v>682.84666992729115</v>
      </c>
      <c r="EO90" s="62">
        <f ca="1">AVERAGE(OFFSET($EN$3,0,0,'Données projet'!$E$15+1,1))-AVERAGE(OFFSET($H$3,0,0,'Données projet'!$E$15+1,1))</f>
        <v>364.22267539944085</v>
      </c>
      <c r="EP90" s="62">
        <f t="shared" si="100"/>
        <v>241.947139538615</v>
      </c>
      <c r="EQ90" s="16">
        <f>IF(ISNA(VLOOKUP(A90,'Données projet'!$A$191:$I$211,3,0)),0,VLOOKUP(A90,'Données projet'!$A$191:$I$211,3,0))</f>
        <v>8</v>
      </c>
      <c r="ER90" s="16">
        <f>IF(ISNA(VLOOKUP(A90,'Données projet'!$A$191:$I$211,4,0)),0,VLOOKUP(A90,'Données projet'!$A$191:$I$211,4,0))</f>
        <v>31.2</v>
      </c>
      <c r="ES90" s="17">
        <f>IF(ISNA(VLOOKUP(A90,'Données projet'!$A$191:$I$211,5,0)),0%,VLOOKUP(A90,'Données projet'!$A$191:$I$211,5,0)*VLOOKUP('Données projet'!$B$15,Paramètres!$A$1:$I$89,7,0))</f>
        <v>0.38700000000000001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41.975375860648839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41.975375860648839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-1.7053025658242404E-13</v>
      </c>
      <c r="FF90" s="18">
        <f>FE90*VLOOKUP('Données projet'!$B$16,Paramètres!$A$1:$I$89,3,0)*VLOOKUP('Données projet'!$B$16,Paramètres!$A$1:$I$89,5,0)</f>
        <v>-1.4897523215040567E-13</v>
      </c>
      <c r="FG90" s="14" t="e">
        <f t="shared" si="101"/>
        <v>#NUM!</v>
      </c>
      <c r="FH90" s="22" t="e">
        <f t="shared" si="76"/>
        <v>#NUM!</v>
      </c>
      <c r="FI90" s="62" t="e">
        <f t="shared" si="77"/>
        <v>#NUM!</v>
      </c>
      <c r="FJ90" s="62">
        <f ca="1">AVERAGE(OFFSET($FI$3,0,0,'Données projet'!$E$16+1,1))-AVERAGE(OFFSET($H$3,0,0,'Données projet'!$E$16+1,1))</f>
        <v>286.59837239471312</v>
      </c>
      <c r="FK90" s="62">
        <f t="shared" si="102"/>
        <v>319.26091328564689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72.025881779729133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72.025881779729133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-1.7053025658242404E-13</v>
      </c>
      <c r="GA90" s="18">
        <f>FZ90*VLOOKUP('Données projet'!$B$17,Paramètres!$A$1:$I$89,3,0)*VLOOKUP('Données projet'!$B$17,Paramètres!$A$1:$I$89,5,0)</f>
        <v>-1.1439169611549005E-13</v>
      </c>
      <c r="GB90" s="14" t="e">
        <f t="shared" si="103"/>
        <v>#NUM!</v>
      </c>
      <c r="GC90" s="22" t="e">
        <f t="shared" si="79"/>
        <v>#NUM!</v>
      </c>
      <c r="GD90" s="62" t="e">
        <f t="shared" si="80"/>
        <v>#NUM!</v>
      </c>
      <c r="GE90" s="62">
        <f ca="1">AVERAGE(OFFSET($GD$3,0,0,'Données projet'!$E$17+1,1))-AVERAGE(OFFSET($H$3,0,0,'Données projet'!$E$17+1,1))</f>
        <v>277.37570531842186</v>
      </c>
      <c r="GF90" s="62">
        <f t="shared" si="104"/>
        <v>310.00874200911312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projet'!$B$17,Paramètres!$A$1:$I$89,3,0)*0.475*44/12</f>
        <v>84.578705033494487</v>
      </c>
      <c r="GM90" s="23">
        <f>EXP(-LN(2)/25)*GM89+(1-EXP(-LN(2)/25))/(LN(2)/25)*Calculateur!GH90*Calculateur!GJ90*VLOOKUP('Données projet'!$B$17,Paramètres!$A$1:$I$89,3,0)*0.475*44/12</f>
        <v>0</v>
      </c>
      <c r="GN90" s="23">
        <f>EXP(-LN(2)/2)*GN89+(1-EXP(-LN(2)/2))/(LN(2)/2)*GH90*GK90*VLOOKUP('Données projet'!$B$17,Paramètres!$A$1:$I$89,3,0)*0.475*44/12</f>
        <v>0</v>
      </c>
      <c r="GO90" s="23">
        <f t="shared" si="81"/>
        <v>84.578705033494487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6.1</v>
      </c>
      <c r="N91" s="14">
        <f>IF('Données projet'!$A$36&gt;35,N90+M91-V90,IF(A91&lt;'Données projet'!$A$36,$K$205^A91,IF(A91='Données projet'!$A$36,'Données projet'!$B$36,N90+M91-V90)))</f>
        <v>210.10000000000028</v>
      </c>
      <c r="O91" s="14">
        <f>N91*VLOOKUP('Données projet'!$B$9,Paramètres!$A$1:$I$89,3,0)*VLOOKUP('Données projet'!$B$9,Paramètres!$A$1:$I$89,5,0)</f>
        <v>183.54336000000026</v>
      </c>
      <c r="P91" s="14">
        <f t="shared" si="87"/>
        <v>46.109621850655756</v>
      </c>
      <c r="Q91" s="22">
        <f t="shared" si="54"/>
        <v>399.97894338989255</v>
      </c>
      <c r="R91" s="62">
        <f t="shared" si="55"/>
        <v>673.66067575908619</v>
      </c>
      <c r="S91" s="62">
        <f ca="1">AVERAGE(OFFSET($R$3,0,0,'Données projet'!$E$9+1,1))-AVERAGE(OFFSET($H$3,0,0,'Données projet'!$E$9+1,1))</f>
        <v>401.34220206028908</v>
      </c>
      <c r="T91" s="62">
        <f t="shared" si="88"/>
        <v>265.33314259106987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46.462233935049873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46.462233935049873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8.3000000000000007</v>
      </c>
      <c r="AI91" s="14">
        <f>IF('Données projet'!$A$62&gt;35,AI90+AH91-AQ90,IF(A91&lt;'Données projet'!$A$62,$AF$205^A91,IF(A91='Données projet'!$A$62,'Données projet'!$B$62,AI90+AH91-AQ90)))</f>
        <v>309.40000000000003</v>
      </c>
      <c r="AJ91" s="14">
        <f>AI91*VLOOKUP('Données projet'!$B$10,Paramètres!$A$1:$I$89,3,0)*VLOOKUP('Données projet'!$B$10,Paramètres!$A$1:$I$89,5,0)</f>
        <v>144.79920000000001</v>
      </c>
      <c r="AK91" s="14">
        <f t="shared" si="89"/>
        <v>37.394268839921317</v>
      </c>
      <c r="AL91" s="22">
        <f t="shared" si="58"/>
        <v>317.32029156286296</v>
      </c>
      <c r="AM91" s="62">
        <f t="shared" si="59"/>
        <v>591.00202393205666</v>
      </c>
      <c r="AN91" s="62">
        <f ca="1">AVERAGE(OFFSET($AM$3,0,0,'Données projet'!$E$10+1,1))-AVERAGE(OFFSET($H$3,0,0,'Données projet'!$E$10+1,1))</f>
        <v>253.48761861464732</v>
      </c>
      <c r="AO91" s="62">
        <f t="shared" si="90"/>
        <v>219.50855998133855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40.141418042655019</v>
      </c>
      <c r="AV91" s="23">
        <f>EXP(-LN(2)/25)*AV90+(1-EXP(-LN(2)/25))/(LN(2)/25)*Calculateur!AQ91*Calculateur!AS91*VLOOKUP('Données projet'!$B$10,Paramètres!$A$1:$I$89,3,0)*0.475*44/12</f>
        <v>8.7364263472151755</v>
      </c>
      <c r="AW91" s="23">
        <f>EXP(-LN(2)/2)*AW90+(1-EXP(-LN(2)/2))/(LN(2)/2)*AQ91*AT91*VLOOKUP('Données projet'!$B$10,Paramètres!$A$1:$I$89,3,0)*0.475*44/12</f>
        <v>0.27051765738601696</v>
      </c>
      <c r="AX91" s="23">
        <f t="shared" si="60"/>
        <v>49.148362047256207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>
        <f>BD91*VLOOKUP('Données projet'!$B$11,Paramètres!$A$1:$I$89,3,0)*VLOOKUP('Données projet'!$B$11,Paramètres!$A$1:$I$89,5,0)</f>
        <v>0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482.85256243111911</v>
      </c>
      <c r="BJ91" s="62">
        <f t="shared" si="92"/>
        <v>517.78430032567064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67.96143663558837</v>
      </c>
      <c r="BQ91" s="23">
        <f>EXP(-LN(2)/25)*BQ90+(1-EXP(-LN(2)/25))/(LN(2)/25)*Calculateur!BL91*Calculateur!BN91*VLOOKUP('Données projet'!$B$11,Paramètres!$A$1:$I$89,3,0)*0.475*44/12</f>
        <v>13.85705945904909</v>
      </c>
      <c r="BR91" s="23">
        <f>EXP(-LN(2)/2)*BR90+(1-EXP(-LN(2)/2))/(LN(2)/2)*BL91*BO91*VLOOKUP('Données projet'!$B$11,Paramètres!$A$1:$I$89,3,0)*0.475*44/12</f>
        <v>3.5556559690708613E-3</v>
      </c>
      <c r="BS91" s="24">
        <f t="shared" si="63"/>
        <v>81.822051750606519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>
        <f>BY91*VLOOKUP('Données projet'!$B$12,Paramètres!$A$1:$I$89,3,0)*VLOOKUP('Données projet'!$B$12,Paramètres!$A$1:$I$89,5,0)</f>
        <v>0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275.76900776033335</v>
      </c>
      <c r="CE91" s="62">
        <f t="shared" si="94"/>
        <v>299.36898480605191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65.129710109105531</v>
      </c>
      <c r="CL91" s="23">
        <f>EXP(-LN(2)/25)*CL90+(1-EXP(-LN(2)/25))/(LN(2)/25)*Calculateur!CG91*Calculateur!CI91*VLOOKUP('Données projet'!$B$12,Paramètres!$A$1:$I$89,3,0)*0.475*44/12</f>
        <v>13.279681981588714</v>
      </c>
      <c r="CM91" s="23">
        <f>EXP(-LN(2)/2)*CM90+(1-EXP(-LN(2)/2))/(LN(2)/2)*CG91*CJ91*VLOOKUP('Données projet'!$B$12,Paramètres!$A$1:$I$89,3,0)*0.475*44/12</f>
        <v>3.4075036370262391E-3</v>
      </c>
      <c r="CN91" s="24">
        <f t="shared" si="66"/>
        <v>78.412799594331261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6.1</v>
      </c>
      <c r="CT91" s="13">
        <f>IF('Données projet'!$A$140&gt;35,CT90+CS91-DB90,IF(A91&lt;'Données projet'!$A$140,$CQ$205^A91,IF(A91='Données projet'!$A$140,'Données projet'!$B$140,CT90+CS91-DB90)))</f>
        <v>210.10000000000028</v>
      </c>
      <c r="CU91" s="18">
        <f>CT91*VLOOKUP('Données projet'!$B$13,Paramètres!$A$1:$I$89,3,0)*VLOOKUP('Données projet'!$B$13,Paramètres!$A$1:$I$89,5,0)</f>
        <v>229.42920000000032</v>
      </c>
      <c r="CV91" s="14">
        <f t="shared" si="95"/>
        <v>56.159243382864233</v>
      </c>
      <c r="CW91" s="22">
        <f t="shared" si="67"/>
        <v>497.39987222515578</v>
      </c>
      <c r="CX91" s="62">
        <f t="shared" si="68"/>
        <v>771.08160459434953</v>
      </c>
      <c r="CY91" s="62">
        <f ca="1">AVERAGE(OFFSET($CX$3,0,0,'Données projet'!$E$13+1,1))-AVERAGE(OFFSET($H$3,0,0,'Données projet'!$E$13+1,1))</f>
        <v>482.24068797679558</v>
      </c>
      <c r="CZ91" s="62">
        <f t="shared" si="96"/>
        <v>316.28941055521693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58.077792418812344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58.077792418812344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-1.7053025658242404E-13</v>
      </c>
      <c r="DP91" s="18">
        <f>DO91*VLOOKUP('Données projet'!$B$14,Paramètres!$A$1:$I$89,3,0)*VLOOKUP('Données projet'!$B$14,Paramètres!$A$1:$I$89,5,0)</f>
        <v>-1.383341441396624E-13</v>
      </c>
      <c r="DQ91" s="14" t="e">
        <f t="shared" si="97"/>
        <v>#NUM!</v>
      </c>
      <c r="DR91" s="22" t="e">
        <f t="shared" si="70"/>
        <v>#NUM!</v>
      </c>
      <c r="DS91" s="62" t="e">
        <f t="shared" si="71"/>
        <v>#NUM!</v>
      </c>
      <c r="DT91" s="62">
        <f ca="1">AVERAGE(OFFSET($DS$3,0,0,'Données projet'!$E$14+1,1))-AVERAGE(OFFSET($H$3,0,0,'Données projet'!$E$14+1,1))</f>
        <v>325.58538970226539</v>
      </c>
      <c r="DU91" s="62">
        <f t="shared" si="98"/>
        <v>361.81085660423457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81.355636739935875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81.355636739935875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4.8799999999999981</v>
      </c>
      <c r="EJ91" s="13">
        <f>IF('Données projet'!$A$192&gt;35,EJ90+EI91-ER90,IF(A91&lt;'Données projet'!$A$192,$EG$205^A91,IF(A91='Données projet'!$A$192,'Données projet'!$B$192,EJ90+EI91-ER90)))</f>
        <v>168.07999999999998</v>
      </c>
      <c r="EK91" s="18">
        <f>EJ91*VLOOKUP('Données projet'!$B$15,Paramètres!$A$1:$I$89,3,0)*VLOOKUP('Données projet'!$B$15,Paramètres!$A$1:$I$89,5,0)</f>
        <v>162.56697600000001</v>
      </c>
      <c r="EL91" s="14">
        <f t="shared" si="99"/>
        <v>41.420966585987756</v>
      </c>
      <c r="EM91" s="22">
        <f t="shared" si="73"/>
        <v>355.27900000392862</v>
      </c>
      <c r="EN91" s="62">
        <f t="shared" si="74"/>
        <v>628.96073237312226</v>
      </c>
      <c r="EO91" s="62">
        <f ca="1">AVERAGE(OFFSET($EN$3,0,0,'Données projet'!$E$15+1,1))-AVERAGE(OFFSET($H$3,0,0,'Données projet'!$E$15+1,1))</f>
        <v>364.22267539944085</v>
      </c>
      <c r="EP91" s="62">
        <f t="shared" si="100"/>
        <v>241.947139538615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41.152264342472755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41.152264342472755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-1.7053025658242404E-13</v>
      </c>
      <c r="FF91" s="18">
        <f>FE91*VLOOKUP('Données projet'!$B$16,Paramètres!$A$1:$I$89,3,0)*VLOOKUP('Données projet'!$B$16,Paramètres!$A$1:$I$89,5,0)</f>
        <v>-1.4897523215040567E-13</v>
      </c>
      <c r="FG91" s="14" t="e">
        <f t="shared" si="101"/>
        <v>#NUM!</v>
      </c>
      <c r="FH91" s="22" t="e">
        <f t="shared" si="76"/>
        <v>#NUM!</v>
      </c>
      <c r="FI91" s="62" t="e">
        <f t="shared" si="77"/>
        <v>#NUM!</v>
      </c>
      <c r="FJ91" s="62">
        <f ca="1">AVERAGE(OFFSET($FI$3,0,0,'Données projet'!$E$16+1,1))-AVERAGE(OFFSET($H$3,0,0,'Données projet'!$E$16+1,1))</f>
        <v>286.59837239471312</v>
      </c>
      <c r="FK91" s="62">
        <f t="shared" si="102"/>
        <v>319.26091328564689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70.61349816947866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70.61349816947866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-1.7053025658242404E-13</v>
      </c>
      <c r="GA91" s="18">
        <f>FZ91*VLOOKUP('Données projet'!$B$17,Paramètres!$A$1:$I$89,3,0)*VLOOKUP('Données projet'!$B$17,Paramètres!$A$1:$I$89,5,0)</f>
        <v>-1.1439169611549005E-13</v>
      </c>
      <c r="GB91" s="14" t="e">
        <f t="shared" si="103"/>
        <v>#NUM!</v>
      </c>
      <c r="GC91" s="22" t="e">
        <f t="shared" si="79"/>
        <v>#NUM!</v>
      </c>
      <c r="GD91" s="62" t="e">
        <f t="shared" si="80"/>
        <v>#NUM!</v>
      </c>
      <c r="GE91" s="62">
        <f ca="1">AVERAGE(OFFSET($GD$3,0,0,'Données projet'!$E$17+1,1))-AVERAGE(OFFSET($H$3,0,0,'Données projet'!$E$17+1,1))</f>
        <v>277.37570531842186</v>
      </c>
      <c r="GF91" s="62">
        <f t="shared" si="104"/>
        <v>310.00874200911312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projet'!$B$17,Paramètres!$A$1:$I$89,3,0)*0.475*44/12</f>
        <v>82.920168215703853</v>
      </c>
      <c r="GM91" s="23">
        <f>EXP(-LN(2)/25)*GM90+(1-EXP(-LN(2)/25))/(LN(2)/25)*Calculateur!GH91*Calculateur!GJ91*VLOOKUP('Données projet'!$B$17,Paramètres!$A$1:$I$89,3,0)*0.475*44/12</f>
        <v>0</v>
      </c>
      <c r="GN91" s="23">
        <f>EXP(-LN(2)/2)*GN90+(1-EXP(-LN(2)/2))/(LN(2)/2)*GH91*GK91*VLOOKUP('Données projet'!$B$17,Paramètres!$A$1:$I$89,3,0)*0.475*44/12</f>
        <v>0</v>
      </c>
      <c r="GO91" s="23">
        <f t="shared" si="81"/>
        <v>82.920168215703853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6.1</v>
      </c>
      <c r="N92" s="14">
        <f>IF('Données projet'!$A$36&gt;35,N91+M92-V91,IF(A92&lt;'Données projet'!$A$36,$K$205^A92,IF(A92='Données projet'!$A$36,'Données projet'!$B$36,N91+M92-V91)))</f>
        <v>216.20000000000027</v>
      </c>
      <c r="O92" s="14">
        <f>N92*VLOOKUP('Données projet'!$B$9,Paramètres!$A$1:$I$89,3,0)*VLOOKUP('Données projet'!$B$9,Paramètres!$A$1:$I$89,5,0)</f>
        <v>188.87232000000026</v>
      </c>
      <c r="P92" s="14">
        <f t="shared" si="87"/>
        <v>47.290552503862926</v>
      </c>
      <c r="Q92" s="22">
        <f t="shared" si="54"/>
        <v>411.31700294422836</v>
      </c>
      <c r="R92" s="62">
        <f t="shared" si="55"/>
        <v>685.33964665575195</v>
      </c>
      <c r="S92" s="62">
        <f ca="1">AVERAGE(OFFSET($R$3,0,0,'Données projet'!$E$9+1,1))-AVERAGE(OFFSET($H$3,0,0,'Données projet'!$E$9+1,1))</f>
        <v>401.34220206028908</v>
      </c>
      <c r="T92" s="62">
        <f t="shared" si="88"/>
        <v>265.33314259106987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45.551137866747986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45.551137866747986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8.3000000000000007</v>
      </c>
      <c r="AI92" s="14">
        <f>IF('Données projet'!$A$62&gt;35,AI91+AH92-AQ91,IF(A92&lt;'Données projet'!$A$62,$AF$205^A92,IF(A92='Données projet'!$A$62,'Données projet'!$B$62,AI91+AH92-AQ91)))</f>
        <v>317.70000000000005</v>
      </c>
      <c r="AJ92" s="14">
        <f>AI92*VLOOKUP('Données projet'!$B$10,Paramètres!$A$1:$I$89,3,0)*VLOOKUP('Données projet'!$B$10,Paramètres!$A$1:$I$89,5,0)</f>
        <v>148.68360000000001</v>
      </c>
      <c r="AK92" s="14">
        <f t="shared" si="89"/>
        <v>38.279275697592333</v>
      </c>
      <c r="AL92" s="22">
        <f t="shared" si="58"/>
        <v>325.62700850664004</v>
      </c>
      <c r="AM92" s="62">
        <f t="shared" si="59"/>
        <v>599.64965221816362</v>
      </c>
      <c r="AN92" s="62">
        <f ca="1">AVERAGE(OFFSET($AM$3,0,0,'Données projet'!$E$10+1,1))-AVERAGE(OFFSET($H$3,0,0,'Données projet'!$E$10+1,1))</f>
        <v>253.48761861464732</v>
      </c>
      <c r="AO92" s="62">
        <f t="shared" si="90"/>
        <v>219.50855998133855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39.354269318685979</v>
      </c>
      <c r="AV92" s="23">
        <f>EXP(-LN(2)/25)*AV91+(1-EXP(-LN(2)/25))/(LN(2)/25)*Calculateur!AQ92*Calculateur!AS92*VLOOKUP('Données projet'!$B$10,Paramètres!$A$1:$I$89,3,0)*0.475*44/12</f>
        <v>8.4975283093218827</v>
      </c>
      <c r="AW92" s="23">
        <f>EXP(-LN(2)/2)*AW91+(1-EXP(-LN(2)/2))/(LN(2)/2)*AQ92*AT92*VLOOKUP('Données projet'!$B$10,Paramètres!$A$1:$I$89,3,0)*0.475*44/12</f>
        <v>0.19128486996835173</v>
      </c>
      <c r="AX92" s="23">
        <f t="shared" si="60"/>
        <v>48.043082497976208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>
        <f>BD92*VLOOKUP('Données projet'!$B$11,Paramètres!$A$1:$I$89,3,0)*VLOOKUP('Données projet'!$B$11,Paramètres!$A$1:$I$89,5,0)</f>
        <v>0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482.85256243111911</v>
      </c>
      <c r="BJ92" s="62">
        <f t="shared" si="92"/>
        <v>517.78430032567064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66.628754315547752</v>
      </c>
      <c r="BQ92" s="23">
        <f>EXP(-LN(2)/25)*BQ91+(1-EXP(-LN(2)/25))/(LN(2)/25)*Calculateur!BL92*Calculateur!BN92*VLOOKUP('Données projet'!$B$11,Paramètres!$A$1:$I$89,3,0)*0.475*44/12</f>
        <v>13.478137439430306</v>
      </c>
      <c r="BR92" s="23">
        <f>EXP(-LN(2)/2)*BR91+(1-EXP(-LN(2)/2))/(LN(2)/2)*BL92*BO92*VLOOKUP('Données projet'!$B$11,Paramètres!$A$1:$I$89,3,0)*0.475*44/12</f>
        <v>2.5142284472964311E-3</v>
      </c>
      <c r="BS92" s="24">
        <f t="shared" si="63"/>
        <v>80.109405983425347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>
        <f>BY92*VLOOKUP('Données projet'!$B$12,Paramètres!$A$1:$I$89,3,0)*VLOOKUP('Données projet'!$B$12,Paramètres!$A$1:$I$89,5,0)</f>
        <v>0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275.76900776033335</v>
      </c>
      <c r="CE92" s="62">
        <f t="shared" si="94"/>
        <v>299.36898480605191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63.852556219066599</v>
      </c>
      <c r="CL92" s="23">
        <f>EXP(-LN(2)/25)*CL91+(1-EXP(-LN(2)/25))/(LN(2)/25)*Calculateur!CG92*Calculateur!CI92*VLOOKUP('Données projet'!$B$12,Paramètres!$A$1:$I$89,3,0)*0.475*44/12</f>
        <v>12.916548379454047</v>
      </c>
      <c r="CM92" s="23">
        <f>EXP(-LN(2)/2)*CM91+(1-EXP(-LN(2)/2))/(LN(2)/2)*CG92*CJ92*VLOOKUP('Données projet'!$B$12,Paramètres!$A$1:$I$89,3,0)*0.475*44/12</f>
        <v>2.4094689286590777E-3</v>
      </c>
      <c r="CN92" s="24">
        <f t="shared" si="66"/>
        <v>76.771514067449303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6.1</v>
      </c>
      <c r="CT92" s="13">
        <f>IF('Données projet'!$A$140&gt;35,CT91+CS92-DB91,IF(A92&lt;'Données projet'!$A$140,$CQ$205^A92,IF(A92='Données projet'!$A$140,'Données projet'!$B$140,CT91+CS92-DB91)))</f>
        <v>216.20000000000027</v>
      </c>
      <c r="CU92" s="18">
        <f>CT92*VLOOKUP('Données projet'!$B$13,Paramètres!$A$1:$I$89,3,0)*VLOOKUP('Données projet'!$B$13,Paramètres!$A$1:$I$89,5,0)</f>
        <v>236.09040000000027</v>
      </c>
      <c r="CV92" s="14">
        <f t="shared" si="95"/>
        <v>57.597558626189162</v>
      </c>
      <c r="CW92" s="22">
        <f t="shared" si="67"/>
        <v>511.50652794061324</v>
      </c>
      <c r="CX92" s="62">
        <f t="shared" si="68"/>
        <v>785.52917165213682</v>
      </c>
      <c r="CY92" s="62">
        <f ca="1">AVERAGE(OFFSET($CX$3,0,0,'Données projet'!$E$13+1,1))-AVERAGE(OFFSET($H$3,0,0,'Données projet'!$E$13+1,1))</f>
        <v>482.24068797679558</v>
      </c>
      <c r="CZ92" s="62">
        <f t="shared" si="96"/>
        <v>316.28941055521693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56.938922333434981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56.938922333434981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-1.7053025658242404E-13</v>
      </c>
      <c r="DP92" s="18">
        <f>DO92*VLOOKUP('Données projet'!$B$14,Paramètres!$A$1:$I$89,3,0)*VLOOKUP('Données projet'!$B$14,Paramètres!$A$1:$I$89,5,0)</f>
        <v>-1.383341441396624E-13</v>
      </c>
      <c r="DQ92" s="14" t="e">
        <f t="shared" si="97"/>
        <v>#NUM!</v>
      </c>
      <c r="DR92" s="22" t="e">
        <f t="shared" si="70"/>
        <v>#NUM!</v>
      </c>
      <c r="DS92" s="62" t="e">
        <f t="shared" si="71"/>
        <v>#NUM!</v>
      </c>
      <c r="DT92" s="62">
        <f ca="1">AVERAGE(OFFSET($DS$3,0,0,'Données projet'!$E$14+1,1))-AVERAGE(OFFSET($H$3,0,0,'Données projet'!$E$14+1,1))</f>
        <v>325.58538970226539</v>
      </c>
      <c r="DU92" s="62">
        <f t="shared" si="98"/>
        <v>361.81085660423457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79.760302325504369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79.760302325504369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4.8799999999999981</v>
      </c>
      <c r="EJ92" s="13">
        <f>IF('Données projet'!$A$192&gt;35,EJ91+EI92-ER91,IF(A92&lt;'Données projet'!$A$192,$EG$205^A92,IF(A92='Données projet'!$A$192,'Données projet'!$B$192,EJ91+EI92-ER91)))</f>
        <v>172.95999999999998</v>
      </c>
      <c r="EK92" s="18">
        <f>EJ92*VLOOKUP('Données projet'!$B$15,Paramètres!$A$1:$I$89,3,0)*VLOOKUP('Données projet'!$B$15,Paramètres!$A$1:$I$89,5,0)</f>
        <v>167.286912</v>
      </c>
      <c r="EL92" s="14">
        <f t="shared" si="99"/>
        <v>42.481814347552458</v>
      </c>
      <c r="EM92" s="22">
        <f t="shared" si="73"/>
        <v>365.34719838865385</v>
      </c>
      <c r="EN92" s="62">
        <f t="shared" si="74"/>
        <v>639.36984210017749</v>
      </c>
      <c r="EO92" s="62">
        <f ca="1">AVERAGE(OFFSET($EN$3,0,0,'Données projet'!$E$15+1,1))-AVERAGE(OFFSET($H$3,0,0,'Données projet'!$E$15+1,1))</f>
        <v>364.22267539944085</v>
      </c>
      <c r="EP92" s="62">
        <f t="shared" si="100"/>
        <v>241.947139538615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40.345293539119652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40.345293539119652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-1.7053025658242404E-13</v>
      </c>
      <c r="FF92" s="18">
        <f>FE92*VLOOKUP('Données projet'!$B$16,Paramètres!$A$1:$I$89,3,0)*VLOOKUP('Données projet'!$B$16,Paramètres!$A$1:$I$89,5,0)</f>
        <v>-1.4897523215040567E-13</v>
      </c>
      <c r="FG92" s="14" t="e">
        <f t="shared" si="101"/>
        <v>#NUM!</v>
      </c>
      <c r="FH92" s="22" t="e">
        <f t="shared" si="76"/>
        <v>#NUM!</v>
      </c>
      <c r="FI92" s="62" t="e">
        <f t="shared" si="77"/>
        <v>#NUM!</v>
      </c>
      <c r="FJ92" s="62">
        <f ca="1">AVERAGE(OFFSET($FI$3,0,0,'Données projet'!$E$16+1,1))-AVERAGE(OFFSET($H$3,0,0,'Données projet'!$E$16+1,1))</f>
        <v>286.59837239471312</v>
      </c>
      <c r="FK92" s="62">
        <f t="shared" si="102"/>
        <v>319.26091328564689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69.228810540356264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69.228810540356264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-1.7053025658242404E-13</v>
      </c>
      <c r="GA92" s="18">
        <f>FZ92*VLOOKUP('Données projet'!$B$17,Paramètres!$A$1:$I$89,3,0)*VLOOKUP('Données projet'!$B$17,Paramètres!$A$1:$I$89,5,0)</f>
        <v>-1.1439169611549005E-13</v>
      </c>
      <c r="GB92" s="14" t="e">
        <f t="shared" si="103"/>
        <v>#NUM!</v>
      </c>
      <c r="GC92" s="22" t="e">
        <f t="shared" si="79"/>
        <v>#NUM!</v>
      </c>
      <c r="GD92" s="62" t="e">
        <f t="shared" si="80"/>
        <v>#NUM!</v>
      </c>
      <c r="GE92" s="62">
        <f ca="1">AVERAGE(OFFSET($GD$3,0,0,'Données projet'!$E$17+1,1))-AVERAGE(OFFSET($H$3,0,0,'Données projet'!$E$17+1,1))</f>
        <v>277.37570531842186</v>
      </c>
      <c r="GF92" s="62">
        <f t="shared" si="104"/>
        <v>310.00874200911312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projet'!$B$17,Paramètres!$A$1:$I$89,3,0)*0.475*44/12</f>
        <v>81.294154293302512</v>
      </c>
      <c r="GM92" s="23">
        <f>EXP(-LN(2)/25)*GM91+(1-EXP(-LN(2)/25))/(LN(2)/25)*Calculateur!GH92*Calculateur!GJ92*VLOOKUP('Données projet'!$B$17,Paramètres!$A$1:$I$89,3,0)*0.475*44/12</f>
        <v>0</v>
      </c>
      <c r="GN92" s="23">
        <f>EXP(-LN(2)/2)*GN91+(1-EXP(-LN(2)/2))/(LN(2)/2)*GH92*GK92*VLOOKUP('Données projet'!$B$17,Paramètres!$A$1:$I$89,3,0)*0.475*44/12</f>
        <v>0</v>
      </c>
      <c r="GO92" s="23">
        <f t="shared" si="81"/>
        <v>81.294154293302512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6.1</v>
      </c>
      <c r="N93" s="14">
        <f>IF('Données projet'!$A$36&gt;35,N92+M93-V92,IF(A93&lt;'Données projet'!$A$36,$K$205^A93,IF(A93='Données projet'!$A$36,'Données projet'!$B$36,N92+M93-V92)))</f>
        <v>222.30000000000027</v>
      </c>
      <c r="O93" s="14">
        <f>N93*VLOOKUP('Données projet'!$B$9,Paramètres!$A$1:$I$89,3,0)*VLOOKUP('Données projet'!$B$9,Paramètres!$A$1:$I$89,5,0)</f>
        <v>194.20128000000025</v>
      </c>
      <c r="P93" s="14">
        <f t="shared" si="87"/>
        <v>48.467610585469941</v>
      </c>
      <c r="Q93" s="22">
        <f t="shared" si="54"/>
        <v>422.6483177696939</v>
      </c>
      <c r="R93" s="62">
        <f t="shared" si="55"/>
        <v>697.00595877392152</v>
      </c>
      <c r="S93" s="62">
        <f ca="1">AVERAGE(OFFSET($R$3,0,0,'Données projet'!$E$9+1,1))-AVERAGE(OFFSET($H$3,0,0,'Données projet'!$E$9+1,1))</f>
        <v>401.34220206028908</v>
      </c>
      <c r="T93" s="62">
        <f t="shared" si="88"/>
        <v>265.33314259106987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44.657907836631772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44.657907836631772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326</v>
      </c>
      <c r="AG93" s="13">
        <f>VLOOKUP(A93,'Données projet'!$A$61:$I$81,9,0)</f>
        <v>8.3000000000000007</v>
      </c>
      <c r="AH93" s="13">
        <f t="array" ref="AH93">INDEX(AG:AG,MIN(IF(ISNUMBER(AG93:AG289),ROW(AG93:AG289),"")))</f>
        <v>8.3000000000000007</v>
      </c>
      <c r="AI93" s="14">
        <f>IF('Données projet'!$A$62&gt;35,AI92+AH93-AQ92,IF(A93&lt;'Données projet'!$A$62,$AF$205^A93,IF(A93='Données projet'!$A$62,'Données projet'!$B$62,AI92+AH93-AQ92)))</f>
        <v>326.00000000000006</v>
      </c>
      <c r="AJ93" s="14">
        <f>AI93*VLOOKUP('Données projet'!$B$10,Paramètres!$A$1:$I$89,3,0)*VLOOKUP('Données projet'!$B$10,Paramètres!$A$1:$I$89,5,0)</f>
        <v>152.56800000000001</v>
      </c>
      <c r="AK93" s="14">
        <f t="shared" si="89"/>
        <v>39.161595030150863</v>
      </c>
      <c r="AL93" s="22">
        <f t="shared" si="58"/>
        <v>333.92904467751276</v>
      </c>
      <c r="AM93" s="62">
        <f t="shared" si="59"/>
        <v>608.28668568174044</v>
      </c>
      <c r="AN93" s="62">
        <f ca="1">AVERAGE(OFFSET($AM$3,0,0,'Données projet'!$E$10+1,1))-AVERAGE(OFFSET($H$3,0,0,'Données projet'!$E$10+1,1))</f>
        <v>253.48761861464732</v>
      </c>
      <c r="AO93" s="62">
        <f t="shared" si="90"/>
        <v>219.50855998133855</v>
      </c>
      <c r="AP93" s="16">
        <f>IF(ISNA(VLOOKUP(A93,'Données projet'!$A$61:$I$81,3,0)),0,VLOOKUP(A93,'Données projet'!$A$61:$I$81,3,0))</f>
        <v>8</v>
      </c>
      <c r="AQ93" s="16">
        <f>IF(ISNA(VLOOKUP(A93,'Données projet'!$A$61:$I$81,4,0)),0,VLOOKUP(A93,'Données projet'!$A$61:$I$81,4,0))</f>
        <v>65</v>
      </c>
      <c r="AR93" s="17">
        <f>IF(ISNA(VLOOKUP(A93,'Données projet'!$A$61:$I$81,5,0)),0%,VLOOKUP(A93,'Données projet'!$A$61:$I$81,5,0)*VLOOKUP('Données projet'!$B$10,Paramètres!$A$1:$I$89,7,0))</f>
        <v>0.38500000000000001</v>
      </c>
      <c r="AS93" s="17">
        <f>IF(ISNA(VLOOKUP(A93,'Données projet'!$A$61:$I$81,6,0)),0%,VLOOKUP(A93,'Données projet'!$A$61:$I$81,6,0)*VLOOKUP('Données projet'!$B$10,Paramètres!$A$1:$I$89,7,0))</f>
        <v>9.3500000000000014E-2</v>
      </c>
      <c r="AT93" s="17">
        <f>IF(ISNA(VLOOKUP(A93,'Données projet'!$A$61:$I$81,7,0)),0%,VLOOKUP(A93,'Données projet'!$A$61:$I$81,7,0))</f>
        <v>0.13</v>
      </c>
      <c r="AU93" s="23">
        <f>EXP(-LN(2)/35)*AU92+(1-EXP(-LN(2)/35))/(LN(2)/35)*AQ93*AR93*VLOOKUP('Données projet'!$B$10,Paramètres!$A$1:$I$89,3,0)*0.475*44/12</f>
        <v>54.118881033851927</v>
      </c>
      <c r="AV93" s="23">
        <f>EXP(-LN(2)/25)*AV92+(1-EXP(-LN(2)/25))/(LN(2)/25)*Calculateur!AQ93*Calculateur!AS93*VLOOKUP('Données projet'!$B$10,Paramètres!$A$1:$I$89,3,0)*0.475*44/12</f>
        <v>12.023414272681022</v>
      </c>
      <c r="AW93" s="23">
        <f>EXP(-LN(2)/2)*AW92+(1-EXP(-LN(2)/2))/(LN(2)/2)*AQ93*AT93*VLOOKUP('Données projet'!$B$10,Paramètres!$A$1:$I$89,3,0)*0.475*44/12</f>
        <v>4.6127846724911707</v>
      </c>
      <c r="AX93" s="23">
        <f t="shared" si="60"/>
        <v>70.755079979024117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>
        <f>BD93*VLOOKUP('Données projet'!$B$11,Paramètres!$A$1:$I$89,3,0)*VLOOKUP('Données projet'!$B$11,Paramètres!$A$1:$I$89,5,0)</f>
        <v>0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482.85256243111911</v>
      </c>
      <c r="BJ93" s="62">
        <f t="shared" si="92"/>
        <v>517.78430032567064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65.322205082947178</v>
      </c>
      <c r="BQ93" s="23">
        <f>EXP(-LN(2)/25)*BQ92+(1-EXP(-LN(2)/25))/(LN(2)/25)*Calculateur!BL93*Calculateur!BN93*VLOOKUP('Données projet'!$B$11,Paramètres!$A$1:$I$89,3,0)*0.475*44/12</f>
        <v>13.109577062364641</v>
      </c>
      <c r="BR93" s="23">
        <f>EXP(-LN(2)/2)*BR92+(1-EXP(-LN(2)/2))/(LN(2)/2)*BL93*BO93*VLOOKUP('Données projet'!$B$11,Paramètres!$A$1:$I$89,3,0)*0.475*44/12</f>
        <v>1.7778279845354307E-3</v>
      </c>
      <c r="BS93" s="24">
        <f t="shared" si="63"/>
        <v>78.433559973296354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>
        <f>BY93*VLOOKUP('Données projet'!$B$12,Paramètres!$A$1:$I$89,3,0)*VLOOKUP('Données projet'!$B$12,Paramètres!$A$1:$I$89,5,0)</f>
        <v>0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275.76900776033335</v>
      </c>
      <c r="CE93" s="62">
        <f t="shared" si="94"/>
        <v>299.36898480605191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62.600446537824375</v>
      </c>
      <c r="CL93" s="23">
        <f>EXP(-LN(2)/25)*CL92+(1-EXP(-LN(2)/25))/(LN(2)/25)*Calculateur!CG93*Calculateur!CI93*VLOOKUP('Données projet'!$B$12,Paramètres!$A$1:$I$89,3,0)*0.475*44/12</f>
        <v>12.563344684766118</v>
      </c>
      <c r="CM93" s="23">
        <f>EXP(-LN(2)/2)*CM92+(1-EXP(-LN(2)/2))/(LN(2)/2)*CG93*CJ93*VLOOKUP('Données projet'!$B$12,Paramètres!$A$1:$I$89,3,0)*0.475*44/12</f>
        <v>1.7037518185131196E-3</v>
      </c>
      <c r="CN93" s="24">
        <f t="shared" si="66"/>
        <v>75.165494974409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6.1</v>
      </c>
      <c r="CT93" s="13">
        <f>IF('Données projet'!$A$140&gt;35,CT92+CS93-DB92,IF(A93&lt;'Données projet'!$A$140,$CQ$205^A93,IF(A93='Données projet'!$A$140,'Données projet'!$B$140,CT92+CS93-DB92)))</f>
        <v>222.30000000000027</v>
      </c>
      <c r="CU93" s="18">
        <f>CT93*VLOOKUP('Données projet'!$B$13,Paramètres!$A$1:$I$89,3,0)*VLOOKUP('Données projet'!$B$13,Paramètres!$A$1:$I$89,5,0)</f>
        <v>242.75160000000031</v>
      </c>
      <c r="CV93" s="14">
        <f t="shared" si="95"/>
        <v>59.031157268460291</v>
      </c>
      <c r="CW93" s="22">
        <f t="shared" si="67"/>
        <v>525.60496890923548</v>
      </c>
      <c r="CX93" s="62">
        <f t="shared" si="68"/>
        <v>799.96260991346321</v>
      </c>
      <c r="CY93" s="62">
        <f ca="1">AVERAGE(OFFSET($CX$3,0,0,'Données projet'!$E$13+1,1))-AVERAGE(OFFSET($H$3,0,0,'Données projet'!$E$13+1,1))</f>
        <v>482.24068797679558</v>
      </c>
      <c r="CZ93" s="62">
        <f t="shared" si="96"/>
        <v>316.28941055521693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55.822384795789709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55.822384795789709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-1.7053025658242404E-13</v>
      </c>
      <c r="DP93" s="18">
        <f>DO93*VLOOKUP('Données projet'!$B$14,Paramètres!$A$1:$I$89,3,0)*VLOOKUP('Données projet'!$B$14,Paramètres!$A$1:$I$89,5,0)</f>
        <v>-1.383341441396624E-13</v>
      </c>
      <c r="DQ93" s="14" t="e">
        <f t="shared" si="97"/>
        <v>#NUM!</v>
      </c>
      <c r="DR93" s="22" t="e">
        <f t="shared" si="70"/>
        <v>#NUM!</v>
      </c>
      <c r="DS93" s="62" t="e">
        <f t="shared" si="71"/>
        <v>#NUM!</v>
      </c>
      <c r="DT93" s="62">
        <f ca="1">AVERAGE(OFFSET($DS$3,0,0,'Données projet'!$E$14+1,1))-AVERAGE(OFFSET($H$3,0,0,'Données projet'!$E$14+1,1))</f>
        <v>325.58538970226539</v>
      </c>
      <c r="DU93" s="62">
        <f t="shared" si="98"/>
        <v>361.81085660423457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78.196251445881956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78.196251445881956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4.8799999999999981</v>
      </c>
      <c r="EJ93" s="13">
        <f>IF('Données projet'!$A$192&gt;35,EJ92+EI93-ER92,IF(A93&lt;'Données projet'!$A$192,$EG$205^A93,IF(A93='Données projet'!$A$192,'Données projet'!$B$192,EJ92+EI93-ER92)))</f>
        <v>177.83999999999997</v>
      </c>
      <c r="EK93" s="18">
        <f>EJ93*VLOOKUP('Données projet'!$B$15,Paramètres!$A$1:$I$89,3,0)*VLOOKUP('Données projet'!$B$15,Paramètres!$A$1:$I$89,5,0)</f>
        <v>172.00684799999999</v>
      </c>
      <c r="EL93" s="14">
        <f t="shared" si="99"/>
        <v>43.539183319822989</v>
      </c>
      <c r="EM93" s="22">
        <f t="shared" si="73"/>
        <v>375.409337882025</v>
      </c>
      <c r="EN93" s="62">
        <f t="shared" si="74"/>
        <v>649.76697888625267</v>
      </c>
      <c r="EO93" s="62">
        <f ca="1">AVERAGE(OFFSET($EN$3,0,0,'Données projet'!$E$15+1,1))-AVERAGE(OFFSET($H$3,0,0,'Données projet'!$E$15+1,1))</f>
        <v>364.22267539944085</v>
      </c>
      <c r="EP93" s="62">
        <f t="shared" si="100"/>
        <v>241.947139538615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39.554146941016718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39.554146941016718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-1.7053025658242404E-13</v>
      </c>
      <c r="FF93" s="18">
        <f>FE93*VLOOKUP('Données projet'!$B$16,Paramètres!$A$1:$I$89,3,0)*VLOOKUP('Données projet'!$B$16,Paramètres!$A$1:$I$89,5,0)</f>
        <v>-1.4897523215040567E-13</v>
      </c>
      <c r="FG93" s="14" t="e">
        <f t="shared" si="101"/>
        <v>#NUM!</v>
      </c>
      <c r="FH93" s="22" t="e">
        <f t="shared" si="76"/>
        <v>#NUM!</v>
      </c>
      <c r="FI93" s="62" t="e">
        <f t="shared" si="77"/>
        <v>#NUM!</v>
      </c>
      <c r="FJ93" s="62">
        <f ca="1">AVERAGE(OFFSET($FI$3,0,0,'Données projet'!$E$16+1,1))-AVERAGE(OFFSET($H$3,0,0,'Données projet'!$E$16+1,1))</f>
        <v>286.59837239471312</v>
      </c>
      <c r="FK93" s="62">
        <f t="shared" si="102"/>
        <v>319.26091328564689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67.871275791064889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67.871275791064889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-1.7053025658242404E-13</v>
      </c>
      <c r="GA93" s="18">
        <f>FZ93*VLOOKUP('Données projet'!$B$17,Paramètres!$A$1:$I$89,3,0)*VLOOKUP('Données projet'!$B$17,Paramètres!$A$1:$I$89,5,0)</f>
        <v>-1.1439169611549005E-13</v>
      </c>
      <c r="GB93" s="14" t="e">
        <f t="shared" si="103"/>
        <v>#NUM!</v>
      </c>
      <c r="GC93" s="22" t="e">
        <f t="shared" si="79"/>
        <v>#NUM!</v>
      </c>
      <c r="GD93" s="62" t="e">
        <f t="shared" si="80"/>
        <v>#NUM!</v>
      </c>
      <c r="GE93" s="62">
        <f ca="1">AVERAGE(OFFSET($GD$3,0,0,'Données projet'!$E$17+1,1))-AVERAGE(OFFSET($H$3,0,0,'Données projet'!$E$17+1,1))</f>
        <v>277.37570531842186</v>
      </c>
      <c r="GF93" s="62">
        <f t="shared" si="104"/>
        <v>310.00874200911312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projet'!$B$17,Paramètres!$A$1:$I$89,3,0)*0.475*44/12</f>
        <v>79.700025512148898</v>
      </c>
      <c r="GM93" s="23">
        <f>EXP(-LN(2)/25)*GM92+(1-EXP(-LN(2)/25))/(LN(2)/25)*Calculateur!GH93*Calculateur!GJ93*VLOOKUP('Données projet'!$B$17,Paramètres!$A$1:$I$89,3,0)*0.475*44/12</f>
        <v>0</v>
      </c>
      <c r="GN93" s="23">
        <f>EXP(-LN(2)/2)*GN92+(1-EXP(-LN(2)/2))/(LN(2)/2)*GH93*GK93*VLOOKUP('Données projet'!$B$17,Paramètres!$A$1:$I$89,3,0)*0.475*44/12</f>
        <v>0</v>
      </c>
      <c r="GO93" s="23">
        <f t="shared" si="81"/>
        <v>79.700025512148898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6.1</v>
      </c>
      <c r="N94" s="14">
        <f>IF('Données projet'!$A$36&gt;35,N93+M94-V93,IF(A94&lt;'Données projet'!$A$36,$K$205^A94,IF(A94='Données projet'!$A$36,'Données projet'!$B$36,N93+M94-V93)))</f>
        <v>228.40000000000026</v>
      </c>
      <c r="O94" s="14">
        <f>N94*VLOOKUP('Données projet'!$B$9,Paramètres!$A$1:$I$89,3,0)*VLOOKUP('Données projet'!$B$9,Paramètres!$A$1:$I$89,5,0)</f>
        <v>199.53024000000025</v>
      </c>
      <c r="P94" s="14">
        <f t="shared" si="87"/>
        <v>49.640914570461355</v>
      </c>
      <c r="Q94" s="22">
        <f t="shared" si="54"/>
        <v>433.97309421022061</v>
      </c>
      <c r="R94" s="62">
        <f t="shared" si="55"/>
        <v>708.65992105306566</v>
      </c>
      <c r="S94" s="62">
        <f ca="1">AVERAGE(OFFSET($R$3,0,0,'Données projet'!$E$9+1,1))-AVERAGE(OFFSET($H$3,0,0,'Données projet'!$E$9+1,1))</f>
        <v>401.34220206028908</v>
      </c>
      <c r="T94" s="62">
        <f t="shared" si="88"/>
        <v>265.33314259106987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43.782193502589614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43.782193502589614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8.3000000000000007</v>
      </c>
      <c r="AI94" s="14">
        <f>IF('Données projet'!$A$62&gt;35,AI93+AH94-AQ93,IF(A94&lt;'Données projet'!$A$62,$AF$205^A94,IF(A94='Données projet'!$A$62,'Données projet'!$B$62,AI93+AH94-AQ93)))</f>
        <v>269.30000000000007</v>
      </c>
      <c r="AJ94" s="14">
        <f>AI94*VLOOKUP('Données projet'!$B$10,Paramètres!$A$1:$I$89,3,0)*VLOOKUP('Données projet'!$B$10,Paramètres!$A$1:$I$89,5,0)</f>
        <v>126.03240000000004</v>
      </c>
      <c r="AK94" s="14">
        <f t="shared" si="89"/>
        <v>33.077916192607184</v>
      </c>
      <c r="AL94" s="22">
        <f t="shared" si="58"/>
        <v>277.11713403545758</v>
      </c>
      <c r="AM94" s="62">
        <f t="shared" si="59"/>
        <v>551.80396087830263</v>
      </c>
      <c r="AN94" s="62">
        <f ca="1">AVERAGE(OFFSET($AM$3,0,0,'Données projet'!$E$10+1,1))-AVERAGE(OFFSET($H$3,0,0,'Données projet'!$E$10+1,1))</f>
        <v>253.48761861464732</v>
      </c>
      <c r="AO94" s="62">
        <f t="shared" si="90"/>
        <v>219.50855998133855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53.057642786036126</v>
      </c>
      <c r="AV94" s="23">
        <f>EXP(-LN(2)/25)*AV93+(1-EXP(-LN(2)/25))/(LN(2)/25)*Calculateur!AQ94*Calculateur!AS94*VLOOKUP('Données projet'!$B$10,Paramètres!$A$1:$I$89,3,0)*0.475*44/12</f>
        <v>11.694633377110682</v>
      </c>
      <c r="AW94" s="23">
        <f>EXP(-LN(2)/2)*AW93+(1-EXP(-LN(2)/2))/(LN(2)/2)*AQ94*AT94*VLOOKUP('Données projet'!$B$10,Paramètres!$A$1:$I$89,3,0)*0.475*44/12</f>
        <v>3.2617313220718747</v>
      </c>
      <c r="AX94" s="23">
        <f t="shared" si="60"/>
        <v>68.014007485218684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>
        <f>BD94*VLOOKUP('Données projet'!$B$11,Paramètres!$A$1:$I$89,3,0)*VLOOKUP('Données projet'!$B$11,Paramètres!$A$1:$I$89,5,0)</f>
        <v>0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482.85256243111911</v>
      </c>
      <c r="BJ94" s="62">
        <f t="shared" si="92"/>
        <v>517.78430032567064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64.04127648388156</v>
      </c>
      <c r="BQ94" s="23">
        <f>EXP(-LN(2)/25)*BQ93+(1-EXP(-LN(2)/25))/(LN(2)/25)*Calculateur!BL94*Calculateur!BN94*VLOOKUP('Données projet'!$B$11,Paramètres!$A$1:$I$89,3,0)*0.475*44/12</f>
        <v>12.751094988191586</v>
      </c>
      <c r="BR94" s="23">
        <f>EXP(-LN(2)/2)*BR93+(1-EXP(-LN(2)/2))/(LN(2)/2)*BL94*BO94*VLOOKUP('Données projet'!$B$11,Paramètres!$A$1:$I$89,3,0)*0.475*44/12</f>
        <v>1.2571142236482155E-3</v>
      </c>
      <c r="BS94" s="24">
        <f t="shared" si="63"/>
        <v>76.793628586296791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>
        <f>BY94*VLOOKUP('Données projet'!$B$12,Paramètres!$A$1:$I$89,3,0)*VLOOKUP('Données projet'!$B$12,Paramètres!$A$1:$I$89,5,0)</f>
        <v>0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275.76900776033335</v>
      </c>
      <c r="CE94" s="62">
        <f t="shared" si="94"/>
        <v>299.36898480605191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61.372889963719821</v>
      </c>
      <c r="CL94" s="23">
        <f>EXP(-LN(2)/25)*CL93+(1-EXP(-LN(2)/25))/(LN(2)/25)*Calculateur!CG94*Calculateur!CI94*VLOOKUP('Données projet'!$B$12,Paramètres!$A$1:$I$89,3,0)*0.475*44/12</f>
        <v>12.219799363683606</v>
      </c>
      <c r="CM94" s="23">
        <f>EXP(-LN(2)/2)*CM93+(1-EXP(-LN(2)/2))/(LN(2)/2)*CG94*CJ94*VLOOKUP('Données projet'!$B$12,Paramètres!$A$1:$I$89,3,0)*0.475*44/12</f>
        <v>1.2047344643295389E-3</v>
      </c>
      <c r="CN94" s="24">
        <f t="shared" si="66"/>
        <v>73.593894061867758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6.1</v>
      </c>
      <c r="CT94" s="13">
        <f>IF('Données projet'!$A$140&gt;35,CT93+CS94-DB93,IF(A94&lt;'Données projet'!$A$140,$CQ$205^A94,IF(A94='Données projet'!$A$140,'Données projet'!$B$140,CT93+CS94-DB93)))</f>
        <v>228.40000000000026</v>
      </c>
      <c r="CU94" s="18">
        <f>CT94*VLOOKUP('Données projet'!$B$13,Paramètres!$A$1:$I$89,3,0)*VLOOKUP('Données projet'!$B$13,Paramètres!$A$1:$I$89,5,0)</f>
        <v>249.41280000000026</v>
      </c>
      <c r="CV94" s="14">
        <f t="shared" si="95"/>
        <v>60.460183606360694</v>
      </c>
      <c r="CW94" s="22">
        <f t="shared" si="67"/>
        <v>539.69544644774521</v>
      </c>
      <c r="CX94" s="62">
        <f t="shared" si="68"/>
        <v>814.38227329059032</v>
      </c>
      <c r="CY94" s="62">
        <f ca="1">AVERAGE(OFFSET($CX$3,0,0,'Données projet'!$E$13+1,1))-AVERAGE(OFFSET($H$3,0,0,'Données projet'!$E$13+1,1))</f>
        <v>482.24068797679558</v>
      </c>
      <c r="CZ94" s="62">
        <f t="shared" si="96"/>
        <v>316.28941055521693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54.727741878237012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54.727741878237012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-1.7053025658242404E-13</v>
      </c>
      <c r="DP94" s="18">
        <f>DO94*VLOOKUP('Données projet'!$B$14,Paramètres!$A$1:$I$89,3,0)*VLOOKUP('Données projet'!$B$14,Paramètres!$A$1:$I$89,5,0)</f>
        <v>-1.383341441396624E-13</v>
      </c>
      <c r="DQ94" s="14" t="e">
        <f t="shared" si="97"/>
        <v>#NUM!</v>
      </c>
      <c r="DR94" s="22" t="e">
        <f t="shared" si="70"/>
        <v>#NUM!</v>
      </c>
      <c r="DS94" s="62" t="e">
        <f t="shared" si="71"/>
        <v>#NUM!</v>
      </c>
      <c r="DT94" s="62">
        <f ca="1">AVERAGE(OFFSET($DS$3,0,0,'Données projet'!$E$14+1,1))-AVERAGE(OFFSET($H$3,0,0,'Données projet'!$E$14+1,1))</f>
        <v>325.58538970226539</v>
      </c>
      <c r="DU94" s="62">
        <f t="shared" si="98"/>
        <v>361.81085660423457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76.662870650032104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76.662870650032104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4.8799999999999981</v>
      </c>
      <c r="EJ94" s="13">
        <f>IF('Données projet'!$A$192&gt;35,EJ93+EI94-ER93,IF(A94&lt;'Données projet'!$A$192,$EG$205^A94,IF(A94='Données projet'!$A$192,'Données projet'!$B$192,EJ93+EI94-ER93)))</f>
        <v>182.71999999999997</v>
      </c>
      <c r="EK94" s="18">
        <f>EJ94*VLOOKUP('Données projet'!$B$15,Paramètres!$A$1:$I$89,3,0)*VLOOKUP('Données projet'!$B$15,Paramètres!$A$1:$I$89,5,0)</f>
        <v>176.72678399999998</v>
      </c>
      <c r="EL94" s="14">
        <f t="shared" si="99"/>
        <v>44.593179930659275</v>
      </c>
      <c r="EM94" s="22">
        <f t="shared" si="73"/>
        <v>385.46560384589816</v>
      </c>
      <c r="EN94" s="62">
        <f t="shared" si="74"/>
        <v>660.15243068874315</v>
      </c>
      <c r="EO94" s="62">
        <f ca="1">AVERAGE(OFFSET($EN$3,0,0,'Données projet'!$E$15+1,1))-AVERAGE(OFFSET($H$3,0,0,'Données projet'!$E$15+1,1))</f>
        <v>364.22267539944085</v>
      </c>
      <c r="EP94" s="62">
        <f t="shared" si="100"/>
        <v>241.947139538615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38.778514245150802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38.778514245150802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-1.7053025658242404E-13</v>
      </c>
      <c r="FF94" s="18">
        <f>FE94*VLOOKUP('Données projet'!$B$16,Paramètres!$A$1:$I$89,3,0)*VLOOKUP('Données projet'!$B$16,Paramètres!$A$1:$I$89,5,0)</f>
        <v>-1.4897523215040567E-13</v>
      </c>
      <c r="FG94" s="14" t="e">
        <f t="shared" si="101"/>
        <v>#NUM!</v>
      </c>
      <c r="FH94" s="22" t="e">
        <f t="shared" si="76"/>
        <v>#NUM!</v>
      </c>
      <c r="FI94" s="62" t="e">
        <f t="shared" si="77"/>
        <v>#NUM!</v>
      </c>
      <c r="FJ94" s="62">
        <f ca="1">AVERAGE(OFFSET($FI$3,0,0,'Données projet'!$E$16+1,1))-AVERAGE(OFFSET($H$3,0,0,'Données projet'!$E$16+1,1))</f>
        <v>286.59837239471312</v>
      </c>
      <c r="FK94" s="62">
        <f t="shared" si="102"/>
        <v>319.26091328564689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66.540361470192693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66.540361470192693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-1.7053025658242404E-13</v>
      </c>
      <c r="GA94" s="18">
        <f>FZ94*VLOOKUP('Données projet'!$B$17,Paramètres!$A$1:$I$89,3,0)*VLOOKUP('Données projet'!$B$17,Paramètres!$A$1:$I$89,5,0)</f>
        <v>-1.1439169611549005E-13</v>
      </c>
      <c r="GB94" s="14" t="e">
        <f t="shared" si="103"/>
        <v>#NUM!</v>
      </c>
      <c r="GC94" s="22" t="e">
        <f t="shared" si="79"/>
        <v>#NUM!</v>
      </c>
      <c r="GD94" s="62" t="e">
        <f t="shared" si="80"/>
        <v>#NUM!</v>
      </c>
      <c r="GE94" s="62">
        <f ca="1">AVERAGE(OFFSET($GD$3,0,0,'Données projet'!$E$17+1,1))-AVERAGE(OFFSET($H$3,0,0,'Données projet'!$E$17+1,1))</f>
        <v>277.37570531842186</v>
      </c>
      <c r="GF94" s="62">
        <f t="shared" si="104"/>
        <v>310.00874200911312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projet'!$B$17,Paramètres!$A$1:$I$89,3,0)*0.475*44/12</f>
        <v>78.137156624071167</v>
      </c>
      <c r="GM94" s="23">
        <f>EXP(-LN(2)/25)*GM93+(1-EXP(-LN(2)/25))/(LN(2)/25)*Calculateur!GH94*Calculateur!GJ94*VLOOKUP('Données projet'!$B$17,Paramètres!$A$1:$I$89,3,0)*0.475*44/12</f>
        <v>0</v>
      </c>
      <c r="GN94" s="23">
        <f>EXP(-LN(2)/2)*GN93+(1-EXP(-LN(2)/2))/(LN(2)/2)*GH94*GK94*VLOOKUP('Données projet'!$B$17,Paramètres!$A$1:$I$89,3,0)*0.475*44/12</f>
        <v>0</v>
      </c>
      <c r="GO94" s="23">
        <f t="shared" si="81"/>
        <v>78.137156624071167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6.1</v>
      </c>
      <c r="N95" s="14">
        <f>IF('Données projet'!$A$36&gt;35,N94+M95-V94,IF(A95&lt;'Données projet'!$A$36,$K$205^A95,IF(A95='Données projet'!$A$36,'Données projet'!$B$36,N94+M95-V94)))</f>
        <v>234.50000000000026</v>
      </c>
      <c r="O95" s="14">
        <f>N95*VLOOKUP('Données projet'!$B$9,Paramètres!$A$1:$I$89,3,0)*VLOOKUP('Données projet'!$B$9,Paramètres!$A$1:$I$89,5,0)</f>
        <v>204.85920000000027</v>
      </c>
      <c r="P95" s="14">
        <f t="shared" si="87"/>
        <v>50.810576245160171</v>
      </c>
      <c r="Q95" s="22">
        <f t="shared" si="54"/>
        <v>445.29152696032111</v>
      </c>
      <c r="R95" s="62">
        <f t="shared" si="55"/>
        <v>720.30182900343289</v>
      </c>
      <c r="S95" s="62">
        <f ca="1">AVERAGE(OFFSET($R$3,0,0,'Données projet'!$E$9+1,1))-AVERAGE(OFFSET($H$3,0,0,'Données projet'!$E$9+1,1))</f>
        <v>401.34220206028908</v>
      </c>
      <c r="T95" s="62">
        <f t="shared" si="88"/>
        <v>265.33314259106987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42.923651392505015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42.923651392505015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8.3000000000000007</v>
      </c>
      <c r="AI95" s="14">
        <f>IF('Données projet'!$A$62&gt;35,AI94+AH95-AQ94,IF(A95&lt;'Données projet'!$A$62,$AF$205^A95,IF(A95='Données projet'!$A$62,'Données projet'!$B$62,AI94+AH95-AQ94)))</f>
        <v>277.60000000000008</v>
      </c>
      <c r="AJ95" s="14">
        <f>AI95*VLOOKUP('Données projet'!$B$10,Paramètres!$A$1:$I$89,3,0)*VLOOKUP('Données projet'!$B$10,Paramètres!$A$1:$I$89,5,0)</f>
        <v>129.91680000000002</v>
      </c>
      <c r="AK95" s="14">
        <f t="shared" si="89"/>
        <v>33.977133538895586</v>
      </c>
      <c r="AL95" s="22">
        <f t="shared" si="58"/>
        <v>285.44860091357651</v>
      </c>
      <c r="AM95" s="62">
        <f t="shared" si="59"/>
        <v>560.45890295668823</v>
      </c>
      <c r="AN95" s="62">
        <f ca="1">AVERAGE(OFFSET($AM$3,0,0,'Données projet'!$E$10+1,1))-AVERAGE(OFFSET($H$3,0,0,'Données projet'!$E$10+1,1))</f>
        <v>253.48761861464732</v>
      </c>
      <c r="AO95" s="62">
        <f t="shared" si="90"/>
        <v>219.50855998133855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52.017214772968579</v>
      </c>
      <c r="AV95" s="23">
        <f>EXP(-LN(2)/25)*AV94+(1-EXP(-LN(2)/25))/(LN(2)/25)*Calculateur!AQ95*Calculateur!AS95*VLOOKUP('Données projet'!$B$10,Paramètres!$A$1:$I$89,3,0)*0.475*44/12</f>
        <v>11.37484301241955</v>
      </c>
      <c r="AW95" s="23">
        <f>EXP(-LN(2)/2)*AW94+(1-EXP(-LN(2)/2))/(LN(2)/2)*AQ95*AT95*VLOOKUP('Données projet'!$B$10,Paramètres!$A$1:$I$89,3,0)*0.475*44/12</f>
        <v>2.3063923362455858</v>
      </c>
      <c r="AX95" s="23">
        <f t="shared" si="60"/>
        <v>65.698450121633712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>
        <f>BD95*VLOOKUP('Données projet'!$B$11,Paramètres!$A$1:$I$89,3,0)*VLOOKUP('Données projet'!$B$11,Paramètres!$A$1:$I$89,5,0)</f>
        <v>0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482.85256243111911</v>
      </c>
      <c r="BJ95" s="62">
        <f t="shared" si="92"/>
        <v>517.78430032567064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62.78546611335431</v>
      </c>
      <c r="BQ95" s="23">
        <f>EXP(-LN(2)/25)*BQ94+(1-EXP(-LN(2)/25))/(LN(2)/25)*Calculateur!BL95*Calculateur!BN95*VLOOKUP('Données projet'!$B$11,Paramètres!$A$1:$I$89,3,0)*0.475*44/12</f>
        <v>12.402415625188544</v>
      </c>
      <c r="BR95" s="23">
        <f>EXP(-LN(2)/2)*BR94+(1-EXP(-LN(2)/2))/(LN(2)/2)*BL95*BO95*VLOOKUP('Données projet'!$B$11,Paramètres!$A$1:$I$89,3,0)*0.475*44/12</f>
        <v>8.8891399226771533E-4</v>
      </c>
      <c r="BS95" s="24">
        <f t="shared" si="63"/>
        <v>75.188770652535126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>
        <f>BY95*VLOOKUP('Données projet'!$B$12,Paramètres!$A$1:$I$89,3,0)*VLOOKUP('Données projet'!$B$12,Paramètres!$A$1:$I$89,5,0)</f>
        <v>0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275.76900776033335</v>
      </c>
      <c r="CE95" s="62">
        <f t="shared" si="94"/>
        <v>299.36898480605191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60.169405025297877</v>
      </c>
      <c r="CL95" s="23">
        <f>EXP(-LN(2)/25)*CL94+(1-EXP(-LN(2)/25))/(LN(2)/25)*Calculateur!CG95*Calculateur!CI95*VLOOKUP('Données projet'!$B$12,Paramètres!$A$1:$I$89,3,0)*0.475*44/12</f>
        <v>11.885648307472358</v>
      </c>
      <c r="CM95" s="23">
        <f>EXP(-LN(2)/2)*CM94+(1-EXP(-LN(2)/2))/(LN(2)/2)*CG95*CJ95*VLOOKUP('Données projet'!$B$12,Paramètres!$A$1:$I$89,3,0)*0.475*44/12</f>
        <v>8.5187590925655979E-4</v>
      </c>
      <c r="CN95" s="24">
        <f t="shared" si="66"/>
        <v>72.055905208679491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6.1</v>
      </c>
      <c r="CT95" s="13">
        <f>IF('Données projet'!$A$140&gt;35,CT94+CS95-DB94,IF(A95&lt;'Données projet'!$A$140,$CQ$205^A95,IF(A95='Données projet'!$A$140,'Données projet'!$B$140,CT94+CS95-DB94)))</f>
        <v>234.50000000000026</v>
      </c>
      <c r="CU95" s="18">
        <f>CT95*VLOOKUP('Données projet'!$B$13,Paramètres!$A$1:$I$89,3,0)*VLOOKUP('Données projet'!$B$13,Paramètres!$A$1:$I$89,5,0)</f>
        <v>256.0740000000003</v>
      </c>
      <c r="CV95" s="14">
        <f t="shared" si="95"/>
        <v>61.884773790114018</v>
      </c>
      <c r="CW95" s="22">
        <f t="shared" si="67"/>
        <v>553.77819768444908</v>
      </c>
      <c r="CX95" s="62">
        <f t="shared" si="68"/>
        <v>828.78849972756075</v>
      </c>
      <c r="CY95" s="62">
        <f ca="1">AVERAGE(OFFSET($CX$3,0,0,'Données projet'!$E$13+1,1))-AVERAGE(OFFSET($H$3,0,0,'Données projet'!$E$13+1,1))</f>
        <v>482.24068797679558</v>
      </c>
      <c r="CZ95" s="62">
        <f t="shared" si="96"/>
        <v>316.28941055521693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53.654564240631267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53.654564240631267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-1.7053025658242404E-13</v>
      </c>
      <c r="DP95" s="18">
        <f>DO95*VLOOKUP('Données projet'!$B$14,Paramètres!$A$1:$I$89,3,0)*VLOOKUP('Données projet'!$B$14,Paramètres!$A$1:$I$89,5,0)</f>
        <v>-1.383341441396624E-13</v>
      </c>
      <c r="DQ95" s="14" t="e">
        <f t="shared" si="97"/>
        <v>#NUM!</v>
      </c>
      <c r="DR95" s="22" t="e">
        <f t="shared" si="70"/>
        <v>#NUM!</v>
      </c>
      <c r="DS95" s="62" t="e">
        <f t="shared" si="71"/>
        <v>#NUM!</v>
      </c>
      <c r="DT95" s="62">
        <f ca="1">AVERAGE(OFFSET($DS$3,0,0,'Données projet'!$E$14+1,1))-AVERAGE(OFFSET($H$3,0,0,'Données projet'!$E$14+1,1))</f>
        <v>325.58538970226539</v>
      </c>
      <c r="DU95" s="62">
        <f t="shared" si="98"/>
        <v>361.81085660423457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75.159558516318924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75.159558516318924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4.8799999999999981</v>
      </c>
      <c r="EJ95" s="13">
        <f>IF('Données projet'!$A$192&gt;35,EJ94+EI95-ER94,IF(A95&lt;'Données projet'!$A$192,$EG$205^A95,IF(A95='Données projet'!$A$192,'Données projet'!$B$192,EJ94+EI95-ER94)))</f>
        <v>187.59999999999997</v>
      </c>
      <c r="EK95" s="18">
        <f>EJ95*VLOOKUP('Données projet'!$B$15,Paramètres!$A$1:$I$89,3,0)*VLOOKUP('Données projet'!$B$15,Paramètres!$A$1:$I$89,5,0)</f>
        <v>181.44671999999997</v>
      </c>
      <c r="EL95" s="14">
        <f t="shared" si="99"/>
        <v>45.64390459939613</v>
      </c>
      <c r="EM95" s="22">
        <f t="shared" si="73"/>
        <v>395.51617117728159</v>
      </c>
      <c r="EN95" s="62">
        <f t="shared" si="74"/>
        <v>670.52647322039331</v>
      </c>
      <c r="EO95" s="62">
        <f ca="1">AVERAGE(OFFSET($EN$3,0,0,'Données projet'!$E$15+1,1))-AVERAGE(OFFSET($H$3,0,0,'Données projet'!$E$15+1,1))</f>
        <v>364.22267539944085</v>
      </c>
      <c r="EP95" s="62">
        <f t="shared" si="100"/>
        <v>241.947139538615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38.018091233361588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38.018091233361588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-1.7053025658242404E-13</v>
      </c>
      <c r="FF95" s="18">
        <f>FE95*VLOOKUP('Données projet'!$B$16,Paramètres!$A$1:$I$89,3,0)*VLOOKUP('Données projet'!$B$16,Paramètres!$A$1:$I$89,5,0)</f>
        <v>-1.4897523215040567E-13</v>
      </c>
      <c r="FG95" s="14" t="e">
        <f t="shared" si="101"/>
        <v>#NUM!</v>
      </c>
      <c r="FH95" s="22" t="e">
        <f t="shared" si="76"/>
        <v>#NUM!</v>
      </c>
      <c r="FI95" s="62" t="e">
        <f t="shared" si="77"/>
        <v>#NUM!</v>
      </c>
      <c r="FJ95" s="62">
        <f ca="1">AVERAGE(OFFSET($FI$3,0,0,'Données projet'!$E$16+1,1))-AVERAGE(OFFSET($H$3,0,0,'Données projet'!$E$16+1,1))</f>
        <v>286.59837239471312</v>
      </c>
      <c r="FK95" s="62">
        <f t="shared" si="102"/>
        <v>319.26091328564689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65.235545567375212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65.235545567375212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-1.7053025658242404E-13</v>
      </c>
      <c r="GA95" s="18">
        <f>FZ95*VLOOKUP('Données projet'!$B$17,Paramètres!$A$1:$I$89,3,0)*VLOOKUP('Données projet'!$B$17,Paramètres!$A$1:$I$89,5,0)</f>
        <v>-1.1439169611549005E-13</v>
      </c>
      <c r="GB95" s="14" t="e">
        <f t="shared" si="103"/>
        <v>#NUM!</v>
      </c>
      <c r="GC95" s="22" t="e">
        <f t="shared" si="79"/>
        <v>#NUM!</v>
      </c>
      <c r="GD95" s="62" t="e">
        <f t="shared" si="80"/>
        <v>#NUM!</v>
      </c>
      <c r="GE95" s="62">
        <f ca="1">AVERAGE(OFFSET($GD$3,0,0,'Données projet'!$E$17+1,1))-AVERAGE(OFFSET($H$3,0,0,'Données projet'!$E$17+1,1))</f>
        <v>277.37570531842186</v>
      </c>
      <c r="GF95" s="62">
        <f t="shared" si="104"/>
        <v>310.00874200911312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projet'!$B$17,Paramètres!$A$1:$I$89,3,0)*0.475*44/12</f>
        <v>76.604934641632738</v>
      </c>
      <c r="GM95" s="23">
        <f>EXP(-LN(2)/25)*GM94+(1-EXP(-LN(2)/25))/(LN(2)/25)*Calculateur!GH95*Calculateur!GJ95*VLOOKUP('Données projet'!$B$17,Paramètres!$A$1:$I$89,3,0)*0.475*44/12</f>
        <v>0</v>
      </c>
      <c r="GN95" s="23">
        <f>EXP(-LN(2)/2)*GN94+(1-EXP(-LN(2)/2))/(LN(2)/2)*GH95*GK95*VLOOKUP('Données projet'!$B$17,Paramètres!$A$1:$I$89,3,0)*0.475*44/12</f>
        <v>0</v>
      </c>
      <c r="GO95" s="23">
        <f t="shared" si="81"/>
        <v>76.604934641632738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6.1</v>
      </c>
      <c r="N96" s="14">
        <f>IF('Données projet'!$A$36&gt;35,N95+M96-V95,IF(A96&lt;'Données projet'!$A$36,$K$205^A96,IF(A96='Données projet'!$A$36,'Données projet'!$B$36,N95+M96-V95)))</f>
        <v>240.60000000000025</v>
      </c>
      <c r="O96" s="14">
        <f>N96*VLOOKUP('Données projet'!$B$9,Paramètres!$A$1:$I$89,3,0)*VLOOKUP('Données projet'!$B$9,Paramètres!$A$1:$I$89,5,0)</f>
        <v>210.18816000000027</v>
      </c>
      <c r="P96" s="14">
        <f t="shared" si="87"/>
        <v>51.976701248879607</v>
      </c>
      <c r="Q96" s="22">
        <f t="shared" si="54"/>
        <v>456.60380000846584</v>
      </c>
      <c r="R96" s="62">
        <f t="shared" si="55"/>
        <v>731.9319656803018</v>
      </c>
      <c r="S96" s="62">
        <f ca="1">AVERAGE(OFFSET($R$3,0,0,'Données projet'!$E$9+1,1))-AVERAGE(OFFSET($H$3,0,0,'Données projet'!$E$9+1,1))</f>
        <v>401.34220206028908</v>
      </c>
      <c r="T96" s="62">
        <f t="shared" si="88"/>
        <v>265.33314259106987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42.0819447695402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42.0819447695402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8.3000000000000007</v>
      </c>
      <c r="AI96" s="14">
        <f>IF('Données projet'!$A$62&gt;35,AI95+AH96-AQ95,IF(A96&lt;'Données projet'!$A$62,$AF$205^A96,IF(A96='Données projet'!$A$62,'Données projet'!$B$62,AI95+AH96-AQ95)))</f>
        <v>285.90000000000009</v>
      </c>
      <c r="AJ96" s="14">
        <f>AI96*VLOOKUP('Données projet'!$B$10,Paramètres!$A$1:$I$89,3,0)*VLOOKUP('Données projet'!$B$10,Paramètres!$A$1:$I$89,5,0)</f>
        <v>133.80120000000005</v>
      </c>
      <c r="AK96" s="14">
        <f t="shared" si="89"/>
        <v>34.873226323150838</v>
      </c>
      <c r="AL96" s="22">
        <f t="shared" si="58"/>
        <v>293.77462584615449</v>
      </c>
      <c r="AM96" s="62">
        <f t="shared" si="59"/>
        <v>569.10279151799045</v>
      </c>
      <c r="AN96" s="62">
        <f ca="1">AVERAGE(OFFSET($AM$3,0,0,'Données projet'!$E$10+1,1))-AVERAGE(OFFSET($H$3,0,0,'Données projet'!$E$10+1,1))</f>
        <v>253.48761861464732</v>
      </c>
      <c r="AO96" s="62">
        <f t="shared" si="90"/>
        <v>219.50855998133855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50.997188918638862</v>
      </c>
      <c r="AV96" s="23">
        <f>EXP(-LN(2)/25)*AV95+(1-EXP(-LN(2)/25))/(LN(2)/25)*Calculateur!AQ96*Calculateur!AS96*VLOOKUP('Données projet'!$B$10,Paramètres!$A$1:$I$89,3,0)*0.475*44/12</f>
        <v>11.06379733206794</v>
      </c>
      <c r="AW96" s="23">
        <f>EXP(-LN(2)/2)*AW95+(1-EXP(-LN(2)/2))/(LN(2)/2)*AQ96*AT96*VLOOKUP('Données projet'!$B$10,Paramètres!$A$1:$I$89,3,0)*0.475*44/12</f>
        <v>1.6308656610359378</v>
      </c>
      <c r="AX96" s="23">
        <f t="shared" si="60"/>
        <v>63.691851911742745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>
        <f>BD96*VLOOKUP('Données projet'!$B$11,Paramètres!$A$1:$I$89,3,0)*VLOOKUP('Données projet'!$B$11,Paramètres!$A$1:$I$89,5,0)</f>
        <v>0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482.85256243111911</v>
      </c>
      <c r="BJ96" s="62">
        <f t="shared" si="92"/>
        <v>517.78430032567064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61.554281418224413</v>
      </c>
      <c r="BQ96" s="23">
        <f>EXP(-LN(2)/25)*BQ95+(1-EXP(-LN(2)/25))/(LN(2)/25)*Calculateur!BL96*Calculateur!BN96*VLOOKUP('Données projet'!$B$11,Paramètres!$A$1:$I$89,3,0)*0.475*44/12</f>
        <v>12.063270917703072</v>
      </c>
      <c r="BR96" s="23">
        <f>EXP(-LN(2)/2)*BR95+(1-EXP(-LN(2)/2))/(LN(2)/2)*BL96*BO96*VLOOKUP('Données projet'!$B$11,Paramètres!$A$1:$I$89,3,0)*0.475*44/12</f>
        <v>6.2855711182410777E-4</v>
      </c>
      <c r="BS96" s="24">
        <f t="shared" si="63"/>
        <v>73.618180893039309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>
        <f>BY96*VLOOKUP('Données projet'!$B$12,Paramètres!$A$1:$I$89,3,0)*VLOOKUP('Données projet'!$B$12,Paramètres!$A$1:$I$89,5,0)</f>
        <v>0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275.76900776033335</v>
      </c>
      <c r="CE96" s="62">
        <f t="shared" si="94"/>
        <v>299.36898480605191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58.989519692465052</v>
      </c>
      <c r="CL96" s="23">
        <f>EXP(-LN(2)/25)*CL95+(1-EXP(-LN(2)/25))/(LN(2)/25)*Calculateur!CG96*Calculateur!CI96*VLOOKUP('Données projet'!$B$12,Paramètres!$A$1:$I$89,3,0)*0.475*44/12</f>
        <v>11.560634629465447</v>
      </c>
      <c r="CM96" s="23">
        <f>EXP(-LN(2)/2)*CM95+(1-EXP(-LN(2)/2))/(LN(2)/2)*CG96*CJ96*VLOOKUP('Données projet'!$B$12,Paramètres!$A$1:$I$89,3,0)*0.475*44/12</f>
        <v>6.0236723216476943E-4</v>
      </c>
      <c r="CN96" s="24">
        <f t="shared" si="66"/>
        <v>70.550756689162668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6.1</v>
      </c>
      <c r="CT96" s="13">
        <f>IF('Données projet'!$A$140&gt;35,CT95+CS96-DB95,IF(A96&lt;'Données projet'!$A$140,$CQ$205^A96,IF(A96='Données projet'!$A$140,'Données projet'!$B$140,CT95+CS96-DB95)))</f>
        <v>240.60000000000025</v>
      </c>
      <c r="CU96" s="18">
        <f>CT96*VLOOKUP('Données projet'!$B$13,Paramètres!$A$1:$I$89,3,0)*VLOOKUP('Données projet'!$B$13,Paramètres!$A$1:$I$89,5,0)</f>
        <v>262.73520000000025</v>
      </c>
      <c r="CV96" s="14">
        <f t="shared" si="95"/>
        <v>63.305056483189048</v>
      </c>
      <c r="CW96" s="22">
        <f t="shared" si="67"/>
        <v>567.85344670822133</v>
      </c>
      <c r="CX96" s="62">
        <f t="shared" si="68"/>
        <v>843.18161238005723</v>
      </c>
      <c r="CY96" s="62">
        <f ca="1">AVERAGE(OFFSET($CX$3,0,0,'Données projet'!$E$13+1,1))-AVERAGE(OFFSET($H$3,0,0,'Données projet'!$E$13+1,1))</f>
        <v>482.24068797679558</v>
      </c>
      <c r="CZ96" s="62">
        <f t="shared" si="96"/>
        <v>316.28941055521693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52.602430961925243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52.602430961925243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-1.7053025658242404E-13</v>
      </c>
      <c r="DP96" s="18">
        <f>DO96*VLOOKUP('Données projet'!$B$14,Paramètres!$A$1:$I$89,3,0)*VLOOKUP('Données projet'!$B$14,Paramètres!$A$1:$I$89,5,0)</f>
        <v>-1.383341441396624E-13</v>
      </c>
      <c r="DQ96" s="14" t="e">
        <f t="shared" si="97"/>
        <v>#NUM!</v>
      </c>
      <c r="DR96" s="22" t="e">
        <f t="shared" si="70"/>
        <v>#NUM!</v>
      </c>
      <c r="DS96" s="62" t="e">
        <f t="shared" si="71"/>
        <v>#NUM!</v>
      </c>
      <c r="DT96" s="62">
        <f ca="1">AVERAGE(OFFSET($DS$3,0,0,'Données projet'!$E$14+1,1))-AVERAGE(OFFSET($H$3,0,0,'Données projet'!$E$14+1,1))</f>
        <v>325.58538970226539</v>
      </c>
      <c r="DU96" s="62">
        <f t="shared" si="98"/>
        <v>361.81085660423457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73.685725416617998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73.685725416617998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4.8799999999999981</v>
      </c>
      <c r="EJ96" s="13">
        <f>IF('Données projet'!$A$192&gt;35,EJ95+EI96-ER95,IF(A96&lt;'Données projet'!$A$192,$EG$205^A96,IF(A96='Données projet'!$A$192,'Données projet'!$B$192,EJ95+EI96-ER95)))</f>
        <v>192.47999999999996</v>
      </c>
      <c r="EK96" s="18">
        <f>EJ96*VLOOKUP('Données projet'!$B$15,Paramètres!$A$1:$I$89,3,0)*VLOOKUP('Données projet'!$B$15,Paramètres!$A$1:$I$89,5,0)</f>
        <v>186.16665599999999</v>
      </c>
      <c r="EL96" s="14">
        <f t="shared" si="99"/>
        <v>46.691452223416839</v>
      </c>
      <c r="EM96" s="22">
        <f t="shared" si="73"/>
        <v>405.56120515578431</v>
      </c>
      <c r="EN96" s="62">
        <f t="shared" si="74"/>
        <v>680.88937082762027</v>
      </c>
      <c r="EO96" s="62">
        <f ca="1">AVERAGE(OFFSET($EN$3,0,0,'Données projet'!$E$15+1,1))-AVERAGE(OFFSET($H$3,0,0,'Données projet'!$E$15+1,1))</f>
        <v>364.22267539944085</v>
      </c>
      <c r="EP96" s="62">
        <f t="shared" si="100"/>
        <v>241.947139538615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37.272579653021324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37.272579653021324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-1.7053025658242404E-13</v>
      </c>
      <c r="FF96" s="18">
        <f>FE96*VLOOKUP('Données projet'!$B$16,Paramètres!$A$1:$I$89,3,0)*VLOOKUP('Données projet'!$B$16,Paramètres!$A$1:$I$89,5,0)</f>
        <v>-1.4897523215040567E-13</v>
      </c>
      <c r="FG96" s="14" t="e">
        <f t="shared" si="101"/>
        <v>#NUM!</v>
      </c>
      <c r="FH96" s="22" t="e">
        <f t="shared" si="76"/>
        <v>#NUM!</v>
      </c>
      <c r="FI96" s="62" t="e">
        <f t="shared" si="77"/>
        <v>#NUM!</v>
      </c>
      <c r="FJ96" s="62">
        <f ca="1">AVERAGE(OFFSET($FI$3,0,0,'Données projet'!$E$16+1,1))-AVERAGE(OFFSET($H$3,0,0,'Données projet'!$E$16+1,1))</f>
        <v>286.59837239471312</v>
      </c>
      <c r="FK96" s="62">
        <f t="shared" si="102"/>
        <v>319.26091328564689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63.956316308552871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63.956316308552871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-1.7053025658242404E-13</v>
      </c>
      <c r="GA96" s="18">
        <f>FZ96*VLOOKUP('Données projet'!$B$17,Paramètres!$A$1:$I$89,3,0)*VLOOKUP('Données projet'!$B$17,Paramètres!$A$1:$I$89,5,0)</f>
        <v>-1.1439169611549005E-13</v>
      </c>
      <c r="GB96" s="14" t="e">
        <f t="shared" si="103"/>
        <v>#NUM!</v>
      </c>
      <c r="GC96" s="22" t="e">
        <f t="shared" si="79"/>
        <v>#NUM!</v>
      </c>
      <c r="GD96" s="62" t="e">
        <f t="shared" si="80"/>
        <v>#NUM!</v>
      </c>
      <c r="GE96" s="62">
        <f ca="1">AVERAGE(OFFSET($GD$3,0,0,'Données projet'!$E$17+1,1))-AVERAGE(OFFSET($H$3,0,0,'Données projet'!$E$17+1,1))</f>
        <v>277.37570531842186</v>
      </c>
      <c r="GF96" s="62">
        <f t="shared" si="104"/>
        <v>310.00874200911312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projet'!$B$17,Paramètres!$A$1:$I$89,3,0)*0.475*44/12</f>
        <v>75.102758597706796</v>
      </c>
      <c r="GM96" s="23">
        <f>EXP(-LN(2)/25)*GM95+(1-EXP(-LN(2)/25))/(LN(2)/25)*Calculateur!GH96*Calculateur!GJ96*VLOOKUP('Données projet'!$B$17,Paramètres!$A$1:$I$89,3,0)*0.475*44/12</f>
        <v>0</v>
      </c>
      <c r="GN96" s="23">
        <f>EXP(-LN(2)/2)*GN95+(1-EXP(-LN(2)/2))/(LN(2)/2)*GH96*GK96*VLOOKUP('Données projet'!$B$17,Paramètres!$A$1:$I$89,3,0)*0.475*44/12</f>
        <v>0</v>
      </c>
      <c r="GO96" s="23">
        <f t="shared" si="81"/>
        <v>75.102758597706796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6.1</v>
      </c>
      <c r="N97" s="14">
        <f>IF('Données projet'!$A$36&gt;35,N96+M97-V96,IF(A97&lt;'Données projet'!$A$36,$K$205^A97,IF(A97='Données projet'!$A$36,'Données projet'!$B$36,N96+M97-V96)))</f>
        <v>246.70000000000024</v>
      </c>
      <c r="O97" s="14">
        <f>N97*VLOOKUP('Données projet'!$B$9,Paramètres!$A$1:$I$89,3,0)*VLOOKUP('Données projet'!$B$9,Paramètres!$A$1:$I$89,5,0)</f>
        <v>215.51712000000026</v>
      </c>
      <c r="P97" s="14">
        <f t="shared" si="87"/>
        <v>53.1393895590979</v>
      </c>
      <c r="Q97" s="22">
        <f t="shared" si="54"/>
        <v>467.91008748209589</v>
      </c>
      <c r="R97" s="62">
        <f t="shared" si="55"/>
        <v>743.55060255933438</v>
      </c>
      <c r="S97" s="62">
        <f ca="1">AVERAGE(OFFSET($R$3,0,0,'Données projet'!$E$9+1,1))-AVERAGE(OFFSET($H$3,0,0,'Données projet'!$E$9+1,1))</f>
        <v>401.34220206028908</v>
      </c>
      <c r="T97" s="62">
        <f t="shared" si="88"/>
        <v>265.33314259106987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41.256743500061376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41.256743500061376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8.3000000000000007</v>
      </c>
      <c r="AI97" s="14">
        <f>IF('Données projet'!$A$62&gt;35,AI96+AH97-AQ96,IF(A97&lt;'Données projet'!$A$62,$AF$205^A97,IF(A97='Données projet'!$A$62,'Données projet'!$B$62,AI96+AH97-AQ96)))</f>
        <v>294.2000000000001</v>
      </c>
      <c r="AJ97" s="14">
        <f>AI97*VLOOKUP('Données projet'!$B$10,Paramètres!$A$1:$I$89,3,0)*VLOOKUP('Données projet'!$B$10,Paramètres!$A$1:$I$89,5,0)</f>
        <v>137.68560000000005</v>
      </c>
      <c r="AK97" s="14">
        <f t="shared" si="89"/>
        <v>35.766295671413211</v>
      </c>
      <c r="AL97" s="22">
        <f t="shared" si="58"/>
        <v>302.09538496104477</v>
      </c>
      <c r="AM97" s="62">
        <f t="shared" si="59"/>
        <v>577.73590003828326</v>
      </c>
      <c r="AN97" s="62">
        <f ca="1">AVERAGE(OFFSET($AM$3,0,0,'Données projet'!$E$10+1,1))-AVERAGE(OFFSET($H$3,0,0,'Données projet'!$E$10+1,1))</f>
        <v>253.48761861464732</v>
      </c>
      <c r="AO97" s="62">
        <f t="shared" si="90"/>
        <v>219.50855998133855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49.997165149158207</v>
      </c>
      <c r="AV97" s="23">
        <f>EXP(-LN(2)/25)*AV96+(1-EXP(-LN(2)/25))/(LN(2)/25)*Calculateur!AQ97*Calculateur!AS97*VLOOKUP('Données projet'!$B$10,Paramètres!$A$1:$I$89,3,0)*0.475*44/12</f>
        <v>10.761257212202727</v>
      </c>
      <c r="AW97" s="23">
        <f>EXP(-LN(2)/2)*AW96+(1-EXP(-LN(2)/2))/(LN(2)/2)*AQ97*AT97*VLOOKUP('Données projet'!$B$10,Paramètres!$A$1:$I$89,3,0)*0.475*44/12</f>
        <v>1.1531961681227931</v>
      </c>
      <c r="AX97" s="23">
        <f t="shared" si="60"/>
        <v>61.911618529483725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>
        <f>BD97*VLOOKUP('Données projet'!$B$11,Paramètres!$A$1:$I$89,3,0)*VLOOKUP('Données projet'!$B$11,Paramètres!$A$1:$I$89,5,0)</f>
        <v>0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482.85256243111911</v>
      </c>
      <c r="BJ97" s="62">
        <f t="shared" si="92"/>
        <v>517.78430032567064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60.347239504017494</v>
      </c>
      <c r="BQ97" s="23">
        <f>EXP(-LN(2)/25)*BQ96+(1-EXP(-LN(2)/25))/(LN(2)/25)*Calculateur!BL97*Calculateur!BN97*VLOOKUP('Données projet'!$B$11,Paramètres!$A$1:$I$89,3,0)*0.475*44/12</f>
        <v>11.733400140078635</v>
      </c>
      <c r="BR97" s="23">
        <f>EXP(-LN(2)/2)*BR96+(1-EXP(-LN(2)/2))/(LN(2)/2)*BL97*BO97*VLOOKUP('Données projet'!$B$11,Paramètres!$A$1:$I$89,3,0)*0.475*44/12</f>
        <v>4.4445699613385767E-4</v>
      </c>
      <c r="BS97" s="24">
        <f t="shared" si="63"/>
        <v>72.081084101092259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>
        <f>BY97*VLOOKUP('Données projet'!$B$12,Paramètres!$A$1:$I$89,3,0)*VLOOKUP('Données projet'!$B$12,Paramètres!$A$1:$I$89,5,0)</f>
        <v>0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275.76900776033335</v>
      </c>
      <c r="CE97" s="62">
        <f t="shared" si="94"/>
        <v>299.36898480605191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57.832771191350091</v>
      </c>
      <c r="CL97" s="23">
        <f>EXP(-LN(2)/25)*CL96+(1-EXP(-LN(2)/25))/(LN(2)/25)*Calculateur!CG97*Calculateur!CI97*VLOOKUP('Données projet'!$B$12,Paramètres!$A$1:$I$89,3,0)*0.475*44/12</f>
        <v>11.244508467575361</v>
      </c>
      <c r="CM97" s="23">
        <f>EXP(-LN(2)/2)*CM96+(1-EXP(-LN(2)/2))/(LN(2)/2)*CG97*CJ97*VLOOKUP('Données projet'!$B$12,Paramètres!$A$1:$I$89,3,0)*0.475*44/12</f>
        <v>4.2593795462827989E-4</v>
      </c>
      <c r="CN97" s="24">
        <f t="shared" si="66"/>
        <v>69.077705596880079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6.1</v>
      </c>
      <c r="CT97" s="13">
        <f>IF('Données projet'!$A$140&gt;35,CT96+CS97-DB96,IF(A97&lt;'Données projet'!$A$140,$CQ$205^A97,IF(A97='Données projet'!$A$140,'Données projet'!$B$140,CT96+CS97-DB96)))</f>
        <v>246.70000000000024</v>
      </c>
      <c r="CU97" s="18">
        <f>CT97*VLOOKUP('Données projet'!$B$13,Paramètres!$A$1:$I$89,3,0)*VLOOKUP('Données projet'!$B$13,Paramètres!$A$1:$I$89,5,0)</f>
        <v>269.39640000000026</v>
      </c>
      <c r="CV97" s="14">
        <f t="shared" si="95"/>
        <v>64.721153453219486</v>
      </c>
      <c r="CW97" s="22">
        <f t="shared" si="67"/>
        <v>581.92140559769098</v>
      </c>
      <c r="CX97" s="62">
        <f t="shared" si="68"/>
        <v>857.56192067492952</v>
      </c>
      <c r="CY97" s="62">
        <f ca="1">AVERAGE(OFFSET($CX$3,0,0,'Données projet'!$E$13+1,1))-AVERAGE(OFFSET($H$3,0,0,'Données projet'!$E$13+1,1))</f>
        <v>482.24068797679558</v>
      </c>
      <c r="CZ97" s="62">
        <f t="shared" si="96"/>
        <v>316.28941055521693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51.570929375076716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51.570929375076716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-1.7053025658242404E-13</v>
      </c>
      <c r="DP97" s="18">
        <f>DO97*VLOOKUP('Données projet'!$B$14,Paramètres!$A$1:$I$89,3,0)*VLOOKUP('Données projet'!$B$14,Paramètres!$A$1:$I$89,5,0)</f>
        <v>-1.383341441396624E-13</v>
      </c>
      <c r="DQ97" s="14" t="e">
        <f t="shared" si="97"/>
        <v>#NUM!</v>
      </c>
      <c r="DR97" s="22" t="e">
        <f t="shared" si="70"/>
        <v>#NUM!</v>
      </c>
      <c r="DS97" s="62" t="e">
        <f t="shared" si="71"/>
        <v>#NUM!</v>
      </c>
      <c r="DT97" s="62">
        <f ca="1">AVERAGE(OFFSET($DS$3,0,0,'Données projet'!$E$14+1,1))-AVERAGE(OFFSET($H$3,0,0,'Données projet'!$E$14+1,1))</f>
        <v>325.58538970226539</v>
      </c>
      <c r="DU97" s="62">
        <f t="shared" si="98"/>
        <v>361.81085660423457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72.240793285052789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72.240793285052789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4.8799999999999981</v>
      </c>
      <c r="EJ97" s="13">
        <f>IF('Données projet'!$A$192&gt;35,EJ96+EI97-ER96,IF(A97&lt;'Données projet'!$A$192,$EG$205^A97,IF(A97='Données projet'!$A$192,'Données projet'!$B$192,EJ96+EI97-ER96)))</f>
        <v>197.35999999999996</v>
      </c>
      <c r="EK97" s="18">
        <f>EJ97*VLOOKUP('Données projet'!$B$15,Paramètres!$A$1:$I$89,3,0)*VLOOKUP('Données projet'!$B$15,Paramètres!$A$1:$I$89,5,0)</f>
        <v>190.88659199999998</v>
      </c>
      <c r="EL97" s="14">
        <f t="shared" si="99"/>
        <v>47.735912613993335</v>
      </c>
      <c r="EM97" s="22">
        <f t="shared" si="73"/>
        <v>415.600862202705</v>
      </c>
      <c r="EN97" s="62">
        <f t="shared" si="74"/>
        <v>691.24137727994344</v>
      </c>
      <c r="EO97" s="62">
        <f ca="1">AVERAGE(OFFSET($EN$3,0,0,'Données projet'!$E$15+1,1))-AVERAGE(OFFSET($H$3,0,0,'Données projet'!$E$15+1,1))</f>
        <v>364.22267539944085</v>
      </c>
      <c r="EP97" s="62">
        <f t="shared" si="100"/>
        <v>241.947139538615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36.541687100054368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36.541687100054368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-1.7053025658242404E-13</v>
      </c>
      <c r="FF97" s="18">
        <f>FE97*VLOOKUP('Données projet'!$B$16,Paramètres!$A$1:$I$89,3,0)*VLOOKUP('Données projet'!$B$16,Paramètres!$A$1:$I$89,5,0)</f>
        <v>-1.4897523215040567E-13</v>
      </c>
      <c r="FG97" s="14" t="e">
        <f t="shared" si="101"/>
        <v>#NUM!</v>
      </c>
      <c r="FH97" s="22" t="e">
        <f t="shared" si="76"/>
        <v>#NUM!</v>
      </c>
      <c r="FI97" s="62" t="e">
        <f t="shared" si="77"/>
        <v>#NUM!</v>
      </c>
      <c r="FJ97" s="62">
        <f ca="1">AVERAGE(OFFSET($FI$3,0,0,'Données projet'!$E$16+1,1))-AVERAGE(OFFSET($H$3,0,0,'Données projet'!$E$16+1,1))</f>
        <v>286.59837239471312</v>
      </c>
      <c r="FK97" s="62">
        <f t="shared" si="102"/>
        <v>319.26091328564689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62.70217195524323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62.70217195524323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-1.7053025658242404E-13</v>
      </c>
      <c r="GA97" s="18">
        <f>FZ97*VLOOKUP('Données projet'!$B$17,Paramètres!$A$1:$I$89,3,0)*VLOOKUP('Données projet'!$B$17,Paramètres!$A$1:$I$89,5,0)</f>
        <v>-1.1439169611549005E-13</v>
      </c>
      <c r="GB97" s="14" t="e">
        <f t="shared" si="103"/>
        <v>#NUM!</v>
      </c>
      <c r="GC97" s="22" t="e">
        <f t="shared" si="79"/>
        <v>#NUM!</v>
      </c>
      <c r="GD97" s="62" t="e">
        <f t="shared" si="80"/>
        <v>#NUM!</v>
      </c>
      <c r="GE97" s="62">
        <f ca="1">AVERAGE(OFFSET($GD$3,0,0,'Données projet'!$E$17+1,1))-AVERAGE(OFFSET($H$3,0,0,'Données projet'!$E$17+1,1))</f>
        <v>277.37570531842186</v>
      </c>
      <c r="GF97" s="62">
        <f t="shared" si="104"/>
        <v>310.00874200911312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projet'!$B$17,Paramètres!$A$1:$I$89,3,0)*0.475*44/12</f>
        <v>73.630039309765337</v>
      </c>
      <c r="GM97" s="23">
        <f>EXP(-LN(2)/25)*GM96+(1-EXP(-LN(2)/25))/(LN(2)/25)*Calculateur!GH97*Calculateur!GJ97*VLOOKUP('Données projet'!$B$17,Paramètres!$A$1:$I$89,3,0)*0.475*44/12</f>
        <v>0</v>
      </c>
      <c r="GN97" s="23">
        <f>EXP(-LN(2)/2)*GN96+(1-EXP(-LN(2)/2))/(LN(2)/2)*GH97*GK97*VLOOKUP('Données projet'!$B$17,Paramètres!$A$1:$I$89,3,0)*0.475*44/12</f>
        <v>0</v>
      </c>
      <c r="GO97" s="23">
        <f t="shared" si="81"/>
        <v>73.630039309765337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6.1</v>
      </c>
      <c r="N98" s="14">
        <f>IF('Données projet'!$A$36&gt;35,N97+M98-V97,IF(A98&lt;'Données projet'!$A$36,$K$205^A98,IF(A98='Données projet'!$A$36,'Données projet'!$B$36,N97+M98-V97)))</f>
        <v>252.80000000000024</v>
      </c>
      <c r="O98" s="14">
        <f>N98*VLOOKUP('Données projet'!$B$9,Paramètres!$A$1:$I$89,3,0)*VLOOKUP('Données projet'!$B$9,Paramètres!$A$1:$I$89,5,0)</f>
        <v>220.84608000000026</v>
      </c>
      <c r="P98" s="14">
        <f t="shared" si="87"/>
        <v>54.298735927296114</v>
      </c>
      <c r="Q98" s="22">
        <f t="shared" si="54"/>
        <v>479.21055440670779</v>
      </c>
      <c r="R98" s="62">
        <f t="shared" si="55"/>
        <v>755.15800032547372</v>
      </c>
      <c r="S98" s="62">
        <f ca="1">AVERAGE(OFFSET($R$3,0,0,'Données projet'!$E$9+1,1))-AVERAGE(OFFSET($H$3,0,0,'Données projet'!$E$9+1,1))</f>
        <v>401.34220206028908</v>
      </c>
      <c r="T98" s="62">
        <f t="shared" si="88"/>
        <v>265.33314259106987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40.447723924153955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40.447723924153955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8.3000000000000007</v>
      </c>
      <c r="AI98" s="14">
        <f>IF('Données projet'!$A$62&gt;35,AI97+AH98-AQ97,IF(A98&lt;'Données projet'!$A$62,$AF$205^A98,IF(A98='Données projet'!$A$62,'Données projet'!$B$62,AI97+AH98-AQ97)))</f>
        <v>302.50000000000011</v>
      </c>
      <c r="AJ98" s="14">
        <f>AI98*VLOOKUP('Données projet'!$B$10,Paramètres!$A$1:$I$89,3,0)*VLOOKUP('Données projet'!$B$10,Paramètres!$A$1:$I$89,5,0)</f>
        <v>141.57000000000005</v>
      </c>
      <c r="AK98" s="14">
        <f t="shared" si="89"/>
        <v>36.656436679164102</v>
      </c>
      <c r="AL98" s="22">
        <f t="shared" si="58"/>
        <v>310.41104388287755</v>
      </c>
      <c r="AM98" s="62">
        <f t="shared" si="59"/>
        <v>586.35848980164349</v>
      </c>
      <c r="AN98" s="62">
        <f ca="1">AVERAGE(OFFSET($AM$3,0,0,'Données projet'!$E$10+1,1))-AVERAGE(OFFSET($H$3,0,0,'Données projet'!$E$10+1,1))</f>
        <v>253.48761861464732</v>
      </c>
      <c r="AO98" s="62">
        <f t="shared" si="90"/>
        <v>219.50855998133855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49.016751235842797</v>
      </c>
      <c r="AV98" s="23">
        <f>EXP(-LN(2)/25)*AV97+(1-EXP(-LN(2)/25))/(LN(2)/25)*Calculateur!AQ98*Calculateur!AS98*VLOOKUP('Données projet'!$B$10,Paramètres!$A$1:$I$89,3,0)*0.475*44/12</f>
        <v>10.466990067825122</v>
      </c>
      <c r="AW98" s="23">
        <f>EXP(-LN(2)/2)*AW97+(1-EXP(-LN(2)/2))/(LN(2)/2)*AQ98*AT98*VLOOKUP('Données projet'!$B$10,Paramètres!$A$1:$I$89,3,0)*0.475*44/12</f>
        <v>0.815432830517969</v>
      </c>
      <c r="AX98" s="23">
        <f t="shared" si="60"/>
        <v>60.29917413418589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>
        <f>BD98*VLOOKUP('Données projet'!$B$11,Paramètres!$A$1:$I$89,3,0)*VLOOKUP('Données projet'!$B$11,Paramètres!$A$1:$I$89,5,0)</f>
        <v>0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482.85256243111911</v>
      </c>
      <c r="BJ98" s="62">
        <f t="shared" si="92"/>
        <v>517.78430032567064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59.163866945525299</v>
      </c>
      <c r="BQ98" s="23">
        <f>EXP(-LN(2)/25)*BQ97+(1-EXP(-LN(2)/25))/(LN(2)/25)*Calculateur!BL98*Calculateur!BN98*VLOOKUP('Données projet'!$B$11,Paramètres!$A$1:$I$89,3,0)*0.475*44/12</f>
        <v>11.412549696215487</v>
      </c>
      <c r="BR98" s="23">
        <f>EXP(-LN(2)/2)*BR97+(1-EXP(-LN(2)/2))/(LN(2)/2)*BL98*BO98*VLOOKUP('Données projet'!$B$11,Paramètres!$A$1:$I$89,3,0)*0.475*44/12</f>
        <v>3.1427855591205389E-4</v>
      </c>
      <c r="BS98" s="24">
        <f t="shared" si="63"/>
        <v>70.576730920296711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>
        <f>BY98*VLOOKUP('Données projet'!$B$12,Paramètres!$A$1:$I$89,3,0)*VLOOKUP('Données projet'!$B$12,Paramètres!$A$1:$I$89,5,0)</f>
        <v>0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275.76900776033335</v>
      </c>
      <c r="CE98" s="62">
        <f t="shared" si="94"/>
        <v>299.36898480605191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56.698705822795077</v>
      </c>
      <c r="CL98" s="23">
        <f>EXP(-LN(2)/25)*CL97+(1-EXP(-LN(2)/25))/(LN(2)/25)*Calculateur!CG98*Calculateur!CI98*VLOOKUP('Données projet'!$B$12,Paramètres!$A$1:$I$89,3,0)*0.475*44/12</f>
        <v>10.937026792206513</v>
      </c>
      <c r="CM98" s="23">
        <f>EXP(-LN(2)/2)*CM97+(1-EXP(-LN(2)/2))/(LN(2)/2)*CG98*CJ98*VLOOKUP('Données projet'!$B$12,Paramètres!$A$1:$I$89,3,0)*0.475*44/12</f>
        <v>3.0118361608238471E-4</v>
      </c>
      <c r="CN98" s="24">
        <f t="shared" si="66"/>
        <v>67.636033798617675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6.1</v>
      </c>
      <c r="CT98" s="13">
        <f>IF('Données projet'!$A$140&gt;35,CT97+CS98-DB97,IF(A98&lt;'Données projet'!$A$140,$CQ$205^A98,IF(A98='Données projet'!$A$140,'Données projet'!$B$140,CT97+CS98-DB97)))</f>
        <v>252.80000000000024</v>
      </c>
      <c r="CU98" s="18">
        <f>CT98*VLOOKUP('Données projet'!$B$13,Paramètres!$A$1:$I$89,3,0)*VLOOKUP('Données projet'!$B$13,Paramètres!$A$1:$I$89,5,0)</f>
        <v>276.05760000000026</v>
      </c>
      <c r="CV98" s="14">
        <f t="shared" si="95"/>
        <v>66.133180102831929</v>
      </c>
      <c r="CW98" s="22">
        <f t="shared" si="67"/>
        <v>595.98227534576597</v>
      </c>
      <c r="CX98" s="62">
        <f t="shared" si="68"/>
        <v>871.92972126453196</v>
      </c>
      <c r="CY98" s="62">
        <f ca="1">AVERAGE(OFFSET($CX$3,0,0,'Données projet'!$E$13+1,1))-AVERAGE(OFFSET($H$3,0,0,'Données projet'!$E$13+1,1))</f>
        <v>482.24068797679558</v>
      </c>
      <c r="CZ98" s="62">
        <f t="shared" si="96"/>
        <v>316.28941055521693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50.559654905192438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50.559654905192438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-1.7053025658242404E-13</v>
      </c>
      <c r="DP98" s="18">
        <f>DO98*VLOOKUP('Données projet'!$B$14,Paramètres!$A$1:$I$89,3,0)*VLOOKUP('Données projet'!$B$14,Paramètres!$A$1:$I$89,5,0)</f>
        <v>-1.383341441396624E-13</v>
      </c>
      <c r="DQ98" s="14" t="e">
        <f t="shared" si="97"/>
        <v>#NUM!</v>
      </c>
      <c r="DR98" s="22" t="e">
        <f t="shared" si="70"/>
        <v>#NUM!</v>
      </c>
      <c r="DS98" s="62" t="e">
        <f t="shared" si="71"/>
        <v>#NUM!</v>
      </c>
      <c r="DT98" s="62">
        <f ca="1">AVERAGE(OFFSET($DS$3,0,0,'Données projet'!$E$14+1,1))-AVERAGE(OFFSET($H$3,0,0,'Données projet'!$E$14+1,1))</f>
        <v>325.58538970226539</v>
      </c>
      <c r="DU98" s="62">
        <f t="shared" si="98"/>
        <v>361.81085660423457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70.824195391265988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70.824195391265988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4.8799999999999981</v>
      </c>
      <c r="EJ98" s="13">
        <f>IF('Données projet'!$A$192&gt;35,EJ97+EI98-ER97,IF(A98&lt;'Données projet'!$A$192,$EG$205^A98,IF(A98='Données projet'!$A$192,'Données projet'!$B$192,EJ97+EI98-ER97)))</f>
        <v>202.23999999999995</v>
      </c>
      <c r="EK98" s="18">
        <f>EJ98*VLOOKUP('Données projet'!$B$15,Paramètres!$A$1:$I$89,3,0)*VLOOKUP('Données projet'!$B$15,Paramètres!$A$1:$I$89,5,0)</f>
        <v>195.60652799999997</v>
      </c>
      <c r="EL98" s="14">
        <f t="shared" si="99"/>
        <v>48.777370887805645</v>
      </c>
      <c r="EM98" s="22">
        <f t="shared" si="73"/>
        <v>425.63529056292811</v>
      </c>
      <c r="EN98" s="62">
        <f t="shared" si="74"/>
        <v>701.58273648169404</v>
      </c>
      <c r="EO98" s="62">
        <f ca="1">AVERAGE(OFFSET($EN$3,0,0,'Données projet'!$E$15+1,1))-AVERAGE(OFFSET($H$3,0,0,'Données projet'!$E$15+1,1))</f>
        <v>364.22267539944085</v>
      </c>
      <c r="EP98" s="62">
        <f t="shared" si="100"/>
        <v>241.947139538615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35.825126904250652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35.825126904250652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-1.7053025658242404E-13</v>
      </c>
      <c r="FF98" s="18">
        <f>FE98*VLOOKUP('Données projet'!$B$16,Paramètres!$A$1:$I$89,3,0)*VLOOKUP('Données projet'!$B$16,Paramètres!$A$1:$I$89,5,0)</f>
        <v>-1.4897523215040567E-13</v>
      </c>
      <c r="FG98" s="14" t="e">
        <f t="shared" si="101"/>
        <v>#NUM!</v>
      </c>
      <c r="FH98" s="22" t="e">
        <f t="shared" si="76"/>
        <v>#NUM!</v>
      </c>
      <c r="FI98" s="62" t="e">
        <f t="shared" si="77"/>
        <v>#NUM!</v>
      </c>
      <c r="FJ98" s="62">
        <f ca="1">AVERAGE(OFFSET($FI$3,0,0,'Données projet'!$E$16+1,1))-AVERAGE(OFFSET($H$3,0,0,'Données projet'!$E$16+1,1))</f>
        <v>286.59837239471312</v>
      </c>
      <c r="FK98" s="62">
        <f t="shared" si="102"/>
        <v>319.26091328564689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61.472620607749469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61.472620607749469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-1.7053025658242404E-13</v>
      </c>
      <c r="GA98" s="18">
        <f>FZ98*VLOOKUP('Données projet'!$B$17,Paramètres!$A$1:$I$89,3,0)*VLOOKUP('Données projet'!$B$17,Paramètres!$A$1:$I$89,5,0)</f>
        <v>-1.1439169611549005E-13</v>
      </c>
      <c r="GB98" s="14" t="e">
        <f t="shared" si="103"/>
        <v>#NUM!</v>
      </c>
      <c r="GC98" s="22" t="e">
        <f t="shared" si="79"/>
        <v>#NUM!</v>
      </c>
      <c r="GD98" s="62" t="e">
        <f t="shared" si="80"/>
        <v>#NUM!</v>
      </c>
      <c r="GE98" s="62">
        <f ca="1">AVERAGE(OFFSET($GD$3,0,0,'Données projet'!$E$17+1,1))-AVERAGE(OFFSET($H$3,0,0,'Données projet'!$E$17+1,1))</f>
        <v>277.37570531842186</v>
      </c>
      <c r="GF98" s="62">
        <f t="shared" si="104"/>
        <v>310.00874200911312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projet'!$B$17,Paramètres!$A$1:$I$89,3,0)*0.475*44/12</f>
        <v>72.186199148790337</v>
      </c>
      <c r="GM98" s="23">
        <f>EXP(-LN(2)/25)*GM97+(1-EXP(-LN(2)/25))/(LN(2)/25)*Calculateur!GH98*Calculateur!GJ98*VLOOKUP('Données projet'!$B$17,Paramètres!$A$1:$I$89,3,0)*0.475*44/12</f>
        <v>0</v>
      </c>
      <c r="GN98" s="23">
        <f>EXP(-LN(2)/2)*GN97+(1-EXP(-LN(2)/2))/(LN(2)/2)*GH98*GK98*VLOOKUP('Données projet'!$B$17,Paramètres!$A$1:$I$89,3,0)*0.475*44/12</f>
        <v>0</v>
      </c>
      <c r="GO98" s="23">
        <f t="shared" si="81"/>
        <v>72.186199148790337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6.1</v>
      </c>
      <c r="N99" s="14">
        <f>IF('Données projet'!$A$36&gt;35,N98+M99-V98,IF(A99&lt;'Données projet'!$A$36,$K$205^A99,IF(A99='Données projet'!$A$36,'Données projet'!$B$36,N98+M99-V98)))</f>
        <v>258.90000000000026</v>
      </c>
      <c r="O99" s="14">
        <f>N99*VLOOKUP('Données projet'!$B$9,Paramètres!$A$1:$I$89,3,0)*VLOOKUP('Données projet'!$B$9,Paramètres!$A$1:$I$89,5,0)</f>
        <v>226.17504000000025</v>
      </c>
      <c r="P99" s="14">
        <f t="shared" si="87"/>
        <v>55.454830271544111</v>
      </c>
      <c r="Q99" s="22">
        <f t="shared" ref="Q99:Q130" si="107">(O99+P99)*0.475*44/12</f>
        <v>490.50535738960639</v>
      </c>
      <c r="R99" s="62">
        <f t="shared" si="55"/>
        <v>766.75440958599381</v>
      </c>
      <c r="S99" s="62">
        <f ca="1">AVERAGE(OFFSET($R$3,0,0,'Données projet'!$E$9+1,1))-AVERAGE(OFFSET($H$3,0,0,'Données projet'!$E$9+1,1))</f>
        <v>401.34220206028908</v>
      </c>
      <c r="T99" s="62">
        <f t="shared" si="88"/>
        <v>265.33314259106987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39.654568728676864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39.654568728676864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8.3000000000000007</v>
      </c>
      <c r="AI99" s="14">
        <f>IF('Données projet'!$A$62&gt;35,AI98+AH99-AQ98,IF(A99&lt;'Données projet'!$A$62,$AF$205^A99,IF(A99='Données projet'!$A$62,'Données projet'!$B$62,AI98+AH99-AQ98)))</f>
        <v>310.80000000000013</v>
      </c>
      <c r="AJ99" s="14">
        <f>AI99*VLOOKUP('Données projet'!$B$10,Paramètres!$A$1:$I$89,3,0)*VLOOKUP('Données projet'!$B$10,Paramètres!$A$1:$I$89,5,0)</f>
        <v>145.45440000000008</v>
      </c>
      <c r="AK99" s="14">
        <f t="shared" si="89"/>
        <v>37.543738926424979</v>
      </c>
      <c r="AL99" s="22">
        <f t="shared" si="58"/>
        <v>318.72175863019027</v>
      </c>
      <c r="AM99" s="62">
        <f t="shared" si="59"/>
        <v>594.97081082657769</v>
      </c>
      <c r="AN99" s="62">
        <f ca="1">AVERAGE(OFFSET($AM$3,0,0,'Données projet'!$E$10+1,1))-AVERAGE(OFFSET($H$3,0,0,'Données projet'!$E$10+1,1))</f>
        <v>253.48761861464732</v>
      </c>
      <c r="AO99" s="62">
        <f t="shared" si="90"/>
        <v>219.50855998133855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48.055562641374067</v>
      </c>
      <c r="AV99" s="23">
        <f>EXP(-LN(2)/25)*AV98+(1-EXP(-LN(2)/25))/(LN(2)/25)*Calculateur!AQ99*Calculateur!AS99*VLOOKUP('Données projet'!$B$10,Paramètres!$A$1:$I$89,3,0)*0.475*44/12</f>
        <v>10.18076967398536</v>
      </c>
      <c r="AW99" s="23">
        <f>EXP(-LN(2)/2)*AW98+(1-EXP(-LN(2)/2))/(LN(2)/2)*AQ99*AT99*VLOOKUP('Données projet'!$B$10,Paramètres!$A$1:$I$89,3,0)*0.475*44/12</f>
        <v>0.57659808406139668</v>
      </c>
      <c r="AX99" s="23">
        <f t="shared" si="60"/>
        <v>58.812930399420821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>
        <f>BD99*VLOOKUP('Données projet'!$B$11,Paramètres!$A$1:$I$89,3,0)*VLOOKUP('Données projet'!$B$11,Paramètres!$A$1:$I$89,5,0)</f>
        <v>0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482.85256243111911</v>
      </c>
      <c r="BJ99" s="62">
        <f t="shared" si="92"/>
        <v>517.78430032567064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58.003699601119152</v>
      </c>
      <c r="BQ99" s="23">
        <f>EXP(-LN(2)/25)*BQ98+(1-EXP(-LN(2)/25))/(LN(2)/25)*Calculateur!BL99*Calculateur!BN99*VLOOKUP('Données projet'!$B$11,Paramètres!$A$1:$I$89,3,0)*0.475*44/12</f>
        <v>11.10047292461257</v>
      </c>
      <c r="BR99" s="23">
        <f>EXP(-LN(2)/2)*BR98+(1-EXP(-LN(2)/2))/(LN(2)/2)*BL99*BO99*VLOOKUP('Données projet'!$B$11,Paramètres!$A$1:$I$89,3,0)*0.475*44/12</f>
        <v>2.2222849806692883E-4</v>
      </c>
      <c r="BS99" s="24">
        <f t="shared" si="63"/>
        <v>69.104394754229787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>
        <f>BY99*VLOOKUP('Données projet'!$B$12,Paramètres!$A$1:$I$89,3,0)*VLOOKUP('Données projet'!$B$12,Paramètres!$A$1:$I$89,5,0)</f>
        <v>0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275.76900776033335</v>
      </c>
      <c r="CE99" s="62">
        <f t="shared" si="94"/>
        <v>299.36898480605191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55.586878784405847</v>
      </c>
      <c r="CL99" s="23">
        <f>EXP(-LN(2)/25)*CL98+(1-EXP(-LN(2)/25))/(LN(2)/25)*Calculateur!CG99*Calculateur!CI99*VLOOKUP('Données projet'!$B$12,Paramètres!$A$1:$I$89,3,0)*0.475*44/12</f>
        <v>10.637953219420384</v>
      </c>
      <c r="CM99" s="23">
        <f>EXP(-LN(2)/2)*CM98+(1-EXP(-LN(2)/2))/(LN(2)/2)*CG99*CJ99*VLOOKUP('Données projet'!$B$12,Paramètres!$A$1:$I$89,3,0)*0.475*44/12</f>
        <v>2.1296897731413995E-4</v>
      </c>
      <c r="CN99" s="24">
        <f t="shared" si="66"/>
        <v>66.225044972803545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6.1</v>
      </c>
      <c r="CT99" s="13">
        <f>IF('Données projet'!$A$140&gt;35,CT98+CS99-DB98,IF(A99&lt;'Données projet'!$A$140,$CQ$205^A99,IF(A99='Données projet'!$A$140,'Données projet'!$B$140,CT98+CS99-DB98)))</f>
        <v>258.90000000000026</v>
      </c>
      <c r="CU99" s="18">
        <f>CT99*VLOOKUP('Données projet'!$B$13,Paramètres!$A$1:$I$89,3,0)*VLOOKUP('Données projet'!$B$13,Paramètres!$A$1:$I$89,5,0)</f>
        <v>282.71880000000027</v>
      </c>
      <c r="CV99" s="14">
        <f t="shared" si="95"/>
        <v>67.541245947797378</v>
      </c>
      <c r="CW99" s="22">
        <f t="shared" si="67"/>
        <v>610.03624669241424</v>
      </c>
      <c r="CX99" s="62">
        <f t="shared" si="68"/>
        <v>886.28529888880166</v>
      </c>
      <c r="CY99" s="62">
        <f ca="1">AVERAGE(OFFSET($CX$3,0,0,'Données projet'!$E$13+1,1))-AVERAGE(OFFSET($H$3,0,0,'Données projet'!$E$13+1,1))</f>
        <v>482.24068797679558</v>
      </c>
      <c r="CZ99" s="62">
        <f t="shared" si="96"/>
        <v>316.28941055521693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49.568210910846076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49.568210910846076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-1.7053025658242404E-13</v>
      </c>
      <c r="DP99" s="18">
        <f>DO99*VLOOKUP('Données projet'!$B$14,Paramètres!$A$1:$I$89,3,0)*VLOOKUP('Données projet'!$B$14,Paramètres!$A$1:$I$89,5,0)</f>
        <v>-1.383341441396624E-13</v>
      </c>
      <c r="DQ99" s="14" t="e">
        <f t="shared" si="97"/>
        <v>#NUM!</v>
      </c>
      <c r="DR99" s="22" t="e">
        <f t="shared" si="70"/>
        <v>#NUM!</v>
      </c>
      <c r="DS99" s="62" t="e">
        <f t="shared" si="71"/>
        <v>#NUM!</v>
      </c>
      <c r="DT99" s="62">
        <f ca="1">AVERAGE(OFFSET($DS$3,0,0,'Données projet'!$E$14+1,1))-AVERAGE(OFFSET($H$3,0,0,'Données projet'!$E$14+1,1))</f>
        <v>325.58538970226539</v>
      </c>
      <c r="DU99" s="62">
        <f t="shared" si="98"/>
        <v>361.81085660423457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69.435376118136958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69.435376118136958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4.8799999999999981</v>
      </c>
      <c r="EJ99" s="13">
        <f>IF('Données projet'!$A$192&gt;35,EJ98+EI99-ER98,IF(A99&lt;'Données projet'!$A$192,$EG$205^A99,IF(A99='Données projet'!$A$192,'Données projet'!$B$192,EJ98+EI99-ER98)))</f>
        <v>207.11999999999995</v>
      </c>
      <c r="EK99" s="18">
        <f>EJ99*VLOOKUP('Données projet'!$B$15,Paramètres!$A$1:$I$89,3,0)*VLOOKUP('Données projet'!$B$15,Paramètres!$A$1:$I$89,5,0)</f>
        <v>200.32646399999996</v>
      </c>
      <c r="EL99" s="14">
        <f t="shared" si="99"/>
        <v>49.815907819608022</v>
      </c>
      <c r="EM99" s="22">
        <f t="shared" si="73"/>
        <v>435.66463091915057</v>
      </c>
      <c r="EN99" s="62">
        <f t="shared" si="74"/>
        <v>711.91368311553799</v>
      </c>
      <c r="EO99" s="62">
        <f ca="1">AVERAGE(OFFSET($EN$3,0,0,'Données projet'!$E$15+1,1))-AVERAGE(OFFSET($H$3,0,0,'Données projet'!$E$15+1,1))</f>
        <v>364.22267539944085</v>
      </c>
      <c r="EP99" s="62">
        <f t="shared" si="100"/>
        <v>241.947139538615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35.122618016828085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35.122618016828085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-1.7053025658242404E-13</v>
      </c>
      <c r="FF99" s="18">
        <f>FE99*VLOOKUP('Données projet'!$B$16,Paramètres!$A$1:$I$89,3,0)*VLOOKUP('Données projet'!$B$16,Paramètres!$A$1:$I$89,5,0)</f>
        <v>-1.4897523215040567E-13</v>
      </c>
      <c r="FG99" s="14" t="e">
        <f t="shared" si="101"/>
        <v>#NUM!</v>
      </c>
      <c r="FH99" s="22" t="e">
        <f t="shared" si="76"/>
        <v>#NUM!</v>
      </c>
      <c r="FI99" s="62" t="e">
        <f t="shared" si="77"/>
        <v>#NUM!</v>
      </c>
      <c r="FJ99" s="62">
        <f ca="1">AVERAGE(OFFSET($FI$3,0,0,'Données projet'!$E$16+1,1))-AVERAGE(OFFSET($H$3,0,0,'Données projet'!$E$16+1,1))</f>
        <v>286.59837239471312</v>
      </c>
      <c r="FK99" s="62">
        <f t="shared" si="102"/>
        <v>319.26091328564689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60.26718001222779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60.26718001222779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-1.7053025658242404E-13</v>
      </c>
      <c r="GA99" s="18">
        <f>FZ99*VLOOKUP('Données projet'!$B$17,Paramètres!$A$1:$I$89,3,0)*VLOOKUP('Données projet'!$B$17,Paramètres!$A$1:$I$89,5,0)</f>
        <v>-1.1439169611549005E-13</v>
      </c>
      <c r="GB99" s="14" t="e">
        <f t="shared" si="103"/>
        <v>#NUM!</v>
      </c>
      <c r="GC99" s="22" t="e">
        <f t="shared" si="79"/>
        <v>#NUM!</v>
      </c>
      <c r="GD99" s="62" t="e">
        <f t="shared" si="80"/>
        <v>#NUM!</v>
      </c>
      <c r="GE99" s="62">
        <f ca="1">AVERAGE(OFFSET($GD$3,0,0,'Données projet'!$E$17+1,1))-AVERAGE(OFFSET($H$3,0,0,'Données projet'!$E$17+1,1))</f>
        <v>277.37570531842186</v>
      </c>
      <c r="GF99" s="62">
        <f t="shared" si="104"/>
        <v>310.00874200911312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projet'!$B$17,Paramètres!$A$1:$I$89,3,0)*0.475*44/12</f>
        <v>70.770671812716515</v>
      </c>
      <c r="GM99" s="23">
        <f>EXP(-LN(2)/25)*GM98+(1-EXP(-LN(2)/25))/(LN(2)/25)*Calculateur!GH99*Calculateur!GJ99*VLOOKUP('Données projet'!$B$17,Paramètres!$A$1:$I$89,3,0)*0.475*44/12</f>
        <v>0</v>
      </c>
      <c r="GN99" s="23">
        <f>EXP(-LN(2)/2)*GN98+(1-EXP(-LN(2)/2))/(LN(2)/2)*GH99*GK99*VLOOKUP('Données projet'!$B$17,Paramètres!$A$1:$I$89,3,0)*0.475*44/12</f>
        <v>0</v>
      </c>
      <c r="GO99" s="23">
        <f t="shared" si="81"/>
        <v>70.770671812716515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>
        <f>VLOOKUP(A100,'Données projet'!$A$35:$I$55,2,0)</f>
        <v>265</v>
      </c>
      <c r="L100" s="13">
        <f>VLOOKUP(A100,'Données projet'!$A$35:$I$55,9,0)</f>
        <v>6.1</v>
      </c>
      <c r="M100" s="13">
        <f t="array" ref="M100">INDEX(L:L,MIN(IF(ISNUMBER(L100:L296),ROW(L100:L296),"")))</f>
        <v>6.1</v>
      </c>
      <c r="N100" s="14">
        <f>IF('Données projet'!$A$36&gt;35,N99+M100-V99,IF(A100&lt;'Données projet'!$A$36,$K$205^A100,IF(A100='Données projet'!$A$36,'Données projet'!$B$36,N99+M100-V99)))</f>
        <v>265.00000000000028</v>
      </c>
      <c r="O100" s="14">
        <f>N100*VLOOKUP('Données projet'!$B$9,Paramètres!$A$1:$I$89,3,0)*VLOOKUP('Données projet'!$B$9,Paramètres!$A$1:$I$89,5,0)</f>
        <v>231.50400000000027</v>
      </c>
      <c r="P100" s="14">
        <f t="shared" si="87"/>
        <v>56.607758031045741</v>
      </c>
      <c r="Q100" s="22">
        <f t="shared" si="107"/>
        <v>501.79464523740506</v>
      </c>
      <c r="R100" s="62">
        <f t="shared" si="55"/>
        <v>778.34007151678793</v>
      </c>
      <c r="S100" s="62">
        <f ca="1">AVERAGE(OFFSET($R$3,0,0,'Données projet'!$E$9+1,1))-AVERAGE(OFFSET($H$3,0,0,'Données projet'!$E$9+1,1))</f>
        <v>401.34220206028908</v>
      </c>
      <c r="T100" s="62">
        <f t="shared" si="88"/>
        <v>265.33314259106987</v>
      </c>
      <c r="U100" s="16">
        <f>IF(ISNA(VLOOKUP(A100,'Données projet'!$A$35:$I$55,3,0)),0,VLOOKUP(A100,'Données projet'!$A$35:$I$55,3,0))</f>
        <v>9</v>
      </c>
      <c r="V100" s="16">
        <f>IF(ISNA(VLOOKUP(A100,'Données projet'!$A$35:$I$55,4,0)),0,VLOOKUP(A100,'Données projet'!$A$35:$I$55,4,0))</f>
        <v>42</v>
      </c>
      <c r="W100" s="17">
        <f>IF(ISNA(VLOOKUP(A100,'Données projet'!$A$35:$I$55,5,0)),0%,VLOOKUP(A100,'Données projet'!$A$35:$I$55,5,0)*VLOOKUP('Données projet'!$B$9,Paramètres!$A$1:$I$89,7,0))</f>
        <v>0.38700000000000001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54.574087286350178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54.574087286350178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8.3000000000000007</v>
      </c>
      <c r="AI100" s="14">
        <f>IF('Données projet'!$A$62&gt;35,AI99+AH100-AQ99,IF(A100&lt;'Données projet'!$A$62,$AF$205^A100,IF(A100='Données projet'!$A$62,'Données projet'!$B$62,AI99+AH100-AQ99)))</f>
        <v>319.10000000000014</v>
      </c>
      <c r="AJ100" s="14">
        <f>AI100*VLOOKUP('Données projet'!$B$10,Paramètres!$A$1:$I$89,3,0)*VLOOKUP('Données projet'!$B$10,Paramètres!$A$1:$I$89,5,0)</f>
        <v>149.33880000000008</v>
      </c>
      <c r="AK100" s="14">
        <f t="shared" si="89"/>
        <v>38.428286936285446</v>
      </c>
      <c r="AL100" s="22">
        <f t="shared" si="58"/>
        <v>327.02767641403062</v>
      </c>
      <c r="AM100" s="62">
        <f t="shared" si="59"/>
        <v>603.57310269341338</v>
      </c>
      <c r="AN100" s="62">
        <f ca="1">AVERAGE(OFFSET($AM$3,0,0,'Données projet'!$E$10+1,1))-AVERAGE(OFFSET($H$3,0,0,'Données projet'!$E$10+1,1))</f>
        <v>253.48761861464732</v>
      </c>
      <c r="AO100" s="62">
        <f t="shared" si="90"/>
        <v>219.50855998133855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47.113222368975713</v>
      </c>
      <c r="AV100" s="23">
        <f>EXP(-LN(2)/25)*AV99+(1-EXP(-LN(2)/25))/(LN(2)/25)*Calculateur!AQ100*Calculateur!AS100*VLOOKUP('Données projet'!$B$10,Paramètres!$A$1:$I$89,3,0)*0.475*44/12</f>
        <v>9.9023759918668208</v>
      </c>
      <c r="AW100" s="23">
        <f>EXP(-LN(2)/2)*AW99+(1-EXP(-LN(2)/2))/(LN(2)/2)*AQ100*AT100*VLOOKUP('Données projet'!$B$10,Paramètres!$A$1:$I$89,3,0)*0.475*44/12</f>
        <v>0.40771641525898461</v>
      </c>
      <c r="AX100" s="23">
        <f t="shared" si="60"/>
        <v>57.423314776101513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>
        <f>BD100*VLOOKUP('Données projet'!$B$11,Paramètres!$A$1:$I$89,3,0)*VLOOKUP('Données projet'!$B$11,Paramètres!$A$1:$I$89,5,0)</f>
        <v>0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482.85256243111911</v>
      </c>
      <c r="BJ100" s="62">
        <f t="shared" si="92"/>
        <v>517.78430032567064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56.866282430704601</v>
      </c>
      <c r="BQ100" s="23">
        <f>EXP(-LN(2)/25)*BQ99+(1-EXP(-LN(2)/25))/(LN(2)/25)*Calculateur!BL100*Calculateur!BN100*VLOOKUP('Données projet'!$B$11,Paramètres!$A$1:$I$89,3,0)*0.475*44/12</f>
        <v>10.796929908740537</v>
      </c>
      <c r="BR100" s="23">
        <f>EXP(-LN(2)/2)*BR99+(1-EXP(-LN(2)/2))/(LN(2)/2)*BL100*BO100*VLOOKUP('Données projet'!$B$11,Paramètres!$A$1:$I$89,3,0)*0.475*44/12</f>
        <v>1.5713927795602694E-4</v>
      </c>
      <c r="BS100" s="24">
        <f t="shared" si="63"/>
        <v>67.663369478723098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>
        <f>BY100*VLOOKUP('Données projet'!$B$12,Paramètres!$A$1:$I$89,3,0)*VLOOKUP('Données projet'!$B$12,Paramètres!$A$1:$I$89,5,0)</f>
        <v>0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275.76900776033335</v>
      </c>
      <c r="CE100" s="62">
        <f t="shared" si="94"/>
        <v>299.36898480605191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54.4968539960919</v>
      </c>
      <c r="CL100" s="23">
        <f>EXP(-LN(2)/25)*CL99+(1-EXP(-LN(2)/25))/(LN(2)/25)*Calculateur!CG100*Calculateur!CI100*VLOOKUP('Données projet'!$B$12,Paramètres!$A$1:$I$89,3,0)*0.475*44/12</f>
        <v>10.347057829209687</v>
      </c>
      <c r="CM100" s="23">
        <f>EXP(-LN(2)/2)*CM99+(1-EXP(-LN(2)/2))/(LN(2)/2)*CG100*CJ100*VLOOKUP('Données projet'!$B$12,Paramètres!$A$1:$I$89,3,0)*0.475*44/12</f>
        <v>1.5059180804119236E-4</v>
      </c>
      <c r="CN100" s="24">
        <f t="shared" si="66"/>
        <v>64.844062417109626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>
        <f>VLOOKUP(A100,'Données projet'!$A$139:$I$159,2,0)</f>
        <v>265</v>
      </c>
      <c r="CR100" s="13">
        <f>VLOOKUP(A100,'Données projet'!$A$139:$I$159,9,0)</f>
        <v>6.1</v>
      </c>
      <c r="CS100" s="13">
        <f t="array" ref="CS100">INDEX(CR:CR,MIN(IF(ISNUMBER(CR100:CR296),ROW(CR100:CR296),"")))</f>
        <v>6.1</v>
      </c>
      <c r="CT100" s="13">
        <f>IF('Données projet'!$A$140&gt;35,CT99+CS100-DB99,IF(A100&lt;'Données projet'!$A$140,$CQ$205^A100,IF(A100='Données projet'!$A$140,'Données projet'!$B$140,CT99+CS100-DB99)))</f>
        <v>265.00000000000028</v>
      </c>
      <c r="CU100" s="18">
        <f>CT100*VLOOKUP('Données projet'!$B$13,Paramètres!$A$1:$I$89,3,0)*VLOOKUP('Données projet'!$B$13,Paramètres!$A$1:$I$89,5,0)</f>
        <v>289.38000000000034</v>
      </c>
      <c r="CV100" s="14">
        <f t="shared" si="95"/>
        <v>68.945455048848416</v>
      </c>
      <c r="CW100" s="22">
        <f t="shared" si="67"/>
        <v>624.08350087674489</v>
      </c>
      <c r="CX100" s="62">
        <f t="shared" si="68"/>
        <v>900.6289271561277</v>
      </c>
      <c r="CY100" s="62">
        <f ca="1">AVERAGE(OFFSET($CX$3,0,0,'Données projet'!$E$13+1,1))-AVERAGE(OFFSET($H$3,0,0,'Données projet'!$E$13+1,1))</f>
        <v>482.24068797679558</v>
      </c>
      <c r="CZ100" s="62">
        <f t="shared" si="96"/>
        <v>316.28941055521693</v>
      </c>
      <c r="DA100" s="16">
        <f>IF(ISNA(VLOOKUP(A100,'Données projet'!$A$139:$I$159,3,0)),0,VLOOKUP(A100,'Données projet'!$A$139:$I$159,3,0))</f>
        <v>9</v>
      </c>
      <c r="DB100" s="16">
        <f>IF(ISNA(VLOOKUP(A100,'Données projet'!$A$139:$I$159,4,0)),0,VLOOKUP(A100,'Données projet'!$A$139:$I$159,4,0))</f>
        <v>42</v>
      </c>
      <c r="DC100" s="17">
        <f>IF(ISNA(VLOOKUP(A100,'Données projet'!$A$139:$I$159,5,0)),0%,VLOOKUP(A100,'Données projet'!$A$139:$I$159,5,0)*VLOOKUP('Données projet'!$B$13,Paramètres!$A$1:$I$89,7,0))</f>
        <v>0.38700000000000001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68.217609107937719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68.217609107937719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-1.7053025658242404E-13</v>
      </c>
      <c r="DP100" s="18">
        <f>DO100*VLOOKUP('Données projet'!$B$14,Paramètres!$A$1:$I$89,3,0)*VLOOKUP('Données projet'!$B$14,Paramètres!$A$1:$I$89,5,0)</f>
        <v>-1.383341441396624E-13</v>
      </c>
      <c r="DQ100" s="14" t="e">
        <f t="shared" si="97"/>
        <v>#NUM!</v>
      </c>
      <c r="DR100" s="22" t="e">
        <f t="shared" si="70"/>
        <v>#NUM!</v>
      </c>
      <c r="DS100" s="62" t="e">
        <f t="shared" si="71"/>
        <v>#NUM!</v>
      </c>
      <c r="DT100" s="62">
        <f ca="1">AVERAGE(OFFSET($DS$3,0,0,'Données projet'!$E$14+1,1))-AVERAGE(OFFSET($H$3,0,0,'Données projet'!$E$14+1,1))</f>
        <v>325.58538970226539</v>
      </c>
      <c r="DU100" s="62">
        <f t="shared" si="98"/>
        <v>361.81085660423457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68.07379074385787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68.07379074385787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>
        <f>VLOOKUP(A100,'Données projet'!$A$191:$I$211,2,0)</f>
        <v>212</v>
      </c>
      <c r="EH100" s="13">
        <f>VLOOKUP(A100,'Données projet'!$A$191:$I$211,9,0)</f>
        <v>4.8799999999999981</v>
      </c>
      <c r="EI100" s="13">
        <f t="array" ref="EI100">INDEX(EH:EH,MIN(IF(ISNUMBER(EH100:EH296),ROW(EH100:EH296),"")))</f>
        <v>4.8799999999999981</v>
      </c>
      <c r="EJ100" s="13">
        <f>IF('Données projet'!$A$192&gt;35,EJ99+EI100-ER99,IF(A100&lt;'Données projet'!$A$192,$EG$205^A100,IF(A100='Données projet'!$A$192,'Données projet'!$B$192,EJ99+EI100-ER99)))</f>
        <v>211.99999999999994</v>
      </c>
      <c r="EK100" s="18">
        <f>EJ100*VLOOKUP('Données projet'!$B$15,Paramètres!$A$1:$I$89,3,0)*VLOOKUP('Données projet'!$B$15,Paramètres!$A$1:$I$89,5,0)</f>
        <v>205.04639999999995</v>
      </c>
      <c r="EL100" s="14">
        <f t="shared" si="99"/>
        <v>50.851600160721752</v>
      </c>
      <c r="EM100" s="22">
        <f t="shared" si="73"/>
        <v>445.68901694659024</v>
      </c>
      <c r="EN100" s="62">
        <f t="shared" si="74"/>
        <v>722.23444322597311</v>
      </c>
      <c r="EO100" s="62">
        <f ca="1">AVERAGE(OFFSET($EN$3,0,0,'Données projet'!$E$15+1,1))-AVERAGE(OFFSET($H$3,0,0,'Données projet'!$E$15+1,1))</f>
        <v>364.22267539944085</v>
      </c>
      <c r="EP100" s="62">
        <f t="shared" si="100"/>
        <v>241.947139538615</v>
      </c>
      <c r="EQ100" s="16">
        <f>IF(ISNA(VLOOKUP(A100,'Données projet'!$A$191:$I$211,3,0)),0,VLOOKUP(A100,'Données projet'!$A$191:$I$211,3,0))</f>
        <v>9</v>
      </c>
      <c r="ER100" s="16">
        <f>IF(ISNA(VLOOKUP(A100,'Données projet'!$A$191:$I$211,4,0)),0,VLOOKUP(A100,'Données projet'!$A$191:$I$211,4,0))</f>
        <v>33.6</v>
      </c>
      <c r="ES100" s="17">
        <f>IF(ISNA(VLOOKUP(A100,'Données projet'!$A$191:$I$211,5,0)),0%,VLOOKUP(A100,'Données projet'!$A$191:$I$211,5,0)*VLOOKUP('Données projet'!$B$15,Paramètres!$A$1:$I$89,7,0))</f>
        <v>0.38700000000000001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48.337048739338741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48.337048739338741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-1.7053025658242404E-13</v>
      </c>
      <c r="FF100" s="18">
        <f>FE100*VLOOKUP('Données projet'!$B$16,Paramètres!$A$1:$I$89,3,0)*VLOOKUP('Données projet'!$B$16,Paramètres!$A$1:$I$89,5,0)</f>
        <v>-1.4897523215040567E-13</v>
      </c>
      <c r="FG100" s="14" t="e">
        <f t="shared" si="101"/>
        <v>#NUM!</v>
      </c>
      <c r="FH100" s="22" t="e">
        <f t="shared" si="76"/>
        <v>#NUM!</v>
      </c>
      <c r="FI100" s="62" t="e">
        <f t="shared" si="77"/>
        <v>#NUM!</v>
      </c>
      <c r="FJ100" s="62">
        <f ca="1">AVERAGE(OFFSET($FI$3,0,0,'Données projet'!$E$16+1,1))-AVERAGE(OFFSET($H$3,0,0,'Données projet'!$E$16+1,1))</f>
        <v>286.59837239471312</v>
      </c>
      <c r="FK100" s="62">
        <f t="shared" si="102"/>
        <v>319.26091328564689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59.085377371538129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59.085377371538129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-1.7053025658242404E-13</v>
      </c>
      <c r="GA100" s="18">
        <f>FZ100*VLOOKUP('Données projet'!$B$17,Paramètres!$A$1:$I$89,3,0)*VLOOKUP('Données projet'!$B$17,Paramètres!$A$1:$I$89,5,0)</f>
        <v>-1.1439169611549005E-13</v>
      </c>
      <c r="GB100" s="14" t="e">
        <f t="shared" si="103"/>
        <v>#NUM!</v>
      </c>
      <c r="GC100" s="22" t="e">
        <f t="shared" si="79"/>
        <v>#NUM!</v>
      </c>
      <c r="GD100" s="62" t="e">
        <f t="shared" si="80"/>
        <v>#NUM!</v>
      </c>
      <c r="GE100" s="62">
        <f ca="1">AVERAGE(OFFSET($GD$3,0,0,'Données projet'!$E$17+1,1))-AVERAGE(OFFSET($H$3,0,0,'Données projet'!$E$17+1,1))</f>
        <v>277.37570531842186</v>
      </c>
      <c r="GF100" s="62">
        <f t="shared" si="104"/>
        <v>310.00874200911312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projet'!$B$17,Paramètres!$A$1:$I$89,3,0)*0.475*44/12</f>
        <v>69.38290210431667</v>
      </c>
      <c r="GM100" s="23">
        <f>EXP(-LN(2)/25)*GM99+(1-EXP(-LN(2)/25))/(LN(2)/25)*Calculateur!GH100*Calculateur!GJ100*VLOOKUP('Données projet'!$B$17,Paramètres!$A$1:$I$89,3,0)*0.475*44/12</f>
        <v>0</v>
      </c>
      <c r="GN100" s="23">
        <f>EXP(-LN(2)/2)*GN99+(1-EXP(-LN(2)/2))/(LN(2)/2)*GH100*GK100*VLOOKUP('Données projet'!$B$17,Paramètres!$A$1:$I$89,3,0)*0.475*44/12</f>
        <v>0</v>
      </c>
      <c r="GO100" s="23">
        <f t="shared" si="81"/>
        <v>69.38290210431667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6.5</v>
      </c>
      <c r="N101" s="14">
        <f>IF('Données projet'!$A$36&gt;35,N100+M101-V100,IF(A101&lt;'Données projet'!$A$36,$K$205^A101,IF(A101='Données projet'!$A$36,'Données projet'!$B$36,N100+M101-V100)))</f>
        <v>229.50000000000028</v>
      </c>
      <c r="O101" s="14">
        <f>N101*VLOOKUP('Données projet'!$B$9,Paramètres!$A$1:$I$89,3,0)*VLOOKUP('Données projet'!$B$9,Paramètres!$A$1:$I$89,5,0)</f>
        <v>200.49120000000028</v>
      </c>
      <c r="P101" s="14">
        <f t="shared" si="87"/>
        <v>49.852103201908342</v>
      </c>
      <c r="Q101" s="22">
        <f t="shared" si="107"/>
        <v>436.01458640999084</v>
      </c>
      <c r="R101" s="62">
        <f t="shared" si="55"/>
        <v>712.85124534462216</v>
      </c>
      <c r="S101" s="62">
        <f ca="1">AVERAGE(OFFSET($R$3,0,0,'Données projet'!$E$9+1,1))-AVERAGE(OFFSET($H$3,0,0,'Données projet'!$E$9+1,1))</f>
        <v>401.34220206028908</v>
      </c>
      <c r="T101" s="62">
        <f t="shared" si="88"/>
        <v>265.33314259106987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53.503922721571286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53.503922721571286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8.3000000000000007</v>
      </c>
      <c r="AI101" s="14">
        <f>IF('Données projet'!$A$62&gt;35,AI100+AH101-AQ100,IF(A101&lt;'Données projet'!$A$62,$AF$205^A101,IF(A101='Données projet'!$A$62,'Données projet'!$B$62,AI100+AH101-AQ100)))</f>
        <v>327.40000000000015</v>
      </c>
      <c r="AJ101" s="14">
        <f>AI101*VLOOKUP('Données projet'!$B$10,Paramètres!$A$1:$I$89,3,0)*VLOOKUP('Données projet'!$B$10,Paramètres!$A$1:$I$89,5,0)</f>
        <v>153.22320000000008</v>
      </c>
      <c r="AK101" s="14">
        <f t="shared" si="89"/>
        <v>39.310160584382984</v>
      </c>
      <c r="AL101" s="22">
        <f t="shared" si="58"/>
        <v>335.32893635113379</v>
      </c>
      <c r="AM101" s="62">
        <f t="shared" si="59"/>
        <v>612.16559528576522</v>
      </c>
      <c r="AN101" s="62">
        <f ca="1">AVERAGE(OFFSET($AM$3,0,0,'Données projet'!$E$10+1,1))-AVERAGE(OFFSET($H$3,0,0,'Données projet'!$E$10+1,1))</f>
        <v>253.48761861464732</v>
      </c>
      <c r="AO101" s="62">
        <f t="shared" si="90"/>
        <v>219.50855998133855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46.18936081454828</v>
      </c>
      <c r="AV101" s="23">
        <f>EXP(-LN(2)/25)*AV100+(1-EXP(-LN(2)/25))/(LN(2)/25)*Calculateur!AQ101*Calculateur!AS101*VLOOKUP('Données projet'!$B$10,Paramètres!$A$1:$I$89,3,0)*0.475*44/12</f>
        <v>9.6315949996259018</v>
      </c>
      <c r="AW101" s="23">
        <f>EXP(-LN(2)/2)*AW100+(1-EXP(-LN(2)/2))/(LN(2)/2)*AQ101*AT101*VLOOKUP('Données projet'!$B$10,Paramètres!$A$1:$I$89,3,0)*0.475*44/12</f>
        <v>0.28829904203069839</v>
      </c>
      <c r="AX101" s="23">
        <f t="shared" si="60"/>
        <v>56.109254856204885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>
        <f>BD101*VLOOKUP('Données projet'!$B$11,Paramètres!$A$1:$I$89,3,0)*VLOOKUP('Données projet'!$B$11,Paramètres!$A$1:$I$89,5,0)</f>
        <v>0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482.85256243111911</v>
      </c>
      <c r="BJ101" s="62">
        <f t="shared" si="92"/>
        <v>517.78430032567064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55.751169317245903</v>
      </c>
      <c r="BQ101" s="23">
        <f>EXP(-LN(2)/25)*BQ100+(1-EXP(-LN(2)/25))/(LN(2)/25)*Calculateur!BL101*Calculateur!BN101*VLOOKUP('Données projet'!$B$11,Paramètres!$A$1:$I$89,3,0)*0.475*44/12</f>
        <v>10.50168729260016</v>
      </c>
      <c r="BR101" s="23">
        <f>EXP(-LN(2)/2)*BR100+(1-EXP(-LN(2)/2))/(LN(2)/2)*BL101*BO101*VLOOKUP('Données projet'!$B$11,Paramètres!$A$1:$I$89,3,0)*0.475*44/12</f>
        <v>1.1111424903346442E-4</v>
      </c>
      <c r="BS101" s="24">
        <f t="shared" si="63"/>
        <v>66.2529677240951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>
        <f>BY101*VLOOKUP('Données projet'!$B$12,Paramètres!$A$1:$I$89,3,0)*VLOOKUP('Données projet'!$B$12,Paramètres!$A$1:$I$89,5,0)</f>
        <v>0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275.76900776033335</v>
      </c>
      <c r="CE101" s="62">
        <f t="shared" si="94"/>
        <v>299.36898480605191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53.428203929027319</v>
      </c>
      <c r="CL101" s="23">
        <f>EXP(-LN(2)/25)*CL100+(1-EXP(-LN(2)/25))/(LN(2)/25)*Calculateur!CG101*Calculateur!CI101*VLOOKUP('Données projet'!$B$12,Paramètres!$A$1:$I$89,3,0)*0.475*44/12</f>
        <v>10.064116988741825</v>
      </c>
      <c r="CM101" s="23">
        <f>EXP(-LN(2)/2)*CM100+(1-EXP(-LN(2)/2))/(LN(2)/2)*CG101*CJ101*VLOOKUP('Données projet'!$B$12,Paramètres!$A$1:$I$89,3,0)*0.475*44/12</f>
        <v>1.0648448865706997E-4</v>
      </c>
      <c r="CN101" s="24">
        <f t="shared" si="66"/>
        <v>63.492427402257796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6.5</v>
      </c>
      <c r="CT101" s="13">
        <f>IF('Données projet'!$A$140&gt;35,CT100+CS101-DB100,IF(A101&lt;'Données projet'!$A$140,$CQ$205^A101,IF(A101='Données projet'!$A$140,'Données projet'!$B$140,CT100+CS101-DB100)))</f>
        <v>229.50000000000028</v>
      </c>
      <c r="CU101" s="18">
        <f>CT101*VLOOKUP('Données projet'!$B$13,Paramètres!$A$1:$I$89,3,0)*VLOOKUP('Données projet'!$B$13,Paramètres!$A$1:$I$89,5,0)</f>
        <v>250.61400000000029</v>
      </c>
      <c r="CV101" s="14">
        <f t="shared" si="95"/>
        <v>60.717400934916093</v>
      </c>
      <c r="CW101" s="22">
        <f t="shared" si="67"/>
        <v>542.23552329497932</v>
      </c>
      <c r="CX101" s="62">
        <f t="shared" si="68"/>
        <v>819.07218222961069</v>
      </c>
      <c r="CY101" s="62">
        <f ca="1">AVERAGE(OFFSET($CX$3,0,0,'Données projet'!$E$13+1,1))-AVERAGE(OFFSET($H$3,0,0,'Données projet'!$E$13+1,1))</f>
        <v>482.24068797679558</v>
      </c>
      <c r="CZ101" s="62">
        <f t="shared" si="96"/>
        <v>316.28941055521693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66.8799034019641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66.8799034019641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-1.7053025658242404E-13</v>
      </c>
      <c r="DP101" s="18">
        <f>DO101*VLOOKUP('Données projet'!$B$14,Paramètres!$A$1:$I$89,3,0)*VLOOKUP('Données projet'!$B$14,Paramètres!$A$1:$I$89,5,0)</f>
        <v>-1.383341441396624E-13</v>
      </c>
      <c r="DQ101" s="14" t="e">
        <f t="shared" si="97"/>
        <v>#NUM!</v>
      </c>
      <c r="DR101" s="22" t="e">
        <f t="shared" si="70"/>
        <v>#NUM!</v>
      </c>
      <c r="DS101" s="62" t="e">
        <f t="shared" si="71"/>
        <v>#NUM!</v>
      </c>
      <c r="DT101" s="62">
        <f ca="1">AVERAGE(OFFSET($DS$3,0,0,'Données projet'!$E$14+1,1))-AVERAGE(OFFSET($H$3,0,0,'Données projet'!$E$14+1,1))</f>
        <v>325.58538970226539</v>
      </c>
      <c r="DU101" s="62">
        <f t="shared" si="98"/>
        <v>361.81085660423457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66.738905228283315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66.738905228283315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5.2</v>
      </c>
      <c r="EJ101" s="13">
        <f>IF('Données projet'!$A$192&gt;35,EJ100+EI101-ER100,IF(A101&lt;'Données projet'!$A$192,$EG$205^A101,IF(A101='Données projet'!$A$192,'Données projet'!$B$192,EJ100+EI101-ER100)))</f>
        <v>183.59999999999994</v>
      </c>
      <c r="EK101" s="18">
        <f>EJ101*VLOOKUP('Données projet'!$B$15,Paramètres!$A$1:$I$89,3,0)*VLOOKUP('Données projet'!$B$15,Paramètres!$A$1:$I$89,5,0)</f>
        <v>177.57791999999995</v>
      </c>
      <c r="EL101" s="14">
        <f t="shared" si="99"/>
        <v>44.78289385359794</v>
      </c>
      <c r="EM101" s="22">
        <f t="shared" si="73"/>
        <v>387.27841746168298</v>
      </c>
      <c r="EN101" s="62">
        <f t="shared" si="74"/>
        <v>664.11507639631441</v>
      </c>
      <c r="EO101" s="62">
        <f ca="1">AVERAGE(OFFSET($EN$3,0,0,'Données projet'!$E$15+1,1))-AVERAGE(OFFSET($H$3,0,0,'Données projet'!$E$15+1,1))</f>
        <v>364.22267539944085</v>
      </c>
      <c r="EP101" s="62">
        <f t="shared" si="100"/>
        <v>241.947139538615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47.389188696248866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47.389188696248866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-1.7053025658242404E-13</v>
      </c>
      <c r="FF101" s="18">
        <f>FE101*VLOOKUP('Données projet'!$B$16,Paramètres!$A$1:$I$89,3,0)*VLOOKUP('Données projet'!$B$16,Paramètres!$A$1:$I$89,5,0)</f>
        <v>-1.4897523215040567E-13</v>
      </c>
      <c r="FG101" s="14" t="e">
        <f t="shared" si="101"/>
        <v>#NUM!</v>
      </c>
      <c r="FH101" s="22" t="e">
        <f t="shared" si="76"/>
        <v>#NUM!</v>
      </c>
      <c r="FI101" s="62" t="e">
        <f t="shared" si="77"/>
        <v>#NUM!</v>
      </c>
      <c r="FJ101" s="62">
        <f ca="1">AVERAGE(OFFSET($FI$3,0,0,'Données projet'!$E$16+1,1))-AVERAGE(OFFSET($H$3,0,0,'Données projet'!$E$16+1,1))</f>
        <v>286.59837239471312</v>
      </c>
      <c r="FK101" s="62">
        <f t="shared" si="102"/>
        <v>319.26091328564689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57.926749159803954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57.926749159803954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-1.7053025658242404E-13</v>
      </c>
      <c r="GA101" s="18">
        <f>FZ101*VLOOKUP('Données projet'!$B$17,Paramètres!$A$1:$I$89,3,0)*VLOOKUP('Données projet'!$B$17,Paramètres!$A$1:$I$89,5,0)</f>
        <v>-1.1439169611549005E-13</v>
      </c>
      <c r="GB101" s="14" t="e">
        <f t="shared" si="103"/>
        <v>#NUM!</v>
      </c>
      <c r="GC101" s="22" t="e">
        <f t="shared" si="79"/>
        <v>#NUM!</v>
      </c>
      <c r="GD101" s="62" t="e">
        <f t="shared" si="80"/>
        <v>#NUM!</v>
      </c>
      <c r="GE101" s="62">
        <f ca="1">AVERAGE(OFFSET($GD$3,0,0,'Données projet'!$E$17+1,1))-AVERAGE(OFFSET($H$3,0,0,'Données projet'!$E$17+1,1))</f>
        <v>277.37570531842186</v>
      </c>
      <c r="GF101" s="62">
        <f t="shared" si="104"/>
        <v>310.00874200911312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projet'!$B$17,Paramètres!$A$1:$I$89,3,0)*0.475*44/12</f>
        <v>68.022345713442618</v>
      </c>
      <c r="GM101" s="23">
        <f>EXP(-LN(2)/25)*GM100+(1-EXP(-LN(2)/25))/(LN(2)/25)*Calculateur!GH101*Calculateur!GJ101*VLOOKUP('Données projet'!$B$17,Paramètres!$A$1:$I$89,3,0)*0.475*44/12</f>
        <v>0</v>
      </c>
      <c r="GN101" s="23">
        <f>EXP(-LN(2)/2)*GN100+(1-EXP(-LN(2)/2))/(LN(2)/2)*GH101*GK101*VLOOKUP('Données projet'!$B$17,Paramètres!$A$1:$I$89,3,0)*0.475*44/12</f>
        <v>0</v>
      </c>
      <c r="GO101" s="23">
        <f t="shared" si="81"/>
        <v>68.022345713442618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6.5</v>
      </c>
      <c r="N102" s="14">
        <f>IF('Données projet'!$A$36&gt;35,N101+M102-V101,IF(A102&lt;'Données projet'!$A$36,$K$205^A102,IF(A102='Données projet'!$A$36,'Données projet'!$B$36,N101+M102-V101)))</f>
        <v>236.00000000000028</v>
      </c>
      <c r="O102" s="14">
        <f>N102*VLOOKUP('Données projet'!$B$9,Paramètres!$A$1:$I$89,3,0)*VLOOKUP('Données projet'!$B$9,Paramètres!$A$1:$I$89,5,0)</f>
        <v>206.16960000000026</v>
      </c>
      <c r="P102" s="14">
        <f t="shared" si="87"/>
        <v>51.097652263007383</v>
      </c>
      <c r="Q102" s="22">
        <f t="shared" si="107"/>
        <v>448.07379769140499</v>
      </c>
      <c r="R102" s="62">
        <f t="shared" si="55"/>
        <v>725.19663704581512</v>
      </c>
      <c r="S102" s="62">
        <f ca="1">AVERAGE(OFFSET($R$3,0,0,'Données projet'!$E$9+1,1))-AVERAGE(OFFSET($H$3,0,0,'Données projet'!$E$9+1,1))</f>
        <v>401.34220206028908</v>
      </c>
      <c r="T102" s="62">
        <f t="shared" si="88"/>
        <v>265.33314259106987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52.454743431171778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52.454743431171778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8.3000000000000007</v>
      </c>
      <c r="AI102" s="14">
        <f>IF('Données projet'!$A$62&gt;35,AI101+AH102-AQ101,IF(A102&lt;'Données projet'!$A$62,$AF$205^A102,IF(A102='Données projet'!$A$62,'Données projet'!$B$62,AI101+AH102-AQ101)))</f>
        <v>335.70000000000016</v>
      </c>
      <c r="AJ102" s="14">
        <f>AI102*VLOOKUP('Données projet'!$B$10,Paramètres!$A$1:$I$89,3,0)*VLOOKUP('Données projet'!$B$10,Paramètres!$A$1:$I$89,5,0)</f>
        <v>157.10760000000008</v>
      </c>
      <c r="AK102" s="14">
        <f t="shared" si="89"/>
        <v>40.189435465690423</v>
      </c>
      <c r="AL102" s="22">
        <f t="shared" si="58"/>
        <v>343.62567010274432</v>
      </c>
      <c r="AM102" s="62">
        <f t="shared" si="59"/>
        <v>620.74850945715446</v>
      </c>
      <c r="AN102" s="62">
        <f ca="1">AVERAGE(OFFSET($AM$3,0,0,'Données projet'!$E$10+1,1))-AVERAGE(OFFSET($H$3,0,0,'Données projet'!$E$10+1,1))</f>
        <v>253.48761861464732</v>
      </c>
      <c r="AO102" s="62">
        <f t="shared" si="90"/>
        <v>219.50855998133855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45.283615621703262</v>
      </c>
      <c r="AV102" s="23">
        <f>EXP(-LN(2)/25)*AV101+(1-EXP(-LN(2)/25))/(LN(2)/25)*Calculateur!AQ102*Calculateur!AS102*VLOOKUP('Données projet'!$B$10,Paramètres!$A$1:$I$89,3,0)*0.475*44/12</f>
        <v>9.3682185278575645</v>
      </c>
      <c r="AW102" s="23">
        <f>EXP(-LN(2)/2)*AW101+(1-EXP(-LN(2)/2))/(LN(2)/2)*AQ102*AT102*VLOOKUP('Données projet'!$B$10,Paramètres!$A$1:$I$89,3,0)*0.475*44/12</f>
        <v>0.20385820762949233</v>
      </c>
      <c r="AX102" s="23">
        <f t="shared" si="60"/>
        <v>54.855692357190321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>
        <f>BD102*VLOOKUP('Données projet'!$B$11,Paramètres!$A$1:$I$89,3,0)*VLOOKUP('Données projet'!$B$11,Paramètres!$A$1:$I$89,5,0)</f>
        <v>0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482.85256243111911</v>
      </c>
      <c r="BJ102" s="62">
        <f t="shared" si="92"/>
        <v>517.78430032567064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54.657922891790292</v>
      </c>
      <c r="BQ102" s="23">
        <f>EXP(-LN(2)/25)*BQ101+(1-EXP(-LN(2)/25))/(LN(2)/25)*Calculateur!BL102*Calculateur!BN102*VLOOKUP('Données projet'!$B$11,Paramètres!$A$1:$I$89,3,0)*0.475*44/12</f>
        <v>10.214518101324275</v>
      </c>
      <c r="BR102" s="23">
        <f>EXP(-LN(2)/2)*BR101+(1-EXP(-LN(2)/2))/(LN(2)/2)*BL102*BO102*VLOOKUP('Données projet'!$B$11,Paramètres!$A$1:$I$89,3,0)*0.475*44/12</f>
        <v>7.8569638978013472E-5</v>
      </c>
      <c r="BS102" s="24">
        <f t="shared" si="63"/>
        <v>64.872519562753538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>
        <f>BY102*VLOOKUP('Données projet'!$B$12,Paramètres!$A$1:$I$89,3,0)*VLOOKUP('Données projet'!$B$12,Paramètres!$A$1:$I$89,5,0)</f>
        <v>0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275.76900776033335</v>
      </c>
      <c r="CE102" s="62">
        <f t="shared" si="94"/>
        <v>299.36898480605191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52.380509437965692</v>
      </c>
      <c r="CL102" s="23">
        <f>EXP(-LN(2)/25)*CL101+(1-EXP(-LN(2)/25))/(LN(2)/25)*Calculateur!CG102*Calculateur!CI102*VLOOKUP('Données projet'!$B$12,Paramètres!$A$1:$I$89,3,0)*0.475*44/12</f>
        <v>9.7889131804357685</v>
      </c>
      <c r="CM102" s="23">
        <f>EXP(-LN(2)/2)*CM101+(1-EXP(-LN(2)/2))/(LN(2)/2)*CG102*CJ102*VLOOKUP('Données projet'!$B$12,Paramètres!$A$1:$I$89,3,0)*0.475*44/12</f>
        <v>7.5295904020596178E-5</v>
      </c>
      <c r="CN102" s="24">
        <f t="shared" si="66"/>
        <v>62.169497914305481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6.5</v>
      </c>
      <c r="CT102" s="13">
        <f>IF('Données projet'!$A$140&gt;35,CT101+CS102-DB101,IF(A102&lt;'Données projet'!$A$140,$CQ$205^A102,IF(A102='Données projet'!$A$140,'Données projet'!$B$140,CT101+CS102-DB101)))</f>
        <v>236.00000000000028</v>
      </c>
      <c r="CU102" s="18">
        <f>CT102*VLOOKUP('Données projet'!$B$13,Paramètres!$A$1:$I$89,3,0)*VLOOKUP('Données projet'!$B$13,Paramètres!$A$1:$I$89,5,0)</f>
        <v>257.71200000000027</v>
      </c>
      <c r="CV102" s="14">
        <f t="shared" si="95"/>
        <v>62.234418209404254</v>
      </c>
      <c r="CW102" s="22">
        <f t="shared" si="67"/>
        <v>557.24001171471286</v>
      </c>
      <c r="CX102" s="62">
        <f t="shared" si="68"/>
        <v>834.36285106912305</v>
      </c>
      <c r="CY102" s="62">
        <f ca="1">AVERAGE(OFFSET($CX$3,0,0,'Données projet'!$E$13+1,1))-AVERAGE(OFFSET($H$3,0,0,'Données projet'!$E$13+1,1))</f>
        <v>482.24068797679558</v>
      </c>
      <c r="CZ102" s="62">
        <f t="shared" si="96"/>
        <v>316.28941055521693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65.568429288964708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65.568429288964708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-1.7053025658242404E-13</v>
      </c>
      <c r="DP102" s="18">
        <f>DO102*VLOOKUP('Données projet'!$B$14,Paramètres!$A$1:$I$89,3,0)*VLOOKUP('Données projet'!$B$14,Paramètres!$A$1:$I$89,5,0)</f>
        <v>-1.383341441396624E-13</v>
      </c>
      <c r="DQ102" s="14" t="e">
        <f t="shared" si="97"/>
        <v>#NUM!</v>
      </c>
      <c r="DR102" s="22" t="e">
        <f t="shared" si="70"/>
        <v>#NUM!</v>
      </c>
      <c r="DS102" s="62" t="e">
        <f t="shared" si="71"/>
        <v>#NUM!</v>
      </c>
      <c r="DT102" s="62">
        <f ca="1">AVERAGE(OFFSET($DS$3,0,0,'Données projet'!$E$14+1,1))-AVERAGE(OFFSET($H$3,0,0,'Données projet'!$E$14+1,1))</f>
        <v>325.58538970226539</v>
      </c>
      <c r="DU102" s="62">
        <f t="shared" si="98"/>
        <v>361.81085660423457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65.430196003469419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65.430196003469419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5.2</v>
      </c>
      <c r="EJ102" s="13">
        <f>IF('Données projet'!$A$192&gt;35,EJ101+EI102-ER101,IF(A102&lt;'Données projet'!$A$192,$EG$205^A102,IF(A102='Données projet'!$A$192,'Données projet'!$B$192,EJ101+EI102-ER101)))</f>
        <v>188.79999999999993</v>
      </c>
      <c r="EK102" s="18">
        <f>EJ102*VLOOKUP('Données projet'!$B$15,Paramètres!$A$1:$I$89,3,0)*VLOOKUP('Données projet'!$B$15,Paramètres!$A$1:$I$89,5,0)</f>
        <v>182.60735999999994</v>
      </c>
      <c r="EL102" s="14">
        <f t="shared" si="99"/>
        <v>45.901789302536862</v>
      </c>
      <c r="EM102" s="22">
        <f t="shared" si="73"/>
        <v>397.98676836858493</v>
      </c>
      <c r="EN102" s="62">
        <f t="shared" si="74"/>
        <v>675.10960772299507</v>
      </c>
      <c r="EO102" s="62">
        <f ca="1">AVERAGE(OFFSET($EN$3,0,0,'Données projet'!$E$15+1,1))-AVERAGE(OFFSET($H$3,0,0,'Données projet'!$E$15+1,1))</f>
        <v>364.22267539944085</v>
      </c>
      <c r="EP102" s="62">
        <f t="shared" si="100"/>
        <v>241.947139538615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46.459915610466446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46.459915610466446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-1.7053025658242404E-13</v>
      </c>
      <c r="FF102" s="18">
        <f>FE102*VLOOKUP('Données projet'!$B$16,Paramètres!$A$1:$I$89,3,0)*VLOOKUP('Données projet'!$B$16,Paramètres!$A$1:$I$89,5,0)</f>
        <v>-1.4897523215040567E-13</v>
      </c>
      <c r="FG102" s="14" t="e">
        <f t="shared" si="101"/>
        <v>#NUM!</v>
      </c>
      <c r="FH102" s="22" t="e">
        <f t="shared" si="76"/>
        <v>#NUM!</v>
      </c>
      <c r="FI102" s="62" t="e">
        <f t="shared" si="77"/>
        <v>#NUM!</v>
      </c>
      <c r="FJ102" s="62">
        <f ca="1">AVERAGE(OFFSET($FI$3,0,0,'Données projet'!$E$16+1,1))-AVERAGE(OFFSET($H$3,0,0,'Données projet'!$E$16+1,1))</f>
        <v>286.59837239471312</v>
      </c>
      <c r="FK102" s="62">
        <f t="shared" si="102"/>
        <v>319.26091328564689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56.790840940608454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56.790840940608454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-1.7053025658242404E-13</v>
      </c>
      <c r="GA102" s="18">
        <f>FZ102*VLOOKUP('Données projet'!$B$17,Paramètres!$A$1:$I$89,3,0)*VLOOKUP('Données projet'!$B$17,Paramètres!$A$1:$I$89,5,0)</f>
        <v>-1.1439169611549005E-13</v>
      </c>
      <c r="GB102" s="14" t="e">
        <f t="shared" si="103"/>
        <v>#NUM!</v>
      </c>
      <c r="GC102" s="22" t="e">
        <f t="shared" si="79"/>
        <v>#NUM!</v>
      </c>
      <c r="GD102" s="62" t="e">
        <f t="shared" si="80"/>
        <v>#NUM!</v>
      </c>
      <c r="GE102" s="62">
        <f ca="1">AVERAGE(OFFSET($GD$3,0,0,'Données projet'!$E$17+1,1))-AVERAGE(OFFSET($H$3,0,0,'Données projet'!$E$17+1,1))</f>
        <v>277.37570531842186</v>
      </c>
      <c r="GF102" s="62">
        <f t="shared" si="104"/>
        <v>310.00874200911312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projet'!$B$17,Paramètres!$A$1:$I$89,3,0)*0.475*44/12</f>
        <v>66.688469003536142</v>
      </c>
      <c r="GM102" s="23">
        <f>EXP(-LN(2)/25)*GM101+(1-EXP(-LN(2)/25))/(LN(2)/25)*Calculateur!GH102*Calculateur!GJ102*VLOOKUP('Données projet'!$B$17,Paramètres!$A$1:$I$89,3,0)*0.475*44/12</f>
        <v>0</v>
      </c>
      <c r="GN102" s="23">
        <f>EXP(-LN(2)/2)*GN101+(1-EXP(-LN(2)/2))/(LN(2)/2)*GH102*GK102*VLOOKUP('Données projet'!$B$17,Paramètres!$A$1:$I$89,3,0)*0.475*44/12</f>
        <v>0</v>
      </c>
      <c r="GO102" s="23">
        <f t="shared" si="81"/>
        <v>66.688469003536142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6.5</v>
      </c>
      <c r="N103" s="14">
        <f>IF('Données projet'!$A$36&gt;35,N102+M103-V102,IF(A103&lt;'Données projet'!$A$36,$K$205^A103,IF(A103='Données projet'!$A$36,'Données projet'!$B$36,N102+M103-V102)))</f>
        <v>242.50000000000028</v>
      </c>
      <c r="O103" s="14">
        <f>N103*VLOOKUP('Données projet'!$B$9,Paramètres!$A$1:$I$89,3,0)*VLOOKUP('Données projet'!$B$9,Paramètres!$A$1:$I$89,5,0)</f>
        <v>211.8480000000003</v>
      </c>
      <c r="P103" s="14">
        <f t="shared" si="87"/>
        <v>52.33921403960661</v>
      </c>
      <c r="Q103" s="22">
        <f t="shared" si="107"/>
        <v>460.12606445231535</v>
      </c>
      <c r="R103" s="62">
        <f t="shared" si="55"/>
        <v>737.53011963602455</v>
      </c>
      <c r="S103" s="62">
        <f ca="1">AVERAGE(OFFSET($R$3,0,0,'Données projet'!$E$9+1,1))-AVERAGE(OFFSET($H$3,0,0,'Données projet'!$E$9+1,1))</f>
        <v>401.34220206028908</v>
      </c>
      <c r="T103" s="62">
        <f t="shared" si="88"/>
        <v>265.33314259106987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51.426137906720825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51.426137906720825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344</v>
      </c>
      <c r="AG103" s="13">
        <f>VLOOKUP(A103,'Données projet'!$A$61:$I$81,9,0)</f>
        <v>8.3000000000000007</v>
      </c>
      <c r="AH103" s="13">
        <f t="array" ref="AH103">INDEX(AG:AG,MIN(IF(ISNUMBER(AG103:AG299),ROW(AG103:AG299),"")))</f>
        <v>8.3000000000000007</v>
      </c>
      <c r="AI103" s="14">
        <f>IF('Données projet'!$A$62&gt;35,AI102+AH103-AQ102,IF(A103&lt;'Données projet'!$A$62,$AF$205^A103,IF(A103='Données projet'!$A$62,'Données projet'!$B$62,AI102+AH103-AQ102)))</f>
        <v>344.00000000000017</v>
      </c>
      <c r="AJ103" s="14">
        <f>AI103*VLOOKUP('Données projet'!$B$10,Paramètres!$A$1:$I$89,3,0)*VLOOKUP('Données projet'!$B$10,Paramètres!$A$1:$I$89,5,0)</f>
        <v>160.99200000000008</v>
      </c>
      <c r="AK103" s="14">
        <f t="shared" si="89"/>
        <v>41.066183224007858</v>
      </c>
      <c r="AL103" s="22">
        <f t="shared" si="58"/>
        <v>351.91800244848042</v>
      </c>
      <c r="AM103" s="62">
        <f t="shared" si="59"/>
        <v>629.32205763218963</v>
      </c>
      <c r="AN103" s="62">
        <f ca="1">AVERAGE(OFFSET($AM$3,0,0,'Données projet'!$E$10+1,1))-AVERAGE(OFFSET($H$3,0,0,'Données projet'!$E$10+1,1))</f>
        <v>253.48761861464732</v>
      </c>
      <c r="AO103" s="62">
        <f t="shared" si="90"/>
        <v>219.50855998133855</v>
      </c>
      <c r="AP103" s="16" t="str">
        <f>IF(ISNA(VLOOKUP(A103,'Données projet'!$A$61:$I$81,3,0)),0,VLOOKUP(A103,'Données projet'!$A$61:$I$81,3,0))</f>
        <v>CR</v>
      </c>
      <c r="AQ103" s="16">
        <f>IF(ISNA(VLOOKUP(A103,'Données projet'!$A$61:$I$81,4,0)),0,VLOOKUP(A103,'Données projet'!$A$61:$I$81,4,0))</f>
        <v>344</v>
      </c>
      <c r="AR103" s="17">
        <f>IF(ISNA(VLOOKUP(A103,'Données projet'!$A$61:$I$81,5,0)),0%,VLOOKUP(A103,'Données projet'!$A$61:$I$81,5,0)*VLOOKUP('Données projet'!$B$10,Paramètres!$A$1:$I$89,7,0))</f>
        <v>0.38500000000000001</v>
      </c>
      <c r="AS103" s="17">
        <f>IF(ISNA(VLOOKUP(A103,'Données projet'!$A$61:$I$81,6,0)),0%,VLOOKUP(A103,'Données projet'!$A$61:$I$81,6,0)*VLOOKUP('Données projet'!$B$10,Paramètres!$A$1:$I$89,7,0))</f>
        <v>9.3500000000000014E-2</v>
      </c>
      <c r="AT103" s="17">
        <f>IF(ISNA(VLOOKUP(A103,'Données projet'!$A$61:$I$81,7,0)),0%,VLOOKUP(A103,'Données projet'!$A$61:$I$81,7,0))</f>
        <v>0.13</v>
      </c>
      <c r="AU103" s="23">
        <f>EXP(-LN(2)/35)*AU102+(1-EXP(-LN(2)/35))/(LN(2)/35)*AQ103*AR103*VLOOKUP('Données projet'!$B$10,Paramètres!$A$1:$I$89,3,0)*0.475*44/12</f>
        <v>126.61864349153706</v>
      </c>
      <c r="AV103" s="23">
        <f>EXP(-LN(2)/25)*AV102+(1-EXP(-LN(2)/25))/(LN(2)/25)*Calculateur!AQ103*Calculateur!AS103*VLOOKUP('Données projet'!$B$10,Paramètres!$A$1:$I$89,3,0)*0.475*44/12</f>
        <v>29.001866479776087</v>
      </c>
      <c r="AW103" s="23">
        <f>EXP(-LN(2)/2)*AW102+(1-EXP(-LN(2)/2))/(LN(2)/2)*AQ103*AT103*VLOOKUP('Données projet'!$B$10,Paramètres!$A$1:$I$89,3,0)*0.475*44/12</f>
        <v>23.840593986654852</v>
      </c>
      <c r="AX103" s="23">
        <f t="shared" si="60"/>
        <v>179.46110395796799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>
        <f>BD103*VLOOKUP('Données projet'!$B$11,Paramètres!$A$1:$I$89,3,0)*VLOOKUP('Données projet'!$B$11,Paramètres!$A$1:$I$89,5,0)</f>
        <v>0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482.85256243111911</v>
      </c>
      <c r="BJ103" s="62">
        <f t="shared" si="92"/>
        <v>517.78430032567064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53.586114361923393</v>
      </c>
      <c r="BQ103" s="23">
        <f>EXP(-LN(2)/25)*BQ102+(1-EXP(-LN(2)/25))/(LN(2)/25)*Calculateur!BL103*Calculateur!BN103*VLOOKUP('Données projet'!$B$11,Paramètres!$A$1:$I$89,3,0)*0.475*44/12</f>
        <v>9.9352015666854019</v>
      </c>
      <c r="BR103" s="23">
        <f>EXP(-LN(2)/2)*BR102+(1-EXP(-LN(2)/2))/(LN(2)/2)*BL103*BO103*VLOOKUP('Données projet'!$B$11,Paramètres!$A$1:$I$89,3,0)*0.475*44/12</f>
        <v>5.5557124516732208E-5</v>
      </c>
      <c r="BS103" s="24">
        <f t="shared" si="63"/>
        <v>63.521371485733312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>
        <f>BY103*VLOOKUP('Données projet'!$B$12,Paramètres!$A$1:$I$89,3,0)*VLOOKUP('Données projet'!$B$12,Paramètres!$A$1:$I$89,5,0)</f>
        <v>0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275.76900776033335</v>
      </c>
      <c r="CE103" s="62">
        <f t="shared" si="94"/>
        <v>299.36898480605191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51.353359596843248</v>
      </c>
      <c r="CL103" s="23">
        <f>EXP(-LN(2)/25)*CL102+(1-EXP(-LN(2)/25))/(LN(2)/25)*Calculateur!CG103*Calculateur!CI103*VLOOKUP('Données projet'!$B$12,Paramètres!$A$1:$I$89,3,0)*0.475*44/12</f>
        <v>9.5212348347401807</v>
      </c>
      <c r="CM103" s="23">
        <f>EXP(-LN(2)/2)*CM102+(1-EXP(-LN(2)/2))/(LN(2)/2)*CG103*CJ103*VLOOKUP('Données projet'!$B$12,Paramètres!$A$1:$I$89,3,0)*0.475*44/12</f>
        <v>5.3242244328534987E-5</v>
      </c>
      <c r="CN103" s="24">
        <f t="shared" si="66"/>
        <v>60.874647673827759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6.5</v>
      </c>
      <c r="CT103" s="13">
        <f>IF('Données projet'!$A$140&gt;35,CT102+CS103-DB102,IF(A103&lt;'Données projet'!$A$140,$CQ$205^A103,IF(A103='Données projet'!$A$140,'Données projet'!$B$140,CT102+CS103-DB102)))</f>
        <v>242.50000000000028</v>
      </c>
      <c r="CU103" s="18">
        <f>CT103*VLOOKUP('Données projet'!$B$13,Paramètres!$A$1:$I$89,3,0)*VLOOKUP('Données projet'!$B$13,Paramètres!$A$1:$I$89,5,0)</f>
        <v>264.81000000000034</v>
      </c>
      <c r="CV103" s="14">
        <f t="shared" si="95"/>
        <v>63.746579168189108</v>
      </c>
      <c r="CW103" s="22">
        <f t="shared" si="67"/>
        <v>572.23604205126333</v>
      </c>
      <c r="CX103" s="62">
        <f t="shared" si="68"/>
        <v>849.64009723497247</v>
      </c>
      <c r="CY103" s="62">
        <f ca="1">AVERAGE(OFFSET($CX$3,0,0,'Données projet'!$E$13+1,1))-AVERAGE(OFFSET($H$3,0,0,'Données projet'!$E$13+1,1))</f>
        <v>482.24068797679558</v>
      </c>
      <c r="CZ103" s="62">
        <f t="shared" si="96"/>
        <v>316.28941055521693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64.282672383401021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64.282672383401021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-1.7053025658242404E-13</v>
      </c>
      <c r="DP103" s="18">
        <f>DO103*VLOOKUP('Données projet'!$B$14,Paramètres!$A$1:$I$89,3,0)*VLOOKUP('Données projet'!$B$14,Paramètres!$A$1:$I$89,5,0)</f>
        <v>-1.383341441396624E-13</v>
      </c>
      <c r="DQ103" s="14" t="e">
        <f t="shared" si="97"/>
        <v>#NUM!</v>
      </c>
      <c r="DR103" s="22" t="e">
        <f t="shared" si="70"/>
        <v>#NUM!</v>
      </c>
      <c r="DS103" s="62" t="e">
        <f t="shared" si="71"/>
        <v>#NUM!</v>
      </c>
      <c r="DT103" s="62">
        <f ca="1">AVERAGE(OFFSET($DS$3,0,0,'Données projet'!$E$14+1,1))-AVERAGE(OFFSET($H$3,0,0,'Données projet'!$E$14+1,1))</f>
        <v>325.58538970226539</v>
      </c>
      <c r="DU103" s="62">
        <f t="shared" si="98"/>
        <v>361.81085660423457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64.147149768320304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64.147149768320304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5.2</v>
      </c>
      <c r="EJ103" s="13">
        <f>IF('Données projet'!$A$192&gt;35,EJ102+EI103-ER102,IF(A103&lt;'Données projet'!$A$192,$EG$205^A103,IF(A103='Données projet'!$A$192,'Données projet'!$B$192,EJ102+EI103-ER102)))</f>
        <v>193.99999999999991</v>
      </c>
      <c r="EK103" s="18">
        <f>EJ103*VLOOKUP('Données projet'!$B$15,Paramètres!$A$1:$I$89,3,0)*VLOOKUP('Données projet'!$B$15,Paramètres!$A$1:$I$89,5,0)</f>
        <v>187.63679999999991</v>
      </c>
      <c r="EL103" s="14">
        <f t="shared" si="99"/>
        <v>47.017102913859027</v>
      </c>
      <c r="EM103" s="22">
        <f t="shared" si="73"/>
        <v>408.68888090830427</v>
      </c>
      <c r="EN103" s="62">
        <f t="shared" si="74"/>
        <v>686.09293609201347</v>
      </c>
      <c r="EO103" s="62">
        <f ca="1">AVERAGE(OFFSET($EN$3,0,0,'Données projet'!$E$15+1,1))-AVERAGE(OFFSET($H$3,0,0,'Données projet'!$E$15+1,1))</f>
        <v>364.22267539944085</v>
      </c>
      <c r="EP103" s="62">
        <f t="shared" si="100"/>
        <v>241.947139538615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45.548865003095599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45.548865003095599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-1.7053025658242404E-13</v>
      </c>
      <c r="FF103" s="18">
        <f>FE103*VLOOKUP('Données projet'!$B$16,Paramètres!$A$1:$I$89,3,0)*VLOOKUP('Données projet'!$B$16,Paramètres!$A$1:$I$89,5,0)</f>
        <v>-1.4897523215040567E-13</v>
      </c>
      <c r="FG103" s="14" t="e">
        <f t="shared" si="101"/>
        <v>#NUM!</v>
      </c>
      <c r="FH103" s="22" t="e">
        <f t="shared" si="76"/>
        <v>#NUM!</v>
      </c>
      <c r="FI103" s="62" t="e">
        <f t="shared" si="77"/>
        <v>#NUM!</v>
      </c>
      <c r="FJ103" s="62">
        <f ca="1">AVERAGE(OFFSET($FI$3,0,0,'Données projet'!$E$16+1,1))-AVERAGE(OFFSET($H$3,0,0,'Données projet'!$E$16+1,1))</f>
        <v>286.59837239471312</v>
      </c>
      <c r="FK103" s="62">
        <f t="shared" si="102"/>
        <v>319.26091328564689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55.67720718875578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55.67720718875578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-1.7053025658242404E-13</v>
      </c>
      <c r="GA103" s="18">
        <f>FZ103*VLOOKUP('Données projet'!$B$17,Paramètres!$A$1:$I$89,3,0)*VLOOKUP('Données projet'!$B$17,Paramètres!$A$1:$I$89,5,0)</f>
        <v>-1.1439169611549005E-13</v>
      </c>
      <c r="GB103" s="14" t="e">
        <f t="shared" si="103"/>
        <v>#NUM!</v>
      </c>
      <c r="GC103" s="22" t="e">
        <f t="shared" si="79"/>
        <v>#NUM!</v>
      </c>
      <c r="GD103" s="62" t="e">
        <f t="shared" si="80"/>
        <v>#NUM!</v>
      </c>
      <c r="GE103" s="62">
        <f ca="1">AVERAGE(OFFSET($GD$3,0,0,'Données projet'!$E$17+1,1))-AVERAGE(OFFSET($H$3,0,0,'Données projet'!$E$17+1,1))</f>
        <v>277.37570531842186</v>
      </c>
      <c r="GF103" s="62">
        <f t="shared" si="104"/>
        <v>310.00874200911312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projet'!$B$17,Paramètres!$A$1:$I$89,3,0)*0.475*44/12</f>
        <v>65.38074880232648</v>
      </c>
      <c r="GM103" s="23">
        <f>EXP(-LN(2)/25)*GM102+(1-EXP(-LN(2)/25))/(LN(2)/25)*Calculateur!GH103*Calculateur!GJ103*VLOOKUP('Données projet'!$B$17,Paramètres!$A$1:$I$89,3,0)*0.475*44/12</f>
        <v>0</v>
      </c>
      <c r="GN103" s="23">
        <f>EXP(-LN(2)/2)*GN102+(1-EXP(-LN(2)/2))/(LN(2)/2)*GH103*GK103*VLOOKUP('Données projet'!$B$17,Paramètres!$A$1:$I$89,3,0)*0.475*44/12</f>
        <v>0</v>
      </c>
      <c r="GO103" s="23">
        <f t="shared" si="81"/>
        <v>65.38074880232648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6.5</v>
      </c>
      <c r="N104" s="14">
        <f>IF('Données projet'!$A$36&gt;35,N103+M104-V103,IF(A104&lt;'Données projet'!$A$36,$K$205^A104,IF(A104='Données projet'!$A$36,'Données projet'!$B$36,N103+M104-V103)))</f>
        <v>249.00000000000028</v>
      </c>
      <c r="O104" s="14">
        <f>N104*VLOOKUP('Données projet'!$B$9,Paramètres!$A$1:$I$89,3,0)*VLOOKUP('Données projet'!$B$9,Paramètres!$A$1:$I$89,5,0)</f>
        <v>217.52640000000028</v>
      </c>
      <c r="P104" s="14">
        <f t="shared" si="87"/>
        <v>53.576907690651304</v>
      </c>
      <c r="Q104" s="22">
        <f t="shared" si="107"/>
        <v>472.1715942278849</v>
      </c>
      <c r="R104" s="62">
        <f t="shared" si="55"/>
        <v>749.8519867749593</v>
      </c>
      <c r="S104" s="62">
        <f ca="1">AVERAGE(OFFSET($R$3,0,0,'Données projet'!$E$9+1,1))-AVERAGE(OFFSET($H$3,0,0,'Données projet'!$E$9+1,1))</f>
        <v>401.34220206028908</v>
      </c>
      <c r="T104" s="62">
        <f t="shared" si="88"/>
        <v>265.33314259106987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50.417702709216933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50.417702709216933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1.7053025658242404E-13</v>
      </c>
      <c r="AJ104" s="14">
        <f>AI104*VLOOKUP('Données projet'!$B$10,Paramètres!$A$1:$I$89,3,0)*VLOOKUP('Données projet'!$B$10,Paramètres!$A$1:$I$89,5,0)</f>
        <v>7.9808160080574461E-14</v>
      </c>
      <c r="AK104" s="14">
        <f t="shared" si="89"/>
        <v>1.2308384591775343E-12</v>
      </c>
      <c r="AL104" s="22">
        <f t="shared" si="58"/>
        <v>2.282709528541206E-12</v>
      </c>
      <c r="AM104" s="62">
        <f t="shared" si="59"/>
        <v>277.68039254707668</v>
      </c>
      <c r="AN104" s="62">
        <f ca="1">AVERAGE(OFFSET($AM$3,0,0,'Données projet'!$E$10+1,1))-AVERAGE(OFFSET($H$3,0,0,'Données projet'!$E$10+1,1))</f>
        <v>253.48761861464732</v>
      </c>
      <c r="AO104" s="62">
        <f t="shared" si="90"/>
        <v>219.50855998133855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124.13572912241474</v>
      </c>
      <c r="AV104" s="23">
        <f>EXP(-LN(2)/25)*AV103+(1-EXP(-LN(2)/25))/(LN(2)/25)*Calculateur!AQ104*Calculateur!AS104*VLOOKUP('Données projet'!$B$10,Paramètres!$A$1:$I$89,3,0)*0.475*44/12</f>
        <v>28.208808915744736</v>
      </c>
      <c r="AW104" s="23">
        <f>EXP(-LN(2)/2)*AW103+(1-EXP(-LN(2)/2))/(LN(2)/2)*AQ104*AT104*VLOOKUP('Données projet'!$B$10,Paramètres!$A$1:$I$89,3,0)*0.475*44/12</f>
        <v>16.857845675478874</v>
      </c>
      <c r="AX104" s="23">
        <f t="shared" si="60"/>
        <v>169.20238371363834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>
        <f>BD104*VLOOKUP('Données projet'!$B$11,Paramètres!$A$1:$I$89,3,0)*VLOOKUP('Données projet'!$B$11,Paramètres!$A$1:$I$89,5,0)</f>
        <v>0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482.85256243111911</v>
      </c>
      <c r="BJ104" s="62">
        <f t="shared" si="92"/>
        <v>517.78430032567064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52.53532334358853</v>
      </c>
      <c r="BQ104" s="23">
        <f>EXP(-LN(2)/25)*BQ103+(1-EXP(-LN(2)/25))/(LN(2)/25)*Calculateur!BL104*Calculateur!BN104*VLOOKUP('Données projet'!$B$11,Paramètres!$A$1:$I$89,3,0)*0.475*44/12</f>
        <v>9.6635229573748465</v>
      </c>
      <c r="BR104" s="23">
        <f>EXP(-LN(2)/2)*BR103+(1-EXP(-LN(2)/2))/(LN(2)/2)*BL104*BO104*VLOOKUP('Données projet'!$B$11,Paramètres!$A$1:$I$89,3,0)*0.475*44/12</f>
        <v>3.9284819489006736E-5</v>
      </c>
      <c r="BS104" s="24">
        <f t="shared" si="63"/>
        <v>62.198885585782861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>
        <f>BY104*VLOOKUP('Données projet'!$B$12,Paramètres!$A$1:$I$89,3,0)*VLOOKUP('Données projet'!$B$12,Paramètres!$A$1:$I$89,5,0)</f>
        <v>0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275.76900776033335</v>
      </c>
      <c r="CE104" s="62">
        <f t="shared" si="94"/>
        <v>299.36898480605191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50.346351537605671</v>
      </c>
      <c r="CL104" s="23">
        <f>EXP(-LN(2)/25)*CL103+(1-EXP(-LN(2)/25))/(LN(2)/25)*Calculateur!CG104*Calculateur!CI104*VLOOKUP('Données projet'!$B$12,Paramètres!$A$1:$I$89,3,0)*0.475*44/12</f>
        <v>9.2608761674842324</v>
      </c>
      <c r="CM104" s="23">
        <f>EXP(-LN(2)/2)*CM103+(1-EXP(-LN(2)/2))/(LN(2)/2)*CG104*CJ104*VLOOKUP('Données projet'!$B$12,Paramètres!$A$1:$I$89,3,0)*0.475*44/12</f>
        <v>3.7647952010298089E-5</v>
      </c>
      <c r="CN104" s="24">
        <f t="shared" si="66"/>
        <v>59.607265353041917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6.5</v>
      </c>
      <c r="CT104" s="13">
        <f>IF('Données projet'!$A$140&gt;35,CT103+CS104-DB103,IF(A104&lt;'Données projet'!$A$140,$CQ$205^A104,IF(A104='Données projet'!$A$140,'Données projet'!$B$140,CT103+CS104-DB103)))</f>
        <v>249.00000000000028</v>
      </c>
      <c r="CU104" s="18">
        <f>CT104*VLOOKUP('Données projet'!$B$13,Paramètres!$A$1:$I$89,3,0)*VLOOKUP('Données projet'!$B$13,Paramètres!$A$1:$I$89,5,0)</f>
        <v>271.9080000000003</v>
      </c>
      <c r="CV104" s="14">
        <f t="shared" si="95"/>
        <v>65.254028940984384</v>
      </c>
      <c r="CW104" s="22">
        <f t="shared" si="67"/>
        <v>587.22386707221494</v>
      </c>
      <c r="CX104" s="62">
        <f t="shared" si="68"/>
        <v>864.90425961928941</v>
      </c>
      <c r="CY104" s="62">
        <f ca="1">AVERAGE(OFFSET($CX$3,0,0,'Données projet'!$E$13+1,1))-AVERAGE(OFFSET($H$3,0,0,'Données projet'!$E$13+1,1))</f>
        <v>482.24068797679558</v>
      </c>
      <c r="CZ104" s="62">
        <f t="shared" si="96"/>
        <v>316.28941055521693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63.02212838652116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63.02212838652116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-1.7053025658242404E-13</v>
      </c>
      <c r="DP104" s="18">
        <f>DO104*VLOOKUP('Données projet'!$B$14,Paramètres!$A$1:$I$89,3,0)*VLOOKUP('Données projet'!$B$14,Paramètres!$A$1:$I$89,5,0)</f>
        <v>-1.383341441396624E-13</v>
      </c>
      <c r="DQ104" s="14" t="e">
        <f t="shared" si="97"/>
        <v>#NUM!</v>
      </c>
      <c r="DR104" s="22" t="e">
        <f t="shared" si="70"/>
        <v>#NUM!</v>
      </c>
      <c r="DS104" s="62" t="e">
        <f t="shared" si="71"/>
        <v>#NUM!</v>
      </c>
      <c r="DT104" s="62">
        <f ca="1">AVERAGE(OFFSET($DS$3,0,0,'Données projet'!$E$14+1,1))-AVERAGE(OFFSET($H$3,0,0,'Données projet'!$E$14+1,1))</f>
        <v>325.58538970226539</v>
      </c>
      <c r="DU104" s="62">
        <f t="shared" si="98"/>
        <v>361.81085660423457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62.889263287261542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62.889263287261542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5.2</v>
      </c>
      <c r="EJ104" s="13">
        <f>IF('Données projet'!$A$192&gt;35,EJ103+EI104-ER103,IF(A104&lt;'Données projet'!$A$192,$EG$205^A104,IF(A104='Données projet'!$A$192,'Données projet'!$B$192,EJ103+EI104-ER103)))</f>
        <v>199.1999999999999</v>
      </c>
      <c r="EK104" s="18">
        <f>EJ104*VLOOKUP('Données projet'!$B$15,Paramètres!$A$1:$I$89,3,0)*VLOOKUP('Données projet'!$B$15,Paramètres!$A$1:$I$89,5,0)</f>
        <v>192.6662399999999</v>
      </c>
      <c r="EL104" s="14">
        <f t="shared" si="99"/>
        <v>48.128941729836697</v>
      </c>
      <c r="EM104" s="22">
        <f t="shared" si="73"/>
        <v>419.38494151279878</v>
      </c>
      <c r="EN104" s="62">
        <f t="shared" si="74"/>
        <v>697.06533405987318</v>
      </c>
      <c r="EO104" s="62">
        <f ca="1">AVERAGE(OFFSET($EN$3,0,0,'Données projet'!$E$15+1,1))-AVERAGE(OFFSET($H$3,0,0,'Données projet'!$E$15+1,1))</f>
        <v>364.22267539944085</v>
      </c>
      <c r="EP104" s="62">
        <f t="shared" si="100"/>
        <v>241.947139538615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44.655679542449299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44.655679542449299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-1.7053025658242404E-13</v>
      </c>
      <c r="FF104" s="18">
        <f>FE104*VLOOKUP('Données projet'!$B$16,Paramètres!$A$1:$I$89,3,0)*VLOOKUP('Données projet'!$B$16,Paramètres!$A$1:$I$89,5,0)</f>
        <v>-1.4897523215040567E-13</v>
      </c>
      <c r="FG104" s="14" t="e">
        <f t="shared" si="101"/>
        <v>#NUM!</v>
      </c>
      <c r="FH104" s="22" t="e">
        <f t="shared" si="76"/>
        <v>#NUM!</v>
      </c>
      <c r="FI104" s="62" t="e">
        <f t="shared" si="77"/>
        <v>#NUM!</v>
      </c>
      <c r="FJ104" s="62">
        <f ca="1">AVERAGE(OFFSET($FI$3,0,0,'Données projet'!$E$16+1,1))-AVERAGE(OFFSET($H$3,0,0,'Données projet'!$E$16+1,1))</f>
        <v>286.59837239471312</v>
      </c>
      <c r="FK104" s="62">
        <f t="shared" si="102"/>
        <v>319.26091328564689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54.585411115527421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54.585411115527421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-1.7053025658242404E-13</v>
      </c>
      <c r="GA104" s="18">
        <f>FZ104*VLOOKUP('Données projet'!$B$17,Paramètres!$A$1:$I$89,3,0)*VLOOKUP('Données projet'!$B$17,Paramètres!$A$1:$I$89,5,0)</f>
        <v>-1.1439169611549005E-13</v>
      </c>
      <c r="GB104" s="14" t="e">
        <f t="shared" si="103"/>
        <v>#NUM!</v>
      </c>
      <c r="GC104" s="22" t="e">
        <f t="shared" si="79"/>
        <v>#NUM!</v>
      </c>
      <c r="GD104" s="62" t="e">
        <f t="shared" si="80"/>
        <v>#NUM!</v>
      </c>
      <c r="GE104" s="62">
        <f ca="1">AVERAGE(OFFSET($GD$3,0,0,'Données projet'!$E$17+1,1))-AVERAGE(OFFSET($H$3,0,0,'Données projet'!$E$17+1,1))</f>
        <v>277.37570531842186</v>
      </c>
      <c r="GF104" s="62">
        <f t="shared" si="104"/>
        <v>310.00874200911312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projet'!$B$17,Paramètres!$A$1:$I$89,3,0)*0.475*44/12</f>
        <v>64.098672196631966</v>
      </c>
      <c r="GM104" s="23">
        <f>EXP(-LN(2)/25)*GM103+(1-EXP(-LN(2)/25))/(LN(2)/25)*Calculateur!GH104*Calculateur!GJ104*VLOOKUP('Données projet'!$B$17,Paramètres!$A$1:$I$89,3,0)*0.475*44/12</f>
        <v>0</v>
      </c>
      <c r="GN104" s="23">
        <f>EXP(-LN(2)/2)*GN103+(1-EXP(-LN(2)/2))/(LN(2)/2)*GH104*GK104*VLOOKUP('Données projet'!$B$17,Paramètres!$A$1:$I$89,3,0)*0.475*44/12</f>
        <v>0</v>
      </c>
      <c r="GO104" s="23">
        <f t="shared" si="81"/>
        <v>64.098672196631966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6.5</v>
      </c>
      <c r="N105" s="14">
        <f>IF('Données projet'!$A$36&gt;35,N104+M105-V104,IF(A105&lt;'Données projet'!$A$36,$K$205^A105,IF(A105='Données projet'!$A$36,'Données projet'!$B$36,N104+M105-V104)))</f>
        <v>255.50000000000028</v>
      </c>
      <c r="O105" s="14">
        <f>N105*VLOOKUP('Données projet'!$B$9,Paramètres!$A$1:$I$89,3,0)*VLOOKUP('Données projet'!$B$9,Paramètres!$A$1:$I$89,5,0)</f>
        <v>223.20480000000029</v>
      </c>
      <c r="P105" s="14">
        <f t="shared" si="87"/>
        <v>54.810845799604039</v>
      </c>
      <c r="Q105" s="22">
        <f t="shared" si="107"/>
        <v>484.21058310097754</v>
      </c>
      <c r="R105" s="62">
        <f t="shared" si="55"/>
        <v>762.16251917596048</v>
      </c>
      <c r="S105" s="62">
        <f ca="1">AVERAGE(OFFSET($R$3,0,0,'Données projet'!$E$9+1,1))-AVERAGE(OFFSET($H$3,0,0,'Données projet'!$E$9+1,1))</f>
        <v>401.34220206028908</v>
      </c>
      <c r="T105" s="62">
        <f t="shared" si="88"/>
        <v>265.33314259106987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49.429042310851358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49.429042310851358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1.7053025658242404E-13</v>
      </c>
      <c r="AJ105" s="14">
        <f>AI105*VLOOKUP('Données projet'!$B$10,Paramètres!$A$1:$I$89,3,0)*VLOOKUP('Données projet'!$B$10,Paramètres!$A$1:$I$89,5,0)</f>
        <v>7.9808160080574461E-14</v>
      </c>
      <c r="AK105" s="14">
        <f t="shared" si="89"/>
        <v>1.2308384591775343E-12</v>
      </c>
      <c r="AL105" s="22">
        <f t="shared" si="58"/>
        <v>2.282709528541206E-12</v>
      </c>
      <c r="AM105" s="62">
        <f t="shared" si="59"/>
        <v>277.95193607498521</v>
      </c>
      <c r="AN105" s="62">
        <f ca="1">AVERAGE(OFFSET($AM$3,0,0,'Données projet'!$E$10+1,1))-AVERAGE(OFFSET($H$3,0,0,'Données projet'!$E$10+1,1))</f>
        <v>253.48761861464732</v>
      </c>
      <c r="AO105" s="62">
        <f t="shared" si="90"/>
        <v>219.50855998133855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121.70150318964269</v>
      </c>
      <c r="AV105" s="23">
        <f>EXP(-LN(2)/25)*AV104+(1-EXP(-LN(2)/25))/(LN(2)/25)*Calculateur!AQ105*Calculateur!AS105*VLOOKUP('Données projet'!$B$10,Paramètres!$A$1:$I$89,3,0)*0.475*44/12</f>
        <v>27.437437552506907</v>
      </c>
      <c r="AW105" s="23">
        <f>EXP(-LN(2)/2)*AW104+(1-EXP(-LN(2)/2))/(LN(2)/2)*AQ105*AT105*VLOOKUP('Données projet'!$B$10,Paramètres!$A$1:$I$89,3,0)*0.475*44/12</f>
        <v>11.920296993327428</v>
      </c>
      <c r="AX105" s="23">
        <f t="shared" si="60"/>
        <v>161.05923773547704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>
        <f>BD105*VLOOKUP('Données projet'!$B$11,Paramètres!$A$1:$I$89,3,0)*VLOOKUP('Données projet'!$B$11,Paramètres!$A$1:$I$89,5,0)</f>
        <v>0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482.85256243111911</v>
      </c>
      <c r="BJ105" s="62">
        <f t="shared" si="92"/>
        <v>517.78430032567064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51.505137696203974</v>
      </c>
      <c r="BQ105" s="23">
        <f>EXP(-LN(2)/25)*BQ104+(1-EXP(-LN(2)/25))/(LN(2)/25)*Calculateur!BL105*Calculateur!BN105*VLOOKUP('Données projet'!$B$11,Paramètres!$A$1:$I$89,3,0)*0.475*44/12</f>
        <v>9.3992734139228453</v>
      </c>
      <c r="BR105" s="23">
        <f>EXP(-LN(2)/2)*BR104+(1-EXP(-LN(2)/2))/(LN(2)/2)*BL105*BO105*VLOOKUP('Données projet'!$B$11,Paramètres!$A$1:$I$89,3,0)*0.475*44/12</f>
        <v>2.7778562258366104E-5</v>
      </c>
      <c r="BS105" s="24">
        <f t="shared" si="63"/>
        <v>60.904438888689072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>
        <f>BY105*VLOOKUP('Données projet'!$B$12,Paramètres!$A$1:$I$89,3,0)*VLOOKUP('Données projet'!$B$12,Paramètres!$A$1:$I$89,5,0)</f>
        <v>0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275.76900776033335</v>
      </c>
      <c r="CE105" s="62">
        <f t="shared" si="94"/>
        <v>299.36898480605191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49.359090292195475</v>
      </c>
      <c r="CL105" s="23">
        <f>EXP(-LN(2)/25)*CL104+(1-EXP(-LN(2)/25))/(LN(2)/25)*Calculateur!CG105*Calculateur!CI105*VLOOKUP('Données projet'!$B$12,Paramètres!$A$1:$I$89,3,0)*0.475*44/12</f>
        <v>9.0076370216760644</v>
      </c>
      <c r="CM105" s="23">
        <f>EXP(-LN(2)/2)*CM104+(1-EXP(-LN(2)/2))/(LN(2)/2)*CG105*CJ105*VLOOKUP('Données projet'!$B$12,Paramètres!$A$1:$I$89,3,0)*0.475*44/12</f>
        <v>2.6621122164267493E-5</v>
      </c>
      <c r="CN105" s="24">
        <f t="shared" si="66"/>
        <v>58.366753934993703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6.5</v>
      </c>
      <c r="CT105" s="13">
        <f>IF('Données projet'!$A$140&gt;35,CT104+CS105-DB104,IF(A105&lt;'Données projet'!$A$140,$CQ$205^A105,IF(A105='Données projet'!$A$140,'Données projet'!$B$140,CT104+CS105-DB104)))</f>
        <v>255.50000000000028</v>
      </c>
      <c r="CU105" s="18">
        <f>CT105*VLOOKUP('Données projet'!$B$13,Paramètres!$A$1:$I$89,3,0)*VLOOKUP('Données projet'!$B$13,Paramètres!$A$1:$I$89,5,0)</f>
        <v>279.00600000000031</v>
      </c>
      <c r="CV105" s="14">
        <f t="shared" si="95"/>
        <v>66.756904648890085</v>
      </c>
      <c r="CW105" s="22">
        <f t="shared" si="67"/>
        <v>602.20372559681743</v>
      </c>
      <c r="CX105" s="62">
        <f t="shared" si="68"/>
        <v>880.15566167180032</v>
      </c>
      <c r="CY105" s="62">
        <f ca="1">AVERAGE(OFFSET($CX$3,0,0,'Données projet'!$E$13+1,1))-AVERAGE(OFFSET($H$3,0,0,'Données projet'!$E$13+1,1))</f>
        <v>482.24068797679558</v>
      </c>
      <c r="CZ105" s="62">
        <f t="shared" si="96"/>
        <v>316.28941055521693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61.786302888564194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61.786302888564194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-1.7053025658242404E-13</v>
      </c>
      <c r="DP105" s="18">
        <f>DO105*VLOOKUP('Données projet'!$B$14,Paramètres!$A$1:$I$89,3,0)*VLOOKUP('Données projet'!$B$14,Paramètres!$A$1:$I$89,5,0)</f>
        <v>-1.383341441396624E-13</v>
      </c>
      <c r="DQ105" s="14" t="e">
        <f t="shared" si="97"/>
        <v>#NUM!</v>
      </c>
      <c r="DR105" s="22" t="e">
        <f t="shared" si="70"/>
        <v>#NUM!</v>
      </c>
      <c r="DS105" s="62" t="e">
        <f t="shared" si="71"/>
        <v>#NUM!</v>
      </c>
      <c r="DT105" s="62">
        <f ca="1">AVERAGE(OFFSET($DS$3,0,0,'Données projet'!$E$14+1,1))-AVERAGE(OFFSET($H$3,0,0,'Données projet'!$E$14+1,1))</f>
        <v>325.58538970226539</v>
      </c>
      <c r="DU105" s="62">
        <f t="shared" si="98"/>
        <v>361.81085660423457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61.656043192861347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61.656043192861347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5.2</v>
      </c>
      <c r="EJ105" s="13">
        <f>IF('Données projet'!$A$192&gt;35,EJ104+EI105-ER104,IF(A105&lt;'Données projet'!$A$192,$EG$205^A105,IF(A105='Données projet'!$A$192,'Données projet'!$B$192,EJ104+EI105-ER104)))</f>
        <v>204.39999999999989</v>
      </c>
      <c r="EK105" s="18">
        <f>EJ105*VLOOKUP('Données projet'!$B$15,Paramètres!$A$1:$I$89,3,0)*VLOOKUP('Données projet'!$B$15,Paramètres!$A$1:$I$89,5,0)</f>
        <v>197.6956799999999</v>
      </c>
      <c r="EL105" s="14">
        <f t="shared" si="99"/>
        <v>49.237406885887019</v>
      </c>
      <c r="EM105" s="22">
        <f t="shared" si="73"/>
        <v>430.07512632625304</v>
      </c>
      <c r="EN105" s="62">
        <f t="shared" si="74"/>
        <v>708.02706240123598</v>
      </c>
      <c r="EO105" s="62">
        <f ca="1">AVERAGE(OFFSET($EN$3,0,0,'Données projet'!$E$15+1,1))-AVERAGE(OFFSET($H$3,0,0,'Données projet'!$E$15+1,1))</f>
        <v>364.22267539944085</v>
      </c>
      <c r="EP105" s="62">
        <f t="shared" si="100"/>
        <v>241.947139538615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43.780008903896935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43.780008903896935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-1.7053025658242404E-13</v>
      </c>
      <c r="FF105" s="18">
        <f>FE105*VLOOKUP('Données projet'!$B$16,Paramètres!$A$1:$I$89,3,0)*VLOOKUP('Données projet'!$B$16,Paramètres!$A$1:$I$89,5,0)</f>
        <v>-1.4897523215040567E-13</v>
      </c>
      <c r="FG105" s="14" t="e">
        <f t="shared" si="101"/>
        <v>#NUM!</v>
      </c>
      <c r="FH105" s="22" t="e">
        <f t="shared" si="76"/>
        <v>#NUM!</v>
      </c>
      <c r="FI105" s="62" t="e">
        <f t="shared" si="77"/>
        <v>#NUM!</v>
      </c>
      <c r="FJ105" s="62">
        <f ca="1">AVERAGE(OFFSET($FI$3,0,0,'Données projet'!$E$16+1,1))-AVERAGE(OFFSET($H$3,0,0,'Données projet'!$E$16+1,1))</f>
        <v>286.59837239471312</v>
      </c>
      <c r="FK105" s="62">
        <f t="shared" si="102"/>
        <v>319.26091328564689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53.515024497365218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53.515024497365218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-1.7053025658242404E-13</v>
      </c>
      <c r="GA105" s="18">
        <f>FZ105*VLOOKUP('Données projet'!$B$17,Paramètres!$A$1:$I$89,3,0)*VLOOKUP('Données projet'!$B$17,Paramètres!$A$1:$I$89,5,0)</f>
        <v>-1.1439169611549005E-13</v>
      </c>
      <c r="GB105" s="14" t="e">
        <f t="shared" si="103"/>
        <v>#NUM!</v>
      </c>
      <c r="GC105" s="22" t="e">
        <f t="shared" si="79"/>
        <v>#NUM!</v>
      </c>
      <c r="GD105" s="62" t="e">
        <f t="shared" si="80"/>
        <v>#NUM!</v>
      </c>
      <c r="GE105" s="62">
        <f ca="1">AVERAGE(OFFSET($GD$3,0,0,'Données projet'!$E$17+1,1))-AVERAGE(OFFSET($H$3,0,0,'Données projet'!$E$17+1,1))</f>
        <v>277.37570531842186</v>
      </c>
      <c r="GF105" s="62">
        <f t="shared" si="104"/>
        <v>310.00874200911312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projet'!$B$17,Paramètres!$A$1:$I$89,3,0)*0.475*44/12</f>
        <v>62.841736331185615</v>
      </c>
      <c r="GM105" s="23">
        <f>EXP(-LN(2)/25)*GM104+(1-EXP(-LN(2)/25))/(LN(2)/25)*Calculateur!GH105*Calculateur!GJ105*VLOOKUP('Données projet'!$B$17,Paramètres!$A$1:$I$89,3,0)*0.475*44/12</f>
        <v>0</v>
      </c>
      <c r="GN105" s="23">
        <f>EXP(-LN(2)/2)*GN104+(1-EXP(-LN(2)/2))/(LN(2)/2)*GH105*GK105*VLOOKUP('Données projet'!$B$17,Paramètres!$A$1:$I$89,3,0)*0.475*44/12</f>
        <v>0</v>
      </c>
      <c r="GO105" s="23">
        <f t="shared" si="81"/>
        <v>62.841736331185615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6.5</v>
      </c>
      <c r="N106" s="14">
        <f>IF('Données projet'!$A$36&gt;35,N105+M106-V105,IF(A106&lt;'Données projet'!$A$36,$K$205^A106,IF(A106='Données projet'!$A$36,'Données projet'!$B$36,N105+M106-V105)))</f>
        <v>262.00000000000028</v>
      </c>
      <c r="O106" s="14">
        <f>N106*VLOOKUP('Données projet'!$B$9,Paramètres!$A$1:$I$89,3,0)*VLOOKUP('Données projet'!$B$9,Paramètres!$A$1:$I$89,5,0)</f>
        <v>228.88320000000027</v>
      </c>
      <c r="P106" s="14">
        <f t="shared" si="87"/>
        <v>56.041134895218534</v>
      </c>
      <c r="Q106" s="22">
        <f t="shared" si="107"/>
        <v>496.24321660917275</v>
      </c>
      <c r="R106" s="62">
        <f t="shared" si="55"/>
        <v>774.46198553893544</v>
      </c>
      <c r="S106" s="62">
        <f ca="1">AVERAGE(OFFSET($R$3,0,0,'Données projet'!$E$9+1,1))-AVERAGE(OFFSET($H$3,0,0,'Données projet'!$E$9+1,1))</f>
        <v>401.34220206028908</v>
      </c>
      <c r="T106" s="62">
        <f t="shared" si="88"/>
        <v>265.33314259106987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48.459768939874429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48.459768939874429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1.7053025658242404E-13</v>
      </c>
      <c r="AJ106" s="14">
        <f>AI106*VLOOKUP('Données projet'!$B$10,Paramètres!$A$1:$I$89,3,0)*VLOOKUP('Données projet'!$B$10,Paramètres!$A$1:$I$89,5,0)</f>
        <v>7.9808160080574461E-14</v>
      </c>
      <c r="AK106" s="14">
        <f t="shared" si="89"/>
        <v>1.2308384591775343E-12</v>
      </c>
      <c r="AL106" s="22">
        <f t="shared" si="58"/>
        <v>2.282709528541206E-12</v>
      </c>
      <c r="AM106" s="62">
        <f t="shared" si="59"/>
        <v>278.21876892976496</v>
      </c>
      <c r="AN106" s="62">
        <f ca="1">AVERAGE(OFFSET($AM$3,0,0,'Données projet'!$E$10+1,1))-AVERAGE(OFFSET($H$3,0,0,'Données projet'!$E$10+1,1))</f>
        <v>253.48761861464732</v>
      </c>
      <c r="AO106" s="62">
        <f t="shared" si="90"/>
        <v>219.50855998133855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119.31501094268108</v>
      </c>
      <c r="AV106" s="23">
        <f>EXP(-LN(2)/25)*AV105+(1-EXP(-LN(2)/25))/(LN(2)/25)*Calculateur!AQ106*Calculateur!AS106*VLOOKUP('Données projet'!$B$10,Paramètres!$A$1:$I$89,3,0)*0.475*44/12</f>
        <v>26.687159379761475</v>
      </c>
      <c r="AW106" s="23">
        <f>EXP(-LN(2)/2)*AW105+(1-EXP(-LN(2)/2))/(LN(2)/2)*AQ106*AT106*VLOOKUP('Données projet'!$B$10,Paramètres!$A$1:$I$89,3,0)*0.475*44/12</f>
        <v>8.4289228377394387</v>
      </c>
      <c r="AX106" s="23">
        <f t="shared" si="60"/>
        <v>154.431093160182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>
        <f>BD106*VLOOKUP('Données projet'!$B$11,Paramètres!$A$1:$I$89,3,0)*VLOOKUP('Données projet'!$B$11,Paramètres!$A$1:$I$89,5,0)</f>
        <v>0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482.85256243111911</v>
      </c>
      <c r="BJ106" s="62">
        <f t="shared" si="92"/>
        <v>517.78430032567064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50.495153361013429</v>
      </c>
      <c r="BQ106" s="23">
        <f>EXP(-LN(2)/25)*BQ105+(1-EXP(-LN(2)/25))/(LN(2)/25)*Calculateur!BL106*Calculateur!BN106*VLOOKUP('Données projet'!$B$11,Paramètres!$A$1:$I$89,3,0)*0.475*44/12</f>
        <v>9.1422497881328191</v>
      </c>
      <c r="BR106" s="23">
        <f>EXP(-LN(2)/2)*BR105+(1-EXP(-LN(2)/2))/(LN(2)/2)*BL106*BO106*VLOOKUP('Données projet'!$B$11,Paramètres!$A$1:$I$89,3,0)*0.475*44/12</f>
        <v>1.9642409744503368E-5</v>
      </c>
      <c r="BS106" s="24">
        <f t="shared" si="63"/>
        <v>59.637422791555998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>
        <f>BY106*VLOOKUP('Données projet'!$B$12,Paramètres!$A$1:$I$89,3,0)*VLOOKUP('Données projet'!$B$12,Paramètres!$A$1:$I$89,5,0)</f>
        <v>0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275.76900776033335</v>
      </c>
      <c r="CE106" s="62">
        <f t="shared" si="94"/>
        <v>299.36898480605191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48.391188637637875</v>
      </c>
      <c r="CL106" s="23">
        <f>EXP(-LN(2)/25)*CL105+(1-EXP(-LN(2)/25))/(LN(2)/25)*Calculateur!CG106*Calculateur!CI106*VLOOKUP('Données projet'!$B$12,Paramètres!$A$1:$I$89,3,0)*0.475*44/12</f>
        <v>8.7613227136272886</v>
      </c>
      <c r="CM106" s="23">
        <f>EXP(-LN(2)/2)*CM105+(1-EXP(-LN(2)/2))/(LN(2)/2)*CG106*CJ106*VLOOKUP('Données projet'!$B$12,Paramètres!$A$1:$I$89,3,0)*0.475*44/12</f>
        <v>1.8823976005149045E-5</v>
      </c>
      <c r="CN106" s="24">
        <f t="shared" si="66"/>
        <v>57.152530175241168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6.5</v>
      </c>
      <c r="CT106" s="13">
        <f>IF('Données projet'!$A$140&gt;35,CT105+CS106-DB105,IF(A106&lt;'Données projet'!$A$140,$CQ$205^A106,IF(A106='Données projet'!$A$140,'Données projet'!$B$140,CT105+CS106-DB105)))</f>
        <v>262.00000000000028</v>
      </c>
      <c r="CU106" s="18">
        <f>CT106*VLOOKUP('Données projet'!$B$13,Paramètres!$A$1:$I$89,3,0)*VLOOKUP('Données projet'!$B$13,Paramètres!$A$1:$I$89,5,0)</f>
        <v>286.10400000000027</v>
      </c>
      <c r="CV106" s="14">
        <f t="shared" si="95"/>
        <v>68.255336038669867</v>
      </c>
      <c r="CW106" s="22">
        <f t="shared" si="67"/>
        <v>617.17584360068372</v>
      </c>
      <c r="CX106" s="62">
        <f t="shared" si="68"/>
        <v>895.39461253044647</v>
      </c>
      <c r="CY106" s="62">
        <f ca="1">AVERAGE(OFFSET($CX$3,0,0,'Données projet'!$E$13+1,1))-AVERAGE(OFFSET($H$3,0,0,'Données projet'!$E$13+1,1))</f>
        <v>482.24068797679558</v>
      </c>
      <c r="CZ106" s="62">
        <f t="shared" si="96"/>
        <v>316.28941055521693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60.574711174843038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60.574711174843038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-1.7053025658242404E-13</v>
      </c>
      <c r="DP106" s="18">
        <f>DO106*VLOOKUP('Données projet'!$B$14,Paramètres!$A$1:$I$89,3,0)*VLOOKUP('Données projet'!$B$14,Paramètres!$A$1:$I$89,5,0)</f>
        <v>-1.383341441396624E-13</v>
      </c>
      <c r="DQ106" s="14" t="e">
        <f t="shared" si="97"/>
        <v>#NUM!</v>
      </c>
      <c r="DR106" s="22" t="e">
        <f t="shared" si="70"/>
        <v>#NUM!</v>
      </c>
      <c r="DS106" s="62" t="e">
        <f t="shared" si="71"/>
        <v>#NUM!</v>
      </c>
      <c r="DT106" s="62">
        <f ca="1">AVERAGE(OFFSET($DS$3,0,0,'Données projet'!$E$14+1,1))-AVERAGE(OFFSET($H$3,0,0,'Données projet'!$E$14+1,1))</f>
        <v>325.58538970226539</v>
      </c>
      <c r="DU106" s="62">
        <f t="shared" si="98"/>
        <v>361.81085660423457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60.447005792322351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60.447005792322351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5.2</v>
      </c>
      <c r="EJ106" s="13">
        <f>IF('Données projet'!$A$192&gt;35,EJ105+EI106-ER105,IF(A106&lt;'Données projet'!$A$192,$EG$205^A106,IF(A106='Données projet'!$A$192,'Données projet'!$B$192,EJ105+EI106-ER105)))</f>
        <v>209.59999999999988</v>
      </c>
      <c r="EK106" s="18">
        <f>EJ106*VLOOKUP('Données projet'!$B$15,Paramètres!$A$1:$I$89,3,0)*VLOOKUP('Données projet'!$B$15,Paramètres!$A$1:$I$89,5,0)</f>
        <v>202.72511999999986</v>
      </c>
      <c r="EL106" s="14">
        <f t="shared" si="99"/>
        <v>50.342594078391137</v>
      </c>
      <c r="EM106" s="22">
        <f t="shared" si="73"/>
        <v>440.7596020198643</v>
      </c>
      <c r="EN106" s="62">
        <f t="shared" si="74"/>
        <v>718.97837094962699</v>
      </c>
      <c r="EO106" s="62">
        <f ca="1">AVERAGE(OFFSET($EN$3,0,0,'Données projet'!$E$15+1,1))-AVERAGE(OFFSET($H$3,0,0,'Données projet'!$E$15+1,1))</f>
        <v>364.22267539944085</v>
      </c>
      <c r="EP106" s="62">
        <f t="shared" si="100"/>
        <v>241.947139538615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42.921509632460229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42.921509632460229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-1.7053025658242404E-13</v>
      </c>
      <c r="FF106" s="18">
        <f>FE106*VLOOKUP('Données projet'!$B$16,Paramètres!$A$1:$I$89,3,0)*VLOOKUP('Données projet'!$B$16,Paramètres!$A$1:$I$89,5,0)</f>
        <v>-1.4897523215040567E-13</v>
      </c>
      <c r="FG106" s="14" t="e">
        <f t="shared" si="101"/>
        <v>#NUM!</v>
      </c>
      <c r="FH106" s="22" t="e">
        <f t="shared" si="76"/>
        <v>#NUM!</v>
      </c>
      <c r="FI106" s="62" t="e">
        <f t="shared" si="77"/>
        <v>#NUM!</v>
      </c>
      <c r="FJ106" s="62">
        <f ca="1">AVERAGE(OFFSET($FI$3,0,0,'Données projet'!$E$16+1,1))-AVERAGE(OFFSET($H$3,0,0,'Données projet'!$E$16+1,1))</f>
        <v>286.59837239471312</v>
      </c>
      <c r="FK106" s="62">
        <f t="shared" si="102"/>
        <v>319.26091328564689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52.465627507913801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52.465627507913801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-1.7053025658242404E-13</v>
      </c>
      <c r="GA106" s="18">
        <f>FZ106*VLOOKUP('Données projet'!$B$17,Paramètres!$A$1:$I$89,3,0)*VLOOKUP('Données projet'!$B$17,Paramètres!$A$1:$I$89,5,0)</f>
        <v>-1.1439169611549005E-13</v>
      </c>
      <c r="GB106" s="14" t="e">
        <f t="shared" si="103"/>
        <v>#NUM!</v>
      </c>
      <c r="GC106" s="22" t="e">
        <f t="shared" si="79"/>
        <v>#NUM!</v>
      </c>
      <c r="GD106" s="62" t="e">
        <f t="shared" si="80"/>
        <v>#NUM!</v>
      </c>
      <c r="GE106" s="62">
        <f ca="1">AVERAGE(OFFSET($GD$3,0,0,'Données projet'!$E$17+1,1))-AVERAGE(OFFSET($H$3,0,0,'Données projet'!$E$17+1,1))</f>
        <v>277.37570531842186</v>
      </c>
      <c r="GF106" s="62">
        <f t="shared" si="104"/>
        <v>310.00874200911312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projet'!$B$17,Paramètres!$A$1:$I$89,3,0)*0.475*44/12</f>
        <v>61.609448211405486</v>
      </c>
      <c r="GM106" s="23">
        <f>EXP(-LN(2)/25)*GM105+(1-EXP(-LN(2)/25))/(LN(2)/25)*Calculateur!GH106*Calculateur!GJ106*VLOOKUP('Données projet'!$B$17,Paramètres!$A$1:$I$89,3,0)*0.475*44/12</f>
        <v>0</v>
      </c>
      <c r="GN106" s="23">
        <f>EXP(-LN(2)/2)*GN105+(1-EXP(-LN(2)/2))/(LN(2)/2)*GH106*GK106*VLOOKUP('Données projet'!$B$17,Paramètres!$A$1:$I$89,3,0)*0.475*44/12</f>
        <v>0</v>
      </c>
      <c r="GO106" s="23">
        <f t="shared" si="81"/>
        <v>61.609448211405486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6.5</v>
      </c>
      <c r="N107" s="14">
        <f>IF('Données projet'!$A$36&gt;35,N106+M107-V106,IF(A107&lt;'Données projet'!$A$36,$K$205^A107,IF(A107='Données projet'!$A$36,'Données projet'!$B$36,N106+M107-V106)))</f>
        <v>268.50000000000028</v>
      </c>
      <c r="O107" s="14">
        <f>N107*VLOOKUP('Données projet'!$B$9,Paramètres!$A$1:$I$89,3,0)*VLOOKUP('Données projet'!$B$9,Paramètres!$A$1:$I$89,5,0)</f>
        <v>234.56160000000028</v>
      </c>
      <c r="P107" s="14">
        <f t="shared" si="87"/>
        <v>57.267875919179481</v>
      </c>
      <c r="Q107" s="22">
        <f t="shared" si="107"/>
        <v>508.26967055923797</v>
      </c>
      <c r="R107" s="62">
        <f t="shared" si="55"/>
        <v>786.75064339029882</v>
      </c>
      <c r="S107" s="62">
        <f ca="1">AVERAGE(OFFSET($R$3,0,0,'Données projet'!$E$9+1,1))-AVERAGE(OFFSET($H$3,0,0,'Données projet'!$E$9+1,1))</f>
        <v>401.34220206028908</v>
      </c>
      <c r="T107" s="62">
        <f t="shared" si="88"/>
        <v>265.33314259106987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47.509502428503978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47.509502428503978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1.7053025658242404E-13</v>
      </c>
      <c r="AJ107" s="14">
        <f>AI107*VLOOKUP('Données projet'!$B$10,Paramètres!$A$1:$I$89,3,0)*VLOOKUP('Données projet'!$B$10,Paramètres!$A$1:$I$89,5,0)</f>
        <v>7.9808160080574461E-14</v>
      </c>
      <c r="AK107" s="14">
        <f t="shared" si="89"/>
        <v>1.2308384591775343E-12</v>
      </c>
      <c r="AL107" s="22">
        <f t="shared" si="58"/>
        <v>2.282709528541206E-12</v>
      </c>
      <c r="AM107" s="62">
        <f t="shared" si="59"/>
        <v>278.48097283106318</v>
      </c>
      <c r="AN107" s="62">
        <f ca="1">AVERAGE(OFFSET($AM$3,0,0,'Données projet'!$E$10+1,1))-AVERAGE(OFFSET($H$3,0,0,'Données projet'!$E$10+1,1))</f>
        <v>253.48761861464732</v>
      </c>
      <c r="AO107" s="62">
        <f t="shared" si="90"/>
        <v>219.50855998133855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116.97531635306585</v>
      </c>
      <c r="AV107" s="23">
        <f>EXP(-LN(2)/25)*AV106+(1-EXP(-LN(2)/25))/(LN(2)/25)*Calculateur!AQ107*Calculateur!AS107*VLOOKUP('Données projet'!$B$10,Paramètres!$A$1:$I$89,3,0)*0.475*44/12</f>
        <v>25.957397603105179</v>
      </c>
      <c r="AW107" s="23">
        <f>EXP(-LN(2)/2)*AW106+(1-EXP(-LN(2)/2))/(LN(2)/2)*AQ107*AT107*VLOOKUP('Données projet'!$B$10,Paramètres!$A$1:$I$89,3,0)*0.475*44/12</f>
        <v>5.9601484966637148</v>
      </c>
      <c r="AX107" s="23">
        <f t="shared" si="60"/>
        <v>148.89286245283475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>
        <f>BD107*VLOOKUP('Données projet'!$B$11,Paramètres!$A$1:$I$89,3,0)*VLOOKUP('Données projet'!$B$11,Paramètres!$A$1:$I$89,5,0)</f>
        <v>0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482.85256243111911</v>
      </c>
      <c r="BJ107" s="62">
        <f t="shared" si="92"/>
        <v>517.78430032567064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49.504974202606356</v>
      </c>
      <c r="BQ107" s="23">
        <f>EXP(-LN(2)/25)*BQ106+(1-EXP(-LN(2)/25))/(LN(2)/25)*Calculateur!BL107*Calculateur!BN107*VLOOKUP('Données projet'!$B$11,Paramètres!$A$1:$I$89,3,0)*0.475*44/12</f>
        <v>8.8922544869063049</v>
      </c>
      <c r="BR107" s="23">
        <f>EXP(-LN(2)/2)*BR106+(1-EXP(-LN(2)/2))/(LN(2)/2)*BL107*BO107*VLOOKUP('Données projet'!$B$11,Paramètres!$A$1:$I$89,3,0)*0.475*44/12</f>
        <v>1.3889281129183052E-5</v>
      </c>
      <c r="BS107" s="24">
        <f t="shared" si="63"/>
        <v>58.397242578793787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>
        <f>BY107*VLOOKUP('Données projet'!$B$12,Paramètres!$A$1:$I$89,3,0)*VLOOKUP('Données projet'!$B$12,Paramètres!$A$1:$I$89,5,0)</f>
        <v>0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275.76900776033335</v>
      </c>
      <c r="CE107" s="62">
        <f t="shared" si="94"/>
        <v>299.36898480605191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47.44226694416443</v>
      </c>
      <c r="CL107" s="23">
        <f>EXP(-LN(2)/25)*CL106+(1-EXP(-LN(2)/25))/(LN(2)/25)*Calculateur!CG107*Calculateur!CI107*VLOOKUP('Données projet'!$B$12,Paramètres!$A$1:$I$89,3,0)*0.475*44/12</f>
        <v>8.5217438832852128</v>
      </c>
      <c r="CM107" s="23">
        <f>EXP(-LN(2)/2)*CM106+(1-EXP(-LN(2)/2))/(LN(2)/2)*CG107*CJ107*VLOOKUP('Données projet'!$B$12,Paramètres!$A$1:$I$89,3,0)*0.475*44/12</f>
        <v>1.3310561082133747E-5</v>
      </c>
      <c r="CN107" s="24">
        <f t="shared" si="66"/>
        <v>55.964024138010721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6.5</v>
      </c>
      <c r="CT107" s="13">
        <f>IF('Données projet'!$A$140&gt;35,CT106+CS107-DB106,IF(A107&lt;'Données projet'!$A$140,$CQ$205^A107,IF(A107='Données projet'!$A$140,'Données projet'!$B$140,CT106+CS107-DB106)))</f>
        <v>268.50000000000028</v>
      </c>
      <c r="CU107" s="18">
        <f>CT107*VLOOKUP('Données projet'!$B$13,Paramètres!$A$1:$I$89,3,0)*VLOOKUP('Données projet'!$B$13,Paramètres!$A$1:$I$89,5,0)</f>
        <v>293.20200000000028</v>
      </c>
      <c r="CV107" s="14">
        <f t="shared" si="95"/>
        <v>69.749446052313019</v>
      </c>
      <c r="CW107" s="22">
        <f t="shared" si="67"/>
        <v>632.14043520777898</v>
      </c>
      <c r="CX107" s="62">
        <f t="shared" si="68"/>
        <v>910.62140803883995</v>
      </c>
      <c r="CY107" s="62">
        <f ca="1">AVERAGE(OFFSET($CX$3,0,0,'Données projet'!$E$13+1,1))-AVERAGE(OFFSET($H$3,0,0,'Données projet'!$E$13+1,1))</f>
        <v>482.24068797679558</v>
      </c>
      <c r="CZ107" s="62">
        <f t="shared" si="96"/>
        <v>316.28941055521693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59.386878035629977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59.386878035629977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-1.7053025658242404E-13</v>
      </c>
      <c r="DP107" s="18">
        <f>DO107*VLOOKUP('Données projet'!$B$14,Paramètres!$A$1:$I$89,3,0)*VLOOKUP('Données projet'!$B$14,Paramètres!$A$1:$I$89,5,0)</f>
        <v>-1.383341441396624E-13</v>
      </c>
      <c r="DQ107" s="14" t="e">
        <f t="shared" si="97"/>
        <v>#NUM!</v>
      </c>
      <c r="DR107" s="22" t="e">
        <f t="shared" si="70"/>
        <v>#NUM!</v>
      </c>
      <c r="DS107" s="62" t="e">
        <f t="shared" si="71"/>
        <v>#NUM!</v>
      </c>
      <c r="DT107" s="62">
        <f ca="1">AVERAGE(OFFSET($DS$3,0,0,'Données projet'!$E$14+1,1))-AVERAGE(OFFSET($H$3,0,0,'Données projet'!$E$14+1,1))</f>
        <v>325.58538970226539</v>
      </c>
      <c r="DU107" s="62">
        <f t="shared" si="98"/>
        <v>361.81085660423457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59.261676877767925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59.261676877767925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5.2</v>
      </c>
      <c r="EJ107" s="13">
        <f>IF('Données projet'!$A$192&gt;35,EJ106+EI107-ER106,IF(A107&lt;'Données projet'!$A$192,$EG$205^A107,IF(A107='Données projet'!$A$192,'Données projet'!$B$192,EJ106+EI107-ER106)))</f>
        <v>214.79999999999987</v>
      </c>
      <c r="EK107" s="18">
        <f>EJ107*VLOOKUP('Données projet'!$B$15,Paramètres!$A$1:$I$89,3,0)*VLOOKUP('Données projet'!$B$15,Paramètres!$A$1:$I$89,5,0)</f>
        <v>207.75455999999991</v>
      </c>
      <c r="EL107" s="14">
        <f t="shared" si="99"/>
        <v>51.444593984782131</v>
      </c>
      <c r="EM107" s="22">
        <f t="shared" si="73"/>
        <v>451.43852652349534</v>
      </c>
      <c r="EN107" s="62">
        <f t="shared" si="74"/>
        <v>729.91949935455625</v>
      </c>
      <c r="EO107" s="62">
        <f ca="1">AVERAGE(OFFSET($EN$3,0,0,'Données projet'!$E$15+1,1))-AVERAGE(OFFSET($H$3,0,0,'Données projet'!$E$15+1,1))</f>
        <v>364.22267539944085</v>
      </c>
      <c r="EP107" s="62">
        <f t="shared" si="100"/>
        <v>241.947139538615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42.079845008103547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42.079845008103547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-1.7053025658242404E-13</v>
      </c>
      <c r="FF107" s="18">
        <f>FE107*VLOOKUP('Données projet'!$B$16,Paramètres!$A$1:$I$89,3,0)*VLOOKUP('Données projet'!$B$16,Paramètres!$A$1:$I$89,5,0)</f>
        <v>-1.4897523215040567E-13</v>
      </c>
      <c r="FG107" s="14" t="e">
        <f t="shared" si="101"/>
        <v>#NUM!</v>
      </c>
      <c r="FH107" s="22" t="e">
        <f t="shared" si="76"/>
        <v>#NUM!</v>
      </c>
      <c r="FI107" s="62" t="e">
        <f t="shared" si="77"/>
        <v>#NUM!</v>
      </c>
      <c r="FJ107" s="62">
        <f ca="1">AVERAGE(OFFSET($FI$3,0,0,'Données projet'!$E$16+1,1))-AVERAGE(OFFSET($H$3,0,0,'Données projet'!$E$16+1,1))</f>
        <v>286.59837239471312</v>
      </c>
      <c r="FK107" s="62">
        <f t="shared" si="102"/>
        <v>319.26091328564689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51.43680855335657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51.43680855335657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-1.7053025658242404E-13</v>
      </c>
      <c r="GA107" s="18">
        <f>FZ107*VLOOKUP('Données projet'!$B$17,Paramètres!$A$1:$I$89,3,0)*VLOOKUP('Données projet'!$B$17,Paramètres!$A$1:$I$89,5,0)</f>
        <v>-1.1439169611549005E-13</v>
      </c>
      <c r="GB107" s="14" t="e">
        <f t="shared" si="103"/>
        <v>#NUM!</v>
      </c>
      <c r="GC107" s="22" t="e">
        <f t="shared" si="79"/>
        <v>#NUM!</v>
      </c>
      <c r="GD107" s="62" t="e">
        <f t="shared" si="80"/>
        <v>#NUM!</v>
      </c>
      <c r="GE107" s="62">
        <f ca="1">AVERAGE(OFFSET($GD$3,0,0,'Données projet'!$E$17+1,1))-AVERAGE(OFFSET($H$3,0,0,'Données projet'!$E$17+1,1))</f>
        <v>277.37570531842186</v>
      </c>
      <c r="GF107" s="62">
        <f t="shared" si="104"/>
        <v>310.00874200911312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projet'!$B$17,Paramètres!$A$1:$I$89,3,0)*0.475*44/12</f>
        <v>60.401324510032708</v>
      </c>
      <c r="GM107" s="23">
        <f>EXP(-LN(2)/25)*GM106+(1-EXP(-LN(2)/25))/(LN(2)/25)*Calculateur!GH107*Calculateur!GJ107*VLOOKUP('Données projet'!$B$17,Paramètres!$A$1:$I$89,3,0)*0.475*44/12</f>
        <v>0</v>
      </c>
      <c r="GN107" s="23">
        <f>EXP(-LN(2)/2)*GN106+(1-EXP(-LN(2)/2))/(LN(2)/2)*GH107*GK107*VLOOKUP('Données projet'!$B$17,Paramètres!$A$1:$I$89,3,0)*0.475*44/12</f>
        <v>0</v>
      </c>
      <c r="GO107" s="23">
        <f t="shared" si="81"/>
        <v>60.401324510032708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6.5</v>
      </c>
      <c r="N108" s="14">
        <f>IF('Données projet'!$A$36&gt;35,N107+M108-V107,IF(A108&lt;'Données projet'!$A$36,$K$205^A108,IF(A108='Données projet'!$A$36,'Données projet'!$B$36,N107+M108-V107)))</f>
        <v>275.00000000000028</v>
      </c>
      <c r="O108" s="14">
        <f>N108*VLOOKUP('Données projet'!$B$9,Paramètres!$A$1:$I$89,3,0)*VLOOKUP('Données projet'!$B$9,Paramètres!$A$1:$I$89,5,0)</f>
        <v>240.24000000000026</v>
      </c>
      <c r="P108" s="14">
        <f t="shared" si="87"/>
        <v>58.491164647183183</v>
      </c>
      <c r="Q108" s="22">
        <f t="shared" si="107"/>
        <v>520.29011176051119</v>
      </c>
      <c r="R108" s="62">
        <f t="shared" si="55"/>
        <v>799.02873984138296</v>
      </c>
      <c r="S108" s="62">
        <f ca="1">AVERAGE(OFFSET($R$3,0,0,'Données projet'!$E$9+1,1))-AVERAGE(OFFSET($H$3,0,0,'Données projet'!$E$9+1,1))</f>
        <v>401.34220206028908</v>
      </c>
      <c r="T108" s="62">
        <f t="shared" si="88"/>
        <v>265.33314259106987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46.577870063816164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46.577870063816164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1.7053025658242404E-13</v>
      </c>
      <c r="AJ108" s="14">
        <f>AI108*VLOOKUP('Données projet'!$B$10,Paramètres!$A$1:$I$89,3,0)*VLOOKUP('Données projet'!$B$10,Paramètres!$A$1:$I$89,5,0)</f>
        <v>7.9808160080574461E-14</v>
      </c>
      <c r="AK108" s="14">
        <f t="shared" si="89"/>
        <v>1.2308384591775343E-12</v>
      </c>
      <c r="AL108" s="22">
        <f t="shared" si="58"/>
        <v>2.282709528541206E-12</v>
      </c>
      <c r="AM108" s="62">
        <f t="shared" si="59"/>
        <v>278.73862808087404</v>
      </c>
      <c r="AN108" s="62">
        <f ca="1">AVERAGE(OFFSET($AM$3,0,0,'Données projet'!$E$10+1,1))-AVERAGE(OFFSET($H$3,0,0,'Données projet'!$E$10+1,1))</f>
        <v>253.48761861464732</v>
      </c>
      <c r="AO108" s="62">
        <f t="shared" si="90"/>
        <v>219.50855998133855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114.68150174728018</v>
      </c>
      <c r="AV108" s="23">
        <f>EXP(-LN(2)/25)*AV107+(1-EXP(-LN(2)/25))/(LN(2)/25)*Calculateur!AQ108*Calculateur!AS108*VLOOKUP('Données projet'!$B$10,Paramètres!$A$1:$I$89,3,0)*0.475*44/12</f>
        <v>25.247591200608053</v>
      </c>
      <c r="AW108" s="23">
        <f>EXP(-LN(2)/2)*AW107+(1-EXP(-LN(2)/2))/(LN(2)/2)*AQ108*AT108*VLOOKUP('Données projet'!$B$10,Paramètres!$A$1:$I$89,3,0)*0.475*44/12</f>
        <v>4.2144614188697203</v>
      </c>
      <c r="AX108" s="23">
        <f t="shared" si="60"/>
        <v>144.14355436675794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>
        <f>BD108*VLOOKUP('Données projet'!$B$11,Paramètres!$A$1:$I$89,3,0)*VLOOKUP('Données projet'!$B$11,Paramètres!$A$1:$I$89,5,0)</f>
        <v>0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482.85256243111911</v>
      </c>
      <c r="BJ108" s="62">
        <f t="shared" si="92"/>
        <v>517.78430032567064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48.534211853545997</v>
      </c>
      <c r="BQ108" s="23">
        <f>EXP(-LN(2)/25)*BQ107+(1-EXP(-LN(2)/25))/(LN(2)/25)*Calculateur!BL108*Calculateur!BN108*VLOOKUP('Données projet'!$B$11,Paramètres!$A$1:$I$89,3,0)*0.475*44/12</f>
        <v>8.6490953203385121</v>
      </c>
      <c r="BR108" s="23">
        <f>EXP(-LN(2)/2)*BR107+(1-EXP(-LN(2)/2))/(LN(2)/2)*BL108*BO108*VLOOKUP('Données projet'!$B$11,Paramètres!$A$1:$I$89,3,0)*0.475*44/12</f>
        <v>9.821204872251684E-6</v>
      </c>
      <c r="BS108" s="24">
        <f t="shared" si="63"/>
        <v>57.183316995089378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>
        <f>BY108*VLOOKUP('Données projet'!$B$12,Paramètres!$A$1:$I$89,3,0)*VLOOKUP('Données projet'!$B$12,Paramètres!$A$1:$I$89,5,0)</f>
        <v>0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275.76900776033335</v>
      </c>
      <c r="CE108" s="62">
        <f t="shared" si="94"/>
        <v>299.36898480605191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46.51195302631492</v>
      </c>
      <c r="CL108" s="23">
        <f>EXP(-LN(2)/25)*CL107+(1-EXP(-LN(2)/25))/(LN(2)/25)*Calculateur!CG108*Calculateur!CI108*VLOOKUP('Données projet'!$B$12,Paramètres!$A$1:$I$89,3,0)*0.475*44/12</f>
        <v>8.2887163486577453</v>
      </c>
      <c r="CM108" s="23">
        <f>EXP(-LN(2)/2)*CM107+(1-EXP(-LN(2)/2))/(LN(2)/2)*CG108*CJ108*VLOOKUP('Données projet'!$B$12,Paramètres!$A$1:$I$89,3,0)*0.475*44/12</f>
        <v>9.4119880025745223E-6</v>
      </c>
      <c r="CN108" s="24">
        <f t="shared" si="66"/>
        <v>54.800678786960667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6.5</v>
      </c>
      <c r="CT108" s="13">
        <f>IF('Données projet'!$A$140&gt;35,CT107+CS108-DB107,IF(A108&lt;'Données projet'!$A$140,$CQ$205^A108,IF(A108='Données projet'!$A$140,'Données projet'!$B$140,CT107+CS108-DB107)))</f>
        <v>275.00000000000028</v>
      </c>
      <c r="CU108" s="18">
        <f>CT108*VLOOKUP('Données projet'!$B$13,Paramètres!$A$1:$I$89,3,0)*VLOOKUP('Données projet'!$B$13,Paramètres!$A$1:$I$89,5,0)</f>
        <v>300.3000000000003</v>
      </c>
      <c r="CV108" s="14">
        <f t="shared" si="95"/>
        <v>71.23935133989022</v>
      </c>
      <c r="CW108" s="22">
        <f t="shared" si="67"/>
        <v>647.09770358364256</v>
      </c>
      <c r="CX108" s="62">
        <f t="shared" si="68"/>
        <v>925.83633166451432</v>
      </c>
      <c r="CY108" s="62">
        <f ca="1">AVERAGE(OFFSET($CX$3,0,0,'Données projet'!$E$13+1,1))-AVERAGE(OFFSET($H$3,0,0,'Données projet'!$E$13+1,1))</f>
        <v>482.24068797679558</v>
      </c>
      <c r="CZ108" s="62">
        <f t="shared" si="96"/>
        <v>316.28941055521693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58.222337579770205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58.222337579770205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-1.7053025658242404E-13</v>
      </c>
      <c r="DP108" s="18">
        <f>DO108*VLOOKUP('Données projet'!$B$14,Paramètres!$A$1:$I$89,3,0)*VLOOKUP('Données projet'!$B$14,Paramètres!$A$1:$I$89,5,0)</f>
        <v>-1.383341441396624E-13</v>
      </c>
      <c r="DQ108" s="14" t="e">
        <f t="shared" si="97"/>
        <v>#NUM!</v>
      </c>
      <c r="DR108" s="22" t="e">
        <f t="shared" si="70"/>
        <v>#NUM!</v>
      </c>
      <c r="DS108" s="62" t="e">
        <f t="shared" si="71"/>
        <v>#NUM!</v>
      </c>
      <c r="DT108" s="62">
        <f ca="1">AVERAGE(OFFSET($DS$3,0,0,'Données projet'!$E$14+1,1))-AVERAGE(OFFSET($H$3,0,0,'Données projet'!$E$14+1,1))</f>
        <v>325.58538970226539</v>
      </c>
      <c r="DU108" s="62">
        <f t="shared" si="98"/>
        <v>361.81085660423457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58.099591540248667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58.099591540248667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5.2</v>
      </c>
      <c r="EJ108" s="13">
        <f>IF('Données projet'!$A$192&gt;35,EJ107+EI108-ER107,IF(A108&lt;'Données projet'!$A$192,$EG$205^A108,IF(A108='Données projet'!$A$192,'Données projet'!$B$192,EJ107+EI108-ER107)))</f>
        <v>219.99999999999986</v>
      </c>
      <c r="EK108" s="18">
        <f>EJ108*VLOOKUP('Données projet'!$B$15,Paramètres!$A$1:$I$89,3,0)*VLOOKUP('Données projet'!$B$15,Paramètres!$A$1:$I$89,5,0)</f>
        <v>212.78399999999988</v>
      </c>
      <c r="EL108" s="14">
        <f t="shared" si="99"/>
        <v>52.543492641808065</v>
      </c>
      <c r="EM108" s="22">
        <f t="shared" si="73"/>
        <v>462.11204968448214</v>
      </c>
      <c r="EN108" s="62">
        <f t="shared" si="74"/>
        <v>740.85067776535391</v>
      </c>
      <c r="EO108" s="62">
        <f ca="1">AVERAGE(OFFSET($EN$3,0,0,'Données projet'!$E$15+1,1))-AVERAGE(OFFSET($H$3,0,0,'Données projet'!$E$15+1,1))</f>
        <v>364.22267539944085</v>
      </c>
      <c r="EP108" s="62">
        <f t="shared" si="100"/>
        <v>241.947139538615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41.25468491366577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41.25468491366577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-1.7053025658242404E-13</v>
      </c>
      <c r="FF108" s="18">
        <f>FE108*VLOOKUP('Données projet'!$B$16,Paramètres!$A$1:$I$89,3,0)*VLOOKUP('Données projet'!$B$16,Paramètres!$A$1:$I$89,5,0)</f>
        <v>-1.4897523215040567E-13</v>
      </c>
      <c r="FG108" s="14" t="e">
        <f t="shared" si="101"/>
        <v>#NUM!</v>
      </c>
      <c r="FH108" s="22" t="e">
        <f t="shared" si="76"/>
        <v>#NUM!</v>
      </c>
      <c r="FI108" s="62" t="e">
        <f t="shared" si="77"/>
        <v>#NUM!</v>
      </c>
      <c r="FJ108" s="62">
        <f ca="1">AVERAGE(OFFSET($FI$3,0,0,'Données projet'!$E$16+1,1))-AVERAGE(OFFSET($H$3,0,0,'Données projet'!$E$16+1,1))</f>
        <v>286.59837239471312</v>
      </c>
      <c r="FK108" s="62">
        <f t="shared" si="102"/>
        <v>319.26091328564689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50.428164110980603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50.428164110980603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-1.7053025658242404E-13</v>
      </c>
      <c r="GA108" s="18">
        <f>FZ108*VLOOKUP('Données projet'!$B$17,Paramètres!$A$1:$I$89,3,0)*VLOOKUP('Données projet'!$B$17,Paramètres!$A$1:$I$89,5,0)</f>
        <v>-1.1439169611549005E-13</v>
      </c>
      <c r="GB108" s="14" t="e">
        <f t="shared" si="103"/>
        <v>#NUM!</v>
      </c>
      <c r="GC108" s="22" t="e">
        <f t="shared" si="79"/>
        <v>#NUM!</v>
      </c>
      <c r="GD108" s="62" t="e">
        <f t="shared" si="80"/>
        <v>#NUM!</v>
      </c>
      <c r="GE108" s="62">
        <f ca="1">AVERAGE(OFFSET($GD$3,0,0,'Données projet'!$E$17+1,1))-AVERAGE(OFFSET($H$3,0,0,'Données projet'!$E$17+1,1))</f>
        <v>277.37570531842186</v>
      </c>
      <c r="GF108" s="62">
        <f t="shared" si="104"/>
        <v>310.00874200911312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projet'!$B$17,Paramètres!$A$1:$I$89,3,0)*0.475*44/12</f>
        <v>59.216891377561154</v>
      </c>
      <c r="GM108" s="23">
        <f>EXP(-LN(2)/25)*GM107+(1-EXP(-LN(2)/25))/(LN(2)/25)*Calculateur!GH108*Calculateur!GJ108*VLOOKUP('Données projet'!$B$17,Paramètres!$A$1:$I$89,3,0)*0.475*44/12</f>
        <v>0</v>
      </c>
      <c r="GN108" s="23">
        <f>EXP(-LN(2)/2)*GN107+(1-EXP(-LN(2)/2))/(LN(2)/2)*GH108*GK108*VLOOKUP('Données projet'!$B$17,Paramètres!$A$1:$I$89,3,0)*0.475*44/12</f>
        <v>0</v>
      </c>
      <c r="GO108" s="23">
        <f t="shared" si="81"/>
        <v>59.216891377561154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6.5</v>
      </c>
      <c r="N109" s="14">
        <f>IF('Données projet'!$A$36&gt;35,N108+M109-V108,IF(A109&lt;'Données projet'!$A$36,$K$205^A109,IF(A109='Données projet'!$A$36,'Données projet'!$B$36,N108+M109-V108)))</f>
        <v>281.50000000000028</v>
      </c>
      <c r="O109" s="14">
        <f>N109*VLOOKUP('Données projet'!$B$9,Paramètres!$A$1:$I$89,3,0)*VLOOKUP('Données projet'!$B$9,Paramètres!$A$1:$I$89,5,0)</f>
        <v>245.9184000000003</v>
      </c>
      <c r="P109" s="14">
        <f t="shared" si="87"/>
        <v>59.711092069085943</v>
      </c>
      <c r="Q109" s="22">
        <f t="shared" si="107"/>
        <v>532.30469868699186</v>
      </c>
      <c r="R109" s="62">
        <f t="shared" si="55"/>
        <v>811.2965122751209</v>
      </c>
      <c r="S109" s="62">
        <f ca="1">AVERAGE(OFFSET($R$3,0,0,'Données projet'!$E$9+1,1))-AVERAGE(OFFSET($H$3,0,0,'Données projet'!$E$9+1,1))</f>
        <v>401.34220206028908</v>
      </c>
      <c r="T109" s="62">
        <f t="shared" si="88"/>
        <v>265.33314259106987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45.664506441560242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45.664506441560242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1.7053025658242404E-13</v>
      </c>
      <c r="AJ109" s="14">
        <f>AI109*VLOOKUP('Données projet'!$B$10,Paramètres!$A$1:$I$89,3,0)*VLOOKUP('Données projet'!$B$10,Paramètres!$A$1:$I$89,5,0)</f>
        <v>7.9808160080574461E-14</v>
      </c>
      <c r="AK109" s="14">
        <f t="shared" si="89"/>
        <v>1.2308384591775343E-12</v>
      </c>
      <c r="AL109" s="22">
        <f t="shared" si="58"/>
        <v>2.282709528541206E-12</v>
      </c>
      <c r="AM109" s="62">
        <f t="shared" si="59"/>
        <v>278.99181358813138</v>
      </c>
      <c r="AN109" s="62">
        <f ca="1">AVERAGE(OFFSET($AM$3,0,0,'Données projet'!$E$10+1,1))-AVERAGE(OFFSET($H$3,0,0,'Données projet'!$E$10+1,1))</f>
        <v>253.48761861464732</v>
      </c>
      <c r="AO109" s="62">
        <f t="shared" si="90"/>
        <v>219.50855998133855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112.43266744682521</v>
      </c>
      <c r="AV109" s="23">
        <f>EXP(-LN(2)/25)*AV108+(1-EXP(-LN(2)/25))/(LN(2)/25)*Calculateur!AQ109*Calculateur!AS109*VLOOKUP('Données projet'!$B$10,Paramètres!$A$1:$I$89,3,0)*0.475*44/12</f>
        <v>24.557194491514309</v>
      </c>
      <c r="AW109" s="23">
        <f>EXP(-LN(2)/2)*AW108+(1-EXP(-LN(2)/2))/(LN(2)/2)*AQ109*AT109*VLOOKUP('Données projet'!$B$10,Paramètres!$A$1:$I$89,3,0)*0.475*44/12</f>
        <v>2.9800742483318583</v>
      </c>
      <c r="AX109" s="23">
        <f t="shared" si="60"/>
        <v>139.96993618667136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>
        <f>BD109*VLOOKUP('Données projet'!$B$11,Paramètres!$A$1:$I$89,3,0)*VLOOKUP('Données projet'!$B$11,Paramètres!$A$1:$I$89,5,0)</f>
        <v>0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482.85256243111911</v>
      </c>
      <c r="BJ109" s="62">
        <f t="shared" si="92"/>
        <v>517.78430032567064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47.582485562044141</v>
      </c>
      <c r="BQ109" s="23">
        <f>EXP(-LN(2)/25)*BQ108+(1-EXP(-LN(2)/25))/(LN(2)/25)*Calculateur!BL109*Calculateur!BN109*VLOOKUP('Données projet'!$B$11,Paramètres!$A$1:$I$89,3,0)*0.475*44/12</f>
        <v>8.4125853539676996</v>
      </c>
      <c r="BR109" s="23">
        <f>EXP(-LN(2)/2)*BR108+(1-EXP(-LN(2)/2))/(LN(2)/2)*BL109*BO109*VLOOKUP('Données projet'!$B$11,Paramètres!$A$1:$I$89,3,0)*0.475*44/12</f>
        <v>6.944640564591526E-6</v>
      </c>
      <c r="BS109" s="24">
        <f t="shared" si="63"/>
        <v>55.995077860652408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>
        <f>BY109*VLOOKUP('Données projet'!$B$12,Paramètres!$A$1:$I$89,3,0)*VLOOKUP('Données projet'!$B$12,Paramètres!$A$1:$I$89,5,0)</f>
        <v>0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275.76900776033335</v>
      </c>
      <c r="CE109" s="62">
        <f t="shared" si="94"/>
        <v>299.36898480605191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45.599881996958977</v>
      </c>
      <c r="CL109" s="23">
        <f>EXP(-LN(2)/25)*CL108+(1-EXP(-LN(2)/25))/(LN(2)/25)*Calculateur!CG109*Calculateur!CI109*VLOOKUP('Données projet'!$B$12,Paramètres!$A$1:$I$89,3,0)*0.475*44/12</f>
        <v>8.0620609642190502</v>
      </c>
      <c r="CM109" s="23">
        <f>EXP(-LN(2)/2)*CM108+(1-EXP(-LN(2)/2))/(LN(2)/2)*CG109*CJ109*VLOOKUP('Données projet'!$B$12,Paramètres!$A$1:$I$89,3,0)*0.475*44/12</f>
        <v>6.6552805410668733E-6</v>
      </c>
      <c r="CN109" s="24">
        <f t="shared" si="66"/>
        <v>53.661949616458571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6.5</v>
      </c>
      <c r="CT109" s="13">
        <f>IF('Données projet'!$A$140&gt;35,CT108+CS109-DB108,IF(A109&lt;'Données projet'!$A$140,$CQ$205^A109,IF(A109='Données projet'!$A$140,'Données projet'!$B$140,CT108+CS109-DB108)))</f>
        <v>281.50000000000028</v>
      </c>
      <c r="CU109" s="18">
        <f>CT109*VLOOKUP('Données projet'!$B$13,Paramètres!$A$1:$I$89,3,0)*VLOOKUP('Données projet'!$B$13,Paramètres!$A$1:$I$89,5,0)</f>
        <v>307.39800000000031</v>
      </c>
      <c r="CV109" s="14">
        <f t="shared" si="95"/>
        <v>72.72516272255487</v>
      </c>
      <c r="CW109" s="22">
        <f t="shared" si="67"/>
        <v>662.0478417417836</v>
      </c>
      <c r="CX109" s="62">
        <f t="shared" si="68"/>
        <v>941.03965532991265</v>
      </c>
      <c r="CY109" s="62">
        <f ca="1">AVERAGE(OFFSET($CX$3,0,0,'Données projet'!$E$13+1,1))-AVERAGE(OFFSET($H$3,0,0,'Données projet'!$E$13+1,1))</f>
        <v>482.24068797679558</v>
      </c>
      <c r="CZ109" s="62">
        <f t="shared" si="96"/>
        <v>316.28941055521693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57.080633051950301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57.080633051950301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-1.7053025658242404E-13</v>
      </c>
      <c r="DP109" s="18">
        <f>DO109*VLOOKUP('Données projet'!$B$14,Paramètres!$A$1:$I$89,3,0)*VLOOKUP('Données projet'!$B$14,Paramètres!$A$1:$I$89,5,0)</f>
        <v>-1.383341441396624E-13</v>
      </c>
      <c r="DQ109" s="14" t="e">
        <f t="shared" si="97"/>
        <v>#NUM!</v>
      </c>
      <c r="DR109" s="22" t="e">
        <f t="shared" si="70"/>
        <v>#NUM!</v>
      </c>
      <c r="DS109" s="62" t="e">
        <f t="shared" si="71"/>
        <v>#NUM!</v>
      </c>
      <c r="DT109" s="62">
        <f ca="1">AVERAGE(OFFSET($DS$3,0,0,'Données projet'!$E$14+1,1))-AVERAGE(OFFSET($H$3,0,0,'Données projet'!$E$14+1,1))</f>
        <v>325.58538970226539</v>
      </c>
      <c r="DU109" s="62">
        <f t="shared" si="98"/>
        <v>361.81085660423457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56.960293987396092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56.960293987396092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5.2</v>
      </c>
      <c r="EJ109" s="13">
        <f>IF('Données projet'!$A$192&gt;35,EJ108+EI109-ER108,IF(A109&lt;'Données projet'!$A$192,$EG$205^A109,IF(A109='Données projet'!$A$192,'Données projet'!$B$192,EJ108+EI109-ER108)))</f>
        <v>225.19999999999985</v>
      </c>
      <c r="EK109" s="18">
        <f>EJ109*VLOOKUP('Données projet'!$B$15,Paramètres!$A$1:$I$89,3,0)*VLOOKUP('Données projet'!$B$15,Paramètres!$A$1:$I$89,5,0)</f>
        <v>217.81343999999987</v>
      </c>
      <c r="EL109" s="14">
        <f t="shared" si="99"/>
        <v>53.639371787024771</v>
      </c>
      <c r="EM109" s="22">
        <f t="shared" si="73"/>
        <v>472.78031386240127</v>
      </c>
      <c r="EN109" s="62">
        <f t="shared" si="74"/>
        <v>751.77212745053043</v>
      </c>
      <c r="EO109" s="62">
        <f ca="1">AVERAGE(OFFSET($EN$3,0,0,'Données projet'!$E$15+1,1))-AVERAGE(OFFSET($H$3,0,0,'Données projet'!$E$15+1,1))</f>
        <v>364.22267539944085</v>
      </c>
      <c r="EP109" s="62">
        <f t="shared" si="100"/>
        <v>241.947139538615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40.445705705381954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40.445705705381954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-1.7053025658242404E-13</v>
      </c>
      <c r="FF109" s="18">
        <f>FE109*VLOOKUP('Données projet'!$B$16,Paramètres!$A$1:$I$89,3,0)*VLOOKUP('Données projet'!$B$16,Paramètres!$A$1:$I$89,5,0)</f>
        <v>-1.4897523215040567E-13</v>
      </c>
      <c r="FG109" s="14" t="e">
        <f t="shared" si="101"/>
        <v>#NUM!</v>
      </c>
      <c r="FH109" s="22" t="e">
        <f t="shared" si="76"/>
        <v>#NUM!</v>
      </c>
      <c r="FI109" s="62" t="e">
        <f t="shared" si="77"/>
        <v>#NUM!</v>
      </c>
      <c r="FJ109" s="62">
        <f ca="1">AVERAGE(OFFSET($FI$3,0,0,'Données projet'!$E$16+1,1))-AVERAGE(OFFSET($H$3,0,0,'Données projet'!$E$16+1,1))</f>
        <v>286.59837239471312</v>
      </c>
      <c r="FK109" s="62">
        <f t="shared" si="102"/>
        <v>319.26091328564689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49.439298570907269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49.439298570907269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-1.7053025658242404E-13</v>
      </c>
      <c r="GA109" s="18">
        <f>FZ109*VLOOKUP('Données projet'!$B$17,Paramètres!$A$1:$I$89,3,0)*VLOOKUP('Données projet'!$B$17,Paramètres!$A$1:$I$89,5,0)</f>
        <v>-1.1439169611549005E-13</v>
      </c>
      <c r="GB109" s="14" t="e">
        <f t="shared" si="103"/>
        <v>#NUM!</v>
      </c>
      <c r="GC109" s="22" t="e">
        <f t="shared" si="79"/>
        <v>#NUM!</v>
      </c>
      <c r="GD109" s="62" t="e">
        <f t="shared" si="80"/>
        <v>#NUM!</v>
      </c>
      <c r="GE109" s="62">
        <f ca="1">AVERAGE(OFFSET($GD$3,0,0,'Données projet'!$E$17+1,1))-AVERAGE(OFFSET($H$3,0,0,'Données projet'!$E$17+1,1))</f>
        <v>277.37570531842186</v>
      </c>
      <c r="GF109" s="62">
        <f t="shared" si="104"/>
        <v>310.00874200911312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projet'!$B$17,Paramètres!$A$1:$I$89,3,0)*0.475*44/12</f>
        <v>58.055684256384488</v>
      </c>
      <c r="GM109" s="23">
        <f>EXP(-LN(2)/25)*GM108+(1-EXP(-LN(2)/25))/(LN(2)/25)*Calculateur!GH109*Calculateur!GJ109*VLOOKUP('Données projet'!$B$17,Paramètres!$A$1:$I$89,3,0)*0.475*44/12</f>
        <v>0</v>
      </c>
      <c r="GN109" s="23">
        <f>EXP(-LN(2)/2)*GN108+(1-EXP(-LN(2)/2))/(LN(2)/2)*GH109*GK109*VLOOKUP('Données projet'!$B$17,Paramètres!$A$1:$I$89,3,0)*0.475*44/12</f>
        <v>0</v>
      </c>
      <c r="GO109" s="23">
        <f t="shared" si="81"/>
        <v>58.055684256384488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>
        <f>VLOOKUP(A110,'Données projet'!$A$35:$I$55,2,0)</f>
        <v>288</v>
      </c>
      <c r="L110" s="13">
        <f>VLOOKUP(A110,'Données projet'!$A$35:$I$55,9,0)</f>
        <v>6.5</v>
      </c>
      <c r="M110" s="13">
        <f t="array" ref="M110">INDEX(L:L,MIN(IF(ISNUMBER(L110:L306),ROW(L110:L306),"")))</f>
        <v>6.5</v>
      </c>
      <c r="N110" s="14">
        <f>IF('Données projet'!$A$36&gt;35,N109+M110-V109,IF(A110&lt;'Données projet'!$A$36,$K$205^A110,IF(A110='Données projet'!$A$36,'Données projet'!$B$36,N109+M110-V109)))</f>
        <v>288.00000000000028</v>
      </c>
      <c r="O110" s="14">
        <f>N110*VLOOKUP('Données projet'!$B$9,Paramètres!$A$1:$I$89,3,0)*VLOOKUP('Données projet'!$B$9,Paramètres!$A$1:$I$89,5,0)</f>
        <v>251.59680000000029</v>
      </c>
      <c r="P110" s="14">
        <f t="shared" si="87"/>
        <v>60.927744732950778</v>
      </c>
      <c r="Q110" s="22">
        <f t="shared" si="107"/>
        <v>544.31358207655637</v>
      </c>
      <c r="R110" s="62">
        <f t="shared" si="55"/>
        <v>823.55418896943002</v>
      </c>
      <c r="S110" s="62">
        <f ca="1">AVERAGE(OFFSET($R$3,0,0,'Données projet'!$E$9+1,1))-AVERAGE(OFFSET($H$3,0,0,'Données projet'!$E$9+1,1))</f>
        <v>401.34220206028908</v>
      </c>
      <c r="T110" s="62">
        <f t="shared" si="88"/>
        <v>265.33314259106987</v>
      </c>
      <c r="U110" s="16">
        <f>IF(ISNA(VLOOKUP(A110,'Données projet'!$A$35:$I$55,3,0)),0,VLOOKUP(A110,'Données projet'!$A$35:$I$55,3,0))</f>
        <v>10</v>
      </c>
      <c r="V110" s="16">
        <f>IF(ISNA(VLOOKUP(A110,'Données projet'!$A$35:$I$55,4,0)),0,VLOOKUP(A110,'Données projet'!$A$35:$I$55,4,0))</f>
        <v>46</v>
      </c>
      <c r="W110" s="17">
        <f>IF(ISNA(VLOOKUP(A110,'Données projet'!$A$35:$I$55,5,0)),0%,VLOOKUP(A110,'Données projet'!$A$35:$I$55,5,0)*VLOOKUP('Données projet'!$B$9,Paramètres!$A$1:$I$89,7,0))</f>
        <v>0.38700000000000001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61.961137640054815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61.961137640054815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1.7053025658242404E-13</v>
      </c>
      <c r="AJ110" s="14">
        <f>AI110*VLOOKUP('Données projet'!$B$10,Paramètres!$A$1:$I$89,3,0)*VLOOKUP('Données projet'!$B$10,Paramètres!$A$1:$I$89,5,0)</f>
        <v>7.9808160080574461E-14</v>
      </c>
      <c r="AK110" s="14">
        <f t="shared" si="89"/>
        <v>1.2308384591775343E-12</v>
      </c>
      <c r="AL110" s="22">
        <f t="shared" si="58"/>
        <v>2.282709528541206E-12</v>
      </c>
      <c r="AM110" s="62">
        <f t="shared" si="59"/>
        <v>279.24060689287592</v>
      </c>
      <c r="AN110" s="62">
        <f ca="1">AVERAGE(OFFSET($AM$3,0,0,'Données projet'!$E$10+1,1))-AVERAGE(OFFSET($H$3,0,0,'Données projet'!$E$10+1,1))</f>
        <v>253.48761861464732</v>
      </c>
      <c r="AO110" s="62">
        <f t="shared" si="90"/>
        <v>219.50855998133855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110.22793141534868</v>
      </c>
      <c r="AV110" s="23">
        <f>EXP(-LN(2)/25)*AV109+(1-EXP(-LN(2)/25))/(LN(2)/25)*Calculateur!AQ110*Calculateur!AS110*VLOOKUP('Données projet'!$B$10,Paramètres!$A$1:$I$89,3,0)*0.475*44/12</f>
        <v>23.88567671673712</v>
      </c>
      <c r="AW110" s="23">
        <f>EXP(-LN(2)/2)*AW109+(1-EXP(-LN(2)/2))/(LN(2)/2)*AQ110*AT110*VLOOKUP('Données projet'!$B$10,Paramètres!$A$1:$I$89,3,0)*0.475*44/12</f>
        <v>2.1072307094348606</v>
      </c>
      <c r="AX110" s="23">
        <f t="shared" si="60"/>
        <v>136.22083884152067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>
        <f>BD110*VLOOKUP('Données projet'!$B$11,Paramètres!$A$1:$I$89,3,0)*VLOOKUP('Données projet'!$B$11,Paramètres!$A$1:$I$89,5,0)</f>
        <v>0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482.85256243111911</v>
      </c>
      <c r="BJ110" s="62">
        <f t="shared" si="92"/>
        <v>517.78430032567064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46.649422042622916</v>
      </c>
      <c r="BQ110" s="23">
        <f>EXP(-LN(2)/25)*BQ109+(1-EXP(-LN(2)/25))/(LN(2)/25)*Calculateur!BL110*Calculateur!BN110*VLOOKUP('Données projet'!$B$11,Paramètres!$A$1:$I$89,3,0)*0.475*44/12</f>
        <v>8.1825427650648166</v>
      </c>
      <c r="BR110" s="23">
        <f>EXP(-LN(2)/2)*BR109+(1-EXP(-LN(2)/2))/(LN(2)/2)*BL110*BO110*VLOOKUP('Données projet'!$B$11,Paramètres!$A$1:$I$89,3,0)*0.475*44/12</f>
        <v>4.910602436125842E-6</v>
      </c>
      <c r="BS110" s="24">
        <f t="shared" si="63"/>
        <v>54.831969718290168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>
        <f>BY110*VLOOKUP('Données projet'!$B$12,Paramètres!$A$1:$I$89,3,0)*VLOOKUP('Données projet'!$B$12,Paramètres!$A$1:$I$89,5,0)</f>
        <v>0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275.76900776033335</v>
      </c>
      <c r="CE110" s="62">
        <f t="shared" si="94"/>
        <v>299.36898480605191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44.705696124180307</v>
      </c>
      <c r="CL110" s="23">
        <f>EXP(-LN(2)/25)*CL109+(1-EXP(-LN(2)/25))/(LN(2)/25)*Calculateur!CG110*Calculateur!CI110*VLOOKUP('Données projet'!$B$12,Paramètres!$A$1:$I$89,3,0)*0.475*44/12</f>
        <v>7.8416034831871206</v>
      </c>
      <c r="CM110" s="23">
        <f>EXP(-LN(2)/2)*CM109+(1-EXP(-LN(2)/2))/(LN(2)/2)*CG110*CJ110*VLOOKUP('Données projet'!$B$12,Paramètres!$A$1:$I$89,3,0)*0.475*44/12</f>
        <v>4.7059940012872611E-6</v>
      </c>
      <c r="CN110" s="24">
        <f t="shared" si="66"/>
        <v>52.54730431336143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>
        <f>VLOOKUP(A110,'Données projet'!$A$139:$I$159,2,0)</f>
        <v>288</v>
      </c>
      <c r="CR110" s="13">
        <f>VLOOKUP(A110,'Données projet'!$A$139:$I$159,9,0)</f>
        <v>6.5</v>
      </c>
      <c r="CS110" s="13">
        <f t="array" ref="CS110">INDEX(CR:CR,MIN(IF(ISNUMBER(CR110:CR306),ROW(CR110:CR306),"")))</f>
        <v>6.5</v>
      </c>
      <c r="CT110" s="13">
        <f>IF('Données projet'!$A$140&gt;35,CT109+CS110-DB109,IF(A110&lt;'Données projet'!$A$140,$CQ$205^A110,IF(A110='Données projet'!$A$140,'Données projet'!$B$140,CT109+CS110-DB109)))</f>
        <v>288.00000000000028</v>
      </c>
      <c r="CU110" s="18">
        <f>CT110*VLOOKUP('Données projet'!$B$13,Paramètres!$A$1:$I$89,3,0)*VLOOKUP('Données projet'!$B$13,Paramètres!$A$1:$I$89,5,0)</f>
        <v>314.49600000000032</v>
      </c>
      <c r="CV110" s="14">
        <f t="shared" si="95"/>
        <v>74.206985611575604</v>
      </c>
      <c r="CW110" s="22">
        <f t="shared" si="67"/>
        <v>676.99103327349474</v>
      </c>
      <c r="CX110" s="62">
        <f t="shared" si="68"/>
        <v>956.23164016636838</v>
      </c>
      <c r="CY110" s="62">
        <f ca="1">AVERAGE(OFFSET($CX$3,0,0,'Données projet'!$E$13+1,1))-AVERAGE(OFFSET($H$3,0,0,'Données projet'!$E$13+1,1))</f>
        <v>482.24068797679558</v>
      </c>
      <c r="CZ110" s="62">
        <f t="shared" si="96"/>
        <v>316.28941055521693</v>
      </c>
      <c r="DA110" s="16">
        <f>IF(ISNA(VLOOKUP(A110,'Données projet'!$A$139:$I$159,3,0)),0,VLOOKUP(A110,'Données projet'!$A$139:$I$159,3,0))</f>
        <v>10</v>
      </c>
      <c r="DB110" s="16">
        <f>IF(ISNA(VLOOKUP(A110,'Données projet'!$A$139:$I$159,4,0)),0,VLOOKUP(A110,'Données projet'!$A$139:$I$159,4,0))</f>
        <v>46</v>
      </c>
      <c r="DC110" s="17">
        <f>IF(ISNA(VLOOKUP(A110,'Données projet'!$A$139:$I$159,5,0)),0%,VLOOKUP(A110,'Données projet'!$A$139:$I$159,5,0)*VLOOKUP('Données projet'!$B$13,Paramètres!$A$1:$I$89,7,0))</f>
        <v>0.38700000000000001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77.451422050068516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77.451422050068516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-1.7053025658242404E-13</v>
      </c>
      <c r="DP110" s="18">
        <f>DO110*VLOOKUP('Données projet'!$B$14,Paramètres!$A$1:$I$89,3,0)*VLOOKUP('Données projet'!$B$14,Paramètres!$A$1:$I$89,5,0)</f>
        <v>-1.383341441396624E-13</v>
      </c>
      <c r="DQ110" s="14" t="e">
        <f t="shared" si="97"/>
        <v>#NUM!</v>
      </c>
      <c r="DR110" s="22" t="e">
        <f t="shared" si="70"/>
        <v>#NUM!</v>
      </c>
      <c r="DS110" s="62" t="e">
        <f t="shared" si="71"/>
        <v>#NUM!</v>
      </c>
      <c r="DT110" s="62">
        <f ca="1">AVERAGE(OFFSET($DS$3,0,0,'Données projet'!$E$14+1,1))-AVERAGE(OFFSET($H$3,0,0,'Données projet'!$E$14+1,1))</f>
        <v>325.58538970226539</v>
      </c>
      <c r="DU110" s="62">
        <f t="shared" si="98"/>
        <v>361.81085660423457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55.843337364652065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55.843337364652065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>
        <f>VLOOKUP(A110,'Données projet'!$A$191:$I$211,2,0)</f>
        <v>230.4</v>
      </c>
      <c r="EH110" s="13">
        <f>VLOOKUP(A110,'Données projet'!$A$191:$I$211,9,0)</f>
        <v>5.2</v>
      </c>
      <c r="EI110" s="13">
        <f t="array" ref="EI110">INDEX(EH:EH,MIN(IF(ISNUMBER(EH110:EH306),ROW(EH110:EH306),"")))</f>
        <v>5.2</v>
      </c>
      <c r="EJ110" s="13">
        <f>IF('Données projet'!$A$192&gt;35,EJ109+EI110-ER109,IF(A110&lt;'Données projet'!$A$192,$EG$205^A110,IF(A110='Données projet'!$A$192,'Données projet'!$B$192,EJ109+EI110-ER109)))</f>
        <v>230.39999999999984</v>
      </c>
      <c r="EK110" s="18">
        <f>EJ110*VLOOKUP('Données projet'!$B$15,Paramètres!$A$1:$I$89,3,0)*VLOOKUP('Données projet'!$B$15,Paramètres!$A$1:$I$89,5,0)</f>
        <v>222.84287999999984</v>
      </c>
      <c r="EL110" s="14">
        <f t="shared" si="99"/>
        <v>54.732309167858688</v>
      </c>
      <c r="EM110" s="22">
        <f t="shared" si="73"/>
        <v>483.44345446735355</v>
      </c>
      <c r="EN110" s="62">
        <f t="shared" si="74"/>
        <v>762.68406136022713</v>
      </c>
      <c r="EO110" s="62">
        <f ca="1">AVERAGE(OFFSET($EN$3,0,0,'Données projet'!$E$15+1,1))-AVERAGE(OFFSET($H$3,0,0,'Données projet'!$E$15+1,1))</f>
        <v>364.22267539944085</v>
      </c>
      <c r="EP110" s="62">
        <f t="shared" si="100"/>
        <v>241.947139538615</v>
      </c>
      <c r="EQ110" s="16">
        <f>IF(ISNA(VLOOKUP(A110,'Données projet'!$A$191:$I$211,3,0)),0,VLOOKUP(A110,'Données projet'!$A$191:$I$211,3,0))</f>
        <v>10</v>
      </c>
      <c r="ER110" s="16">
        <f>IF(ISNA(VLOOKUP(A110,'Données projet'!$A$191:$I$211,4,0)),0,VLOOKUP(A110,'Données projet'!$A$191:$I$211,4,0))</f>
        <v>36.799999999999997</v>
      </c>
      <c r="ES110" s="17">
        <f>IF(ISNA(VLOOKUP(A110,'Données projet'!$A$191:$I$211,5,0)),0%,VLOOKUP(A110,'Données projet'!$A$191:$I$211,5,0)*VLOOKUP('Données projet'!$B$15,Paramètres!$A$1:$I$89,7,0))</f>
        <v>0.38700000000000001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54.879864766905719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54.879864766905719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-1.7053025658242404E-13</v>
      </c>
      <c r="FF110" s="18">
        <f>FE110*VLOOKUP('Données projet'!$B$16,Paramètres!$A$1:$I$89,3,0)*VLOOKUP('Données projet'!$B$16,Paramètres!$A$1:$I$89,5,0)</f>
        <v>-1.4897523215040567E-13</v>
      </c>
      <c r="FG110" s="14" t="e">
        <f t="shared" si="101"/>
        <v>#NUM!</v>
      </c>
      <c r="FH110" s="22" t="e">
        <f t="shared" si="76"/>
        <v>#NUM!</v>
      </c>
      <c r="FI110" s="62" t="e">
        <f t="shared" si="77"/>
        <v>#NUM!</v>
      </c>
      <c r="FJ110" s="62">
        <f ca="1">AVERAGE(OFFSET($FI$3,0,0,'Données projet'!$E$16+1,1))-AVERAGE(OFFSET($H$3,0,0,'Données projet'!$E$16+1,1))</f>
        <v>286.59837239471312</v>
      </c>
      <c r="FK110" s="62">
        <f t="shared" si="102"/>
        <v>319.26091328564689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48.469824080926344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48.469824080926344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-1.7053025658242404E-13</v>
      </c>
      <c r="GA110" s="18">
        <f>FZ110*VLOOKUP('Données projet'!$B$17,Paramètres!$A$1:$I$89,3,0)*VLOOKUP('Données projet'!$B$17,Paramètres!$A$1:$I$89,5,0)</f>
        <v>-1.1439169611549005E-13</v>
      </c>
      <c r="GB110" s="14" t="e">
        <f t="shared" si="103"/>
        <v>#NUM!</v>
      </c>
      <c r="GC110" s="22" t="e">
        <f t="shared" si="79"/>
        <v>#NUM!</v>
      </c>
      <c r="GD110" s="62" t="e">
        <f t="shared" si="80"/>
        <v>#NUM!</v>
      </c>
      <c r="GE110" s="62">
        <f ca="1">AVERAGE(OFFSET($GD$3,0,0,'Données projet'!$E$17+1,1))-AVERAGE(OFFSET($H$3,0,0,'Données projet'!$E$17+1,1))</f>
        <v>277.37570531842186</v>
      </c>
      <c r="GF110" s="62">
        <f t="shared" si="104"/>
        <v>310.00874200911312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projet'!$B$17,Paramètres!$A$1:$I$89,3,0)*0.475*44/12</f>
        <v>56.917247698587694</v>
      </c>
      <c r="GM110" s="23">
        <f>EXP(-LN(2)/25)*GM109+(1-EXP(-LN(2)/25))/(LN(2)/25)*Calculateur!GH110*Calculateur!GJ110*VLOOKUP('Données projet'!$B$17,Paramètres!$A$1:$I$89,3,0)*0.475*44/12</f>
        <v>0</v>
      </c>
      <c r="GN110" s="23">
        <f>EXP(-LN(2)/2)*GN109+(1-EXP(-LN(2)/2))/(LN(2)/2)*GH110*GK110*VLOOKUP('Données projet'!$B$17,Paramètres!$A$1:$I$89,3,0)*0.475*44/12</f>
        <v>0</v>
      </c>
      <c r="GO110" s="23">
        <f t="shared" si="81"/>
        <v>56.917247698587694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6.7</v>
      </c>
      <c r="N111" s="14">
        <f>IF('Données projet'!$A$36&gt;35,N110+M111-V110,IF(A111&lt;'Données projet'!$A$36,$K$205^A111,IF(A111='Données projet'!$A$36,'Données projet'!$B$36,N110+M111-V110)))</f>
        <v>248.70000000000027</v>
      </c>
      <c r="O111" s="14">
        <f>N111*VLOOKUP('Données projet'!$B$9,Paramètres!$A$1:$I$89,3,0)*VLOOKUP('Données projet'!$B$9,Paramètres!$A$1:$I$89,5,0)</f>
        <v>217.26432000000025</v>
      </c>
      <c r="P111" s="14">
        <f t="shared" si="87"/>
        <v>53.519866875389482</v>
      </c>
      <c r="Q111" s="22">
        <f t="shared" si="107"/>
        <v>471.61579214130376</v>
      </c>
      <c r="R111" s="62">
        <f t="shared" si="55"/>
        <v>751.10087633130308</v>
      </c>
      <c r="S111" s="62">
        <f ca="1">AVERAGE(OFFSET($R$3,0,0,'Données projet'!$E$9+1,1))-AVERAGE(OFFSET($H$3,0,0,'Données projet'!$E$9+1,1))</f>
        <v>401.34220206028908</v>
      </c>
      <c r="T111" s="62">
        <f t="shared" si="88"/>
        <v>265.33314259106987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60.746117523495592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60.746117523495592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1.7053025658242404E-13</v>
      </c>
      <c r="AJ111" s="14">
        <f>AI111*VLOOKUP('Données projet'!$B$10,Paramètres!$A$1:$I$89,3,0)*VLOOKUP('Données projet'!$B$10,Paramètres!$A$1:$I$89,5,0)</f>
        <v>7.9808160080574461E-14</v>
      </c>
      <c r="AK111" s="14">
        <f t="shared" si="89"/>
        <v>1.2308384591775343E-12</v>
      </c>
      <c r="AL111" s="22">
        <f t="shared" si="58"/>
        <v>2.282709528541206E-12</v>
      </c>
      <c r="AM111" s="62">
        <f t="shared" si="59"/>
        <v>279.4850841900016</v>
      </c>
      <c r="AN111" s="62">
        <f ca="1">AVERAGE(OFFSET($AM$3,0,0,'Données projet'!$E$10+1,1))-AVERAGE(OFFSET($H$3,0,0,'Données projet'!$E$10+1,1))</f>
        <v>253.48761861464732</v>
      </c>
      <c r="AO111" s="62">
        <f t="shared" si="90"/>
        <v>219.50855998133855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108.06642891269321</v>
      </c>
      <c r="AV111" s="23">
        <f>EXP(-LN(2)/25)*AV110+(1-EXP(-LN(2)/25))/(LN(2)/25)*Calculateur!AQ111*Calculateur!AS111*VLOOKUP('Données projet'!$B$10,Paramètres!$A$1:$I$89,3,0)*0.475*44/12</f>
        <v>23.232521630824795</v>
      </c>
      <c r="AW111" s="23">
        <f>EXP(-LN(2)/2)*AW110+(1-EXP(-LN(2)/2))/(LN(2)/2)*AQ111*AT111*VLOOKUP('Données projet'!$B$10,Paramètres!$A$1:$I$89,3,0)*0.475*44/12</f>
        <v>1.4900371241659294</v>
      </c>
      <c r="AX111" s="23">
        <f t="shared" si="60"/>
        <v>132.78898766768393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>
        <f>BD111*VLOOKUP('Données projet'!$B$11,Paramètres!$A$1:$I$89,3,0)*VLOOKUP('Données projet'!$B$11,Paramètres!$A$1:$I$89,5,0)</f>
        <v>0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482.85256243111911</v>
      </c>
      <c r="BJ111" s="62">
        <f t="shared" si="92"/>
        <v>517.78430032567064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45.734655329704992</v>
      </c>
      <c r="BQ111" s="23">
        <f>EXP(-LN(2)/25)*BQ110+(1-EXP(-LN(2)/25))/(LN(2)/25)*Calculateur!BL111*Calculateur!BN111*VLOOKUP('Données projet'!$B$11,Paramètres!$A$1:$I$89,3,0)*0.475*44/12</f>
        <v>7.9587907028528964</v>
      </c>
      <c r="BR111" s="23">
        <f>EXP(-LN(2)/2)*BR110+(1-EXP(-LN(2)/2))/(LN(2)/2)*BL111*BO111*VLOOKUP('Données projet'!$B$11,Paramètres!$A$1:$I$89,3,0)*0.475*44/12</f>
        <v>3.472320282295763E-6</v>
      </c>
      <c r="BS111" s="24">
        <f t="shared" si="63"/>
        <v>53.693449504878167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>
        <f>BY111*VLOOKUP('Données projet'!$B$12,Paramètres!$A$1:$I$89,3,0)*VLOOKUP('Données projet'!$B$12,Paramètres!$A$1:$I$89,5,0)</f>
        <v>0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275.76900776033335</v>
      </c>
      <c r="CE111" s="62">
        <f t="shared" si="94"/>
        <v>299.36898480605191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43.829044690967294</v>
      </c>
      <c r="CL111" s="23">
        <f>EXP(-LN(2)/25)*CL110+(1-EXP(-LN(2)/25))/(LN(2)/25)*Calculateur!CG111*Calculateur!CI111*VLOOKUP('Données projet'!$B$12,Paramètres!$A$1:$I$89,3,0)*0.475*44/12</f>
        <v>7.6271744235673635</v>
      </c>
      <c r="CM111" s="23">
        <f>EXP(-LN(2)/2)*CM110+(1-EXP(-LN(2)/2))/(LN(2)/2)*CG111*CJ111*VLOOKUP('Données projet'!$B$12,Paramètres!$A$1:$I$89,3,0)*0.475*44/12</f>
        <v>3.3276402705334367E-6</v>
      </c>
      <c r="CN111" s="24">
        <f t="shared" si="66"/>
        <v>51.456222442174926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6.7</v>
      </c>
      <c r="CT111" s="13">
        <f>IF('Données projet'!$A$140&gt;35,CT110+CS111-DB110,IF(A111&lt;'Données projet'!$A$140,$CQ$205^A111,IF(A111='Données projet'!$A$140,'Données projet'!$B$140,CT110+CS111-DB110)))</f>
        <v>248.70000000000027</v>
      </c>
      <c r="CU111" s="18">
        <f>CT111*VLOOKUP('Données projet'!$B$13,Paramètres!$A$1:$I$89,3,0)*VLOOKUP('Données projet'!$B$13,Paramètres!$A$1:$I$89,5,0)</f>
        <v>271.58040000000028</v>
      </c>
      <c r="CV111" s="14">
        <f t="shared" si="95"/>
        <v>65.184556043604672</v>
      </c>
      <c r="CW111" s="22">
        <f t="shared" si="67"/>
        <v>586.53229844261193</v>
      </c>
      <c r="CX111" s="62">
        <f t="shared" si="68"/>
        <v>866.01738263261132</v>
      </c>
      <c r="CY111" s="62">
        <f ca="1">AVERAGE(OFFSET($CX$3,0,0,'Données projet'!$E$13+1,1))-AVERAGE(OFFSET($H$3,0,0,'Données projet'!$E$13+1,1))</f>
        <v>482.24068797679558</v>
      </c>
      <c r="CZ111" s="62">
        <f t="shared" si="96"/>
        <v>316.28941055521693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75.932646904369491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75.932646904369491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-1.7053025658242404E-13</v>
      </c>
      <c r="DP111" s="18">
        <f>DO111*VLOOKUP('Données projet'!$B$14,Paramètres!$A$1:$I$89,3,0)*VLOOKUP('Données projet'!$B$14,Paramètres!$A$1:$I$89,5,0)</f>
        <v>-1.383341441396624E-13</v>
      </c>
      <c r="DQ111" s="14" t="e">
        <f t="shared" si="97"/>
        <v>#NUM!</v>
      </c>
      <c r="DR111" s="22" t="e">
        <f t="shared" si="70"/>
        <v>#NUM!</v>
      </c>
      <c r="DS111" s="62" t="e">
        <f t="shared" si="71"/>
        <v>#NUM!</v>
      </c>
      <c r="DT111" s="62">
        <f ca="1">AVERAGE(OFFSET($DS$3,0,0,'Données projet'!$E$14+1,1))-AVERAGE(OFFSET($H$3,0,0,'Données projet'!$E$14+1,1))</f>
        <v>325.58538970226539</v>
      </c>
      <c r="DU111" s="62">
        <f t="shared" si="98"/>
        <v>361.81085660423457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54.748283580003779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54.748283580003779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5.3599999999999968</v>
      </c>
      <c r="EJ111" s="13">
        <f>IF('Données projet'!$A$192&gt;35,EJ110+EI111-ER110,IF(A111&lt;'Données projet'!$A$192,$EG$205^A111,IF(A111='Données projet'!$A$192,'Données projet'!$B$192,EJ110+EI111-ER110)))</f>
        <v>198.95999999999981</v>
      </c>
      <c r="EK111" s="18">
        <f>EJ111*VLOOKUP('Données projet'!$B$15,Paramètres!$A$1:$I$89,3,0)*VLOOKUP('Données projet'!$B$15,Paramètres!$A$1:$I$89,5,0)</f>
        <v>192.43411199999983</v>
      </c>
      <c r="EL111" s="14">
        <f t="shared" si="99"/>
        <v>48.077701107854381</v>
      </c>
      <c r="EM111" s="22">
        <f t="shared" si="73"/>
        <v>418.89140782951267</v>
      </c>
      <c r="EN111" s="62">
        <f t="shared" si="74"/>
        <v>698.37649201951194</v>
      </c>
      <c r="EO111" s="62">
        <f ca="1">AVERAGE(OFFSET($EN$3,0,0,'Données projet'!$E$15+1,1))-AVERAGE(OFFSET($H$3,0,0,'Données projet'!$E$15+1,1))</f>
        <v>364.22267539944085</v>
      </c>
      <c r="EP111" s="62">
        <f t="shared" si="100"/>
        <v>241.947139538615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53.803704092238981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53.803704092238981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-1.7053025658242404E-13</v>
      </c>
      <c r="FF111" s="18">
        <f>FE111*VLOOKUP('Données projet'!$B$16,Paramètres!$A$1:$I$89,3,0)*VLOOKUP('Données projet'!$B$16,Paramètres!$A$1:$I$89,5,0)</f>
        <v>-1.4897523215040567E-13</v>
      </c>
      <c r="FG111" s="14" t="e">
        <f t="shared" si="101"/>
        <v>#NUM!</v>
      </c>
      <c r="FH111" s="22" t="e">
        <f t="shared" si="76"/>
        <v>#NUM!</v>
      </c>
      <c r="FI111" s="62" t="e">
        <f t="shared" si="77"/>
        <v>#NUM!</v>
      </c>
      <c r="FJ111" s="62">
        <f ca="1">AVERAGE(OFFSET($FI$3,0,0,'Données projet'!$E$16+1,1))-AVERAGE(OFFSET($H$3,0,0,'Données projet'!$E$16+1,1))</f>
        <v>286.59837239471312</v>
      </c>
      <c r="FK111" s="62">
        <f t="shared" si="102"/>
        <v>319.26091328564689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47.519360394372896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47.519360394372896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-1.7053025658242404E-13</v>
      </c>
      <c r="GA111" s="18">
        <f>FZ111*VLOOKUP('Données projet'!$B$17,Paramètres!$A$1:$I$89,3,0)*VLOOKUP('Données projet'!$B$17,Paramètres!$A$1:$I$89,5,0)</f>
        <v>-1.1439169611549005E-13</v>
      </c>
      <c r="GB111" s="14" t="e">
        <f t="shared" si="103"/>
        <v>#NUM!</v>
      </c>
      <c r="GC111" s="22" t="e">
        <f t="shared" si="79"/>
        <v>#NUM!</v>
      </c>
      <c r="GD111" s="62" t="e">
        <f t="shared" si="80"/>
        <v>#NUM!</v>
      </c>
      <c r="GE111" s="62">
        <f ca="1">AVERAGE(OFFSET($GD$3,0,0,'Données projet'!$E$17+1,1))-AVERAGE(OFFSET($H$3,0,0,'Données projet'!$E$17+1,1))</f>
        <v>277.37570531842186</v>
      </c>
      <c r="GF111" s="62">
        <f t="shared" si="104"/>
        <v>310.00874200911312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projet'!$B$17,Paramètres!$A$1:$I$89,3,0)*0.475*44/12</f>
        <v>55.801135187311559</v>
      </c>
      <c r="GM111" s="23">
        <f>EXP(-LN(2)/25)*GM110+(1-EXP(-LN(2)/25))/(LN(2)/25)*Calculateur!GH111*Calculateur!GJ111*VLOOKUP('Données projet'!$B$17,Paramètres!$A$1:$I$89,3,0)*0.475*44/12</f>
        <v>0</v>
      </c>
      <c r="GN111" s="23">
        <f>EXP(-LN(2)/2)*GN110+(1-EXP(-LN(2)/2))/(LN(2)/2)*GH111*GK111*VLOOKUP('Données projet'!$B$17,Paramètres!$A$1:$I$89,3,0)*0.475*44/12</f>
        <v>0</v>
      </c>
      <c r="GO111" s="23">
        <f t="shared" si="81"/>
        <v>55.801135187311559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6.7</v>
      </c>
      <c r="N112" s="14">
        <f>IF('Données projet'!$A$36&gt;35,N111+M112-V111,IF(A112&lt;'Données projet'!$A$36,$K$205^A112,IF(A112='Données projet'!$A$36,'Données projet'!$B$36,N111+M112-V111)))</f>
        <v>255.40000000000026</v>
      </c>
      <c r="O112" s="14">
        <f>N112*VLOOKUP('Données projet'!$B$9,Paramètres!$A$1:$I$89,3,0)*VLOOKUP('Données projet'!$B$9,Paramètres!$A$1:$I$89,5,0)</f>
        <v>223.11744000000027</v>
      </c>
      <c r="P112" s="14">
        <f t="shared" si="87"/>
        <v>54.79189003963954</v>
      </c>
      <c r="Q112" s="22">
        <f t="shared" si="107"/>
        <v>484.02541648570599</v>
      </c>
      <c r="R112" s="62">
        <f t="shared" si="55"/>
        <v>763.75073683829532</v>
      </c>
      <c r="S112" s="62">
        <f ca="1">AVERAGE(OFFSET($R$3,0,0,'Données projet'!$E$9+1,1))-AVERAGE(OFFSET($H$3,0,0,'Données projet'!$E$9+1,1))</f>
        <v>401.34220206028908</v>
      </c>
      <c r="T112" s="62">
        <f t="shared" si="88"/>
        <v>265.33314259106987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59.554923210333001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59.554923210333001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1.7053025658242404E-13</v>
      </c>
      <c r="AJ112" s="14">
        <f>AI112*VLOOKUP('Données projet'!$B$10,Paramètres!$A$1:$I$89,3,0)*VLOOKUP('Données projet'!$B$10,Paramètres!$A$1:$I$89,5,0)</f>
        <v>7.9808160080574461E-14</v>
      </c>
      <c r="AK112" s="14">
        <f t="shared" si="89"/>
        <v>1.2308384591775343E-12</v>
      </c>
      <c r="AL112" s="22">
        <f t="shared" si="58"/>
        <v>2.282709528541206E-12</v>
      </c>
      <c r="AM112" s="62">
        <f t="shared" si="59"/>
        <v>279.72532035259155</v>
      </c>
      <c r="AN112" s="62">
        <f ca="1">AVERAGE(OFFSET($AM$3,0,0,'Données projet'!$E$10+1,1))-AVERAGE(OFFSET($H$3,0,0,'Données projet'!$E$10+1,1))</f>
        <v>253.48761861464732</v>
      </c>
      <c r="AO112" s="62">
        <f t="shared" si="90"/>
        <v>219.50855998133855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105.94731215572847</v>
      </c>
      <c r="AV112" s="23">
        <f>EXP(-LN(2)/25)*AV111+(1-EXP(-LN(2)/25))/(LN(2)/25)*Calculateur!AQ112*Calculateur!AS112*VLOOKUP('Données projet'!$B$10,Paramètres!$A$1:$I$89,3,0)*0.475*44/12</f>
        <v>22.597227105084677</v>
      </c>
      <c r="AW112" s="23">
        <f>EXP(-LN(2)/2)*AW111+(1-EXP(-LN(2)/2))/(LN(2)/2)*AQ112*AT112*VLOOKUP('Données projet'!$B$10,Paramètres!$A$1:$I$89,3,0)*0.475*44/12</f>
        <v>1.0536153547174305</v>
      </c>
      <c r="AX112" s="23">
        <f t="shared" si="60"/>
        <v>129.59815461553058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>
        <f>BD112*VLOOKUP('Données projet'!$B$11,Paramètres!$A$1:$I$89,3,0)*VLOOKUP('Données projet'!$B$11,Paramètres!$A$1:$I$89,5,0)</f>
        <v>0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482.85256243111911</v>
      </c>
      <c r="BJ112" s="62">
        <f t="shared" si="92"/>
        <v>517.78430032567064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44.837826634074787</v>
      </c>
      <c r="BQ112" s="23">
        <f>EXP(-LN(2)/25)*BQ111+(1-EXP(-LN(2)/25))/(LN(2)/25)*Calculateur!BL112*Calculateur!BN112*VLOOKUP('Données projet'!$B$11,Paramètres!$A$1:$I$89,3,0)*0.475*44/12</f>
        <v>7.7411571525487712</v>
      </c>
      <c r="BR112" s="23">
        <f>EXP(-LN(2)/2)*BR111+(1-EXP(-LN(2)/2))/(LN(2)/2)*BL112*BO112*VLOOKUP('Données projet'!$B$11,Paramètres!$A$1:$I$89,3,0)*0.475*44/12</f>
        <v>2.455301218062921E-6</v>
      </c>
      <c r="BS112" s="24">
        <f t="shared" si="63"/>
        <v>52.578986241924781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>
        <f>BY112*VLOOKUP('Données projet'!$B$12,Paramètres!$A$1:$I$89,3,0)*VLOOKUP('Données projet'!$B$12,Paramètres!$A$1:$I$89,5,0)</f>
        <v>0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275.76900776033335</v>
      </c>
      <c r="CE112" s="62">
        <f t="shared" si="94"/>
        <v>299.36898480605191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42.969583857655017</v>
      </c>
      <c r="CL112" s="23">
        <f>EXP(-LN(2)/25)*CL111+(1-EXP(-LN(2)/25))/(LN(2)/25)*Calculateur!CG112*Calculateur!CI112*VLOOKUP('Données projet'!$B$12,Paramètres!$A$1:$I$89,3,0)*0.475*44/12</f>
        <v>7.4186089378592435</v>
      </c>
      <c r="CM112" s="23">
        <f>EXP(-LN(2)/2)*CM111+(1-EXP(-LN(2)/2))/(LN(2)/2)*CG112*CJ112*VLOOKUP('Données projet'!$B$12,Paramètres!$A$1:$I$89,3,0)*0.475*44/12</f>
        <v>2.3529970006436306E-6</v>
      </c>
      <c r="CN112" s="24">
        <f t="shared" si="66"/>
        <v>50.388195148511258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6.7</v>
      </c>
      <c r="CT112" s="13">
        <f>IF('Données projet'!$A$140&gt;35,CT111+CS112-DB111,IF(A112&lt;'Données projet'!$A$140,$CQ$205^A112,IF(A112='Données projet'!$A$140,'Données projet'!$B$140,CT111+CS112-DB111)))</f>
        <v>255.40000000000026</v>
      </c>
      <c r="CU112" s="18">
        <f>CT112*VLOOKUP('Données projet'!$B$13,Paramètres!$A$1:$I$89,3,0)*VLOOKUP('Données projet'!$B$13,Paramètres!$A$1:$I$89,5,0)</f>
        <v>278.89680000000027</v>
      </c>
      <c r="CV112" s="14">
        <f t="shared" si="95"/>
        <v>66.733817468934362</v>
      </c>
      <c r="CW112" s="22">
        <f t="shared" si="67"/>
        <v>601.97332542506115</v>
      </c>
      <c r="CX112" s="62">
        <f t="shared" si="68"/>
        <v>881.69864577765043</v>
      </c>
      <c r="CY112" s="62">
        <f ca="1">AVERAGE(OFFSET($CX$3,0,0,'Données projet'!$E$13+1,1))-AVERAGE(OFFSET($H$3,0,0,'Données projet'!$E$13+1,1))</f>
        <v>482.24068797679558</v>
      </c>
      <c r="CZ112" s="62">
        <f t="shared" si="96"/>
        <v>316.28941055521693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74.443654012916255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74.443654012916255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-1.7053025658242404E-13</v>
      </c>
      <c r="DP112" s="18">
        <f>DO112*VLOOKUP('Données projet'!$B$14,Paramètres!$A$1:$I$89,3,0)*VLOOKUP('Données projet'!$B$14,Paramètres!$A$1:$I$89,5,0)</f>
        <v>-1.383341441396624E-13</v>
      </c>
      <c r="DQ112" s="14" t="e">
        <f t="shared" si="97"/>
        <v>#NUM!</v>
      </c>
      <c r="DR112" s="22" t="e">
        <f t="shared" si="70"/>
        <v>#NUM!</v>
      </c>
      <c r="DS112" s="62" t="e">
        <f t="shared" si="71"/>
        <v>#NUM!</v>
      </c>
      <c r="DT112" s="62">
        <f ca="1">AVERAGE(OFFSET($DS$3,0,0,'Données projet'!$E$14+1,1))-AVERAGE(OFFSET($H$3,0,0,'Données projet'!$E$14+1,1))</f>
        <v>325.58538970226539</v>
      </c>
      <c r="DU112" s="62">
        <f t="shared" si="98"/>
        <v>361.81085660423457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53.674703132155585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53.674703132155585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5.3599999999999968</v>
      </c>
      <c r="EJ112" s="13">
        <f>IF('Données projet'!$A$192&gt;35,EJ111+EI112-ER111,IF(A112&lt;'Données projet'!$A$192,$EG$205^A112,IF(A112='Données projet'!$A$192,'Données projet'!$B$192,EJ111+EI112-ER111)))</f>
        <v>204.31999999999979</v>
      </c>
      <c r="EK112" s="18">
        <f>EJ112*VLOOKUP('Données projet'!$B$15,Paramètres!$A$1:$I$89,3,0)*VLOOKUP('Données projet'!$B$15,Paramètres!$A$1:$I$89,5,0)</f>
        <v>197.6183039999998</v>
      </c>
      <c r="EL112" s="14">
        <f t="shared" si="99"/>
        <v>49.220378641703093</v>
      </c>
      <c r="EM112" s="22">
        <f t="shared" si="73"/>
        <v>429.91070560096585</v>
      </c>
      <c r="EN112" s="62">
        <f t="shared" si="74"/>
        <v>709.63602595355519</v>
      </c>
      <c r="EO112" s="62">
        <f ca="1">AVERAGE(OFFSET($EN$3,0,0,'Données projet'!$E$15+1,1))-AVERAGE(OFFSET($H$3,0,0,'Données projet'!$E$15+1,1))</f>
        <v>364.22267539944085</v>
      </c>
      <c r="EP112" s="62">
        <f t="shared" si="100"/>
        <v>241.947139538615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52.74864627200926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52.74864627200926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-1.7053025658242404E-13</v>
      </c>
      <c r="FF112" s="18">
        <f>FE112*VLOOKUP('Données projet'!$B$16,Paramètres!$A$1:$I$89,3,0)*VLOOKUP('Données projet'!$B$16,Paramètres!$A$1:$I$89,5,0)</f>
        <v>-1.4897523215040567E-13</v>
      </c>
      <c r="FG112" s="14" t="e">
        <f t="shared" si="101"/>
        <v>#NUM!</v>
      </c>
      <c r="FH112" s="22" t="e">
        <f t="shared" si="76"/>
        <v>#NUM!</v>
      </c>
      <c r="FI112" s="62" t="e">
        <f t="shared" si="77"/>
        <v>#NUM!</v>
      </c>
      <c r="FJ112" s="62">
        <f ca="1">AVERAGE(OFFSET($FI$3,0,0,'Données projet'!$E$16+1,1))-AVERAGE(OFFSET($H$3,0,0,'Données projet'!$E$16+1,1))</f>
        <v>286.59837239471312</v>
      </c>
      <c r="FK112" s="62">
        <f t="shared" si="102"/>
        <v>319.26091328564689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46.587534720987158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46.587534720987158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-1.7053025658242404E-13</v>
      </c>
      <c r="GA112" s="18">
        <f>FZ112*VLOOKUP('Données projet'!$B$17,Paramètres!$A$1:$I$89,3,0)*VLOOKUP('Données projet'!$B$17,Paramètres!$A$1:$I$89,5,0)</f>
        <v>-1.1439169611549005E-13</v>
      </c>
      <c r="GB112" s="14" t="e">
        <f t="shared" si="103"/>
        <v>#NUM!</v>
      </c>
      <c r="GC112" s="22" t="e">
        <f t="shared" si="79"/>
        <v>#NUM!</v>
      </c>
      <c r="GD112" s="62" t="e">
        <f t="shared" si="80"/>
        <v>#NUM!</v>
      </c>
      <c r="GE112" s="62">
        <f ca="1">AVERAGE(OFFSET($GD$3,0,0,'Données projet'!$E$17+1,1))-AVERAGE(OFFSET($H$3,0,0,'Données projet'!$E$17+1,1))</f>
        <v>277.37570531842186</v>
      </c>
      <c r="GF112" s="62">
        <f t="shared" si="104"/>
        <v>310.00874200911312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projet'!$B$17,Paramètres!$A$1:$I$89,3,0)*0.475*44/12</f>
        <v>54.706908961620137</v>
      </c>
      <c r="GM112" s="23">
        <f>EXP(-LN(2)/25)*GM111+(1-EXP(-LN(2)/25))/(LN(2)/25)*Calculateur!GH112*Calculateur!GJ112*VLOOKUP('Données projet'!$B$17,Paramètres!$A$1:$I$89,3,0)*0.475*44/12</f>
        <v>0</v>
      </c>
      <c r="GN112" s="23">
        <f>EXP(-LN(2)/2)*GN111+(1-EXP(-LN(2)/2))/(LN(2)/2)*GH112*GK112*VLOOKUP('Données projet'!$B$17,Paramètres!$A$1:$I$89,3,0)*0.475*44/12</f>
        <v>0</v>
      </c>
      <c r="GO112" s="23">
        <f t="shared" si="81"/>
        <v>54.706908961620137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6.7</v>
      </c>
      <c r="N113" s="14">
        <f>IF('Données projet'!$A$36&gt;35,N112+M113-V112,IF(A113&lt;'Données projet'!$A$36,$K$205^A113,IF(A113='Données projet'!$A$36,'Données projet'!$B$36,N112+M113-V112)))</f>
        <v>262.10000000000025</v>
      </c>
      <c r="O113" s="14">
        <f>N113*VLOOKUP('Données projet'!$B$9,Paramètres!$A$1:$I$89,3,0)*VLOOKUP('Données projet'!$B$9,Paramètres!$A$1:$I$89,5,0)</f>
        <v>228.97056000000023</v>
      </c>
      <c r="P113" s="14">
        <f t="shared" si="87"/>
        <v>56.060034455131024</v>
      </c>
      <c r="Q113" s="22">
        <f t="shared" si="107"/>
        <v>496.42828534268693</v>
      </c>
      <c r="R113" s="62">
        <f t="shared" si="55"/>
        <v>776.38967429753279</v>
      </c>
      <c r="S113" s="62">
        <f ca="1">AVERAGE(OFFSET($R$3,0,0,'Données projet'!$E$9+1,1))-AVERAGE(OFFSET($H$3,0,0,'Données projet'!$E$9+1,1))</f>
        <v>401.34220206028908</v>
      </c>
      <c r="T113" s="62">
        <f t="shared" si="88"/>
        <v>265.33314259106987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58.387087491094739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58.387087491094739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1.7053025658242404E-13</v>
      </c>
      <c r="AJ113" s="14">
        <f>AI113*VLOOKUP('Données projet'!$B$10,Paramètres!$A$1:$I$89,3,0)*VLOOKUP('Données projet'!$B$10,Paramètres!$A$1:$I$89,5,0)</f>
        <v>7.9808160080574461E-14</v>
      </c>
      <c r="AK113" s="14">
        <f t="shared" si="89"/>
        <v>1.2308384591775343E-12</v>
      </c>
      <c r="AL113" s="22">
        <f t="shared" si="58"/>
        <v>2.282709528541206E-12</v>
      </c>
      <c r="AM113" s="62">
        <f t="shared" si="59"/>
        <v>279.96138895484813</v>
      </c>
      <c r="AN113" s="62">
        <f ca="1">AVERAGE(OFFSET($AM$3,0,0,'Données projet'!$E$10+1,1))-AVERAGE(OFFSET($H$3,0,0,'Données projet'!$E$10+1,1))</f>
        <v>253.48761861464732</v>
      </c>
      <c r="AO113" s="62">
        <f t="shared" si="90"/>
        <v>219.50855998133855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103.8697499858342</v>
      </c>
      <c r="AV113" s="23">
        <f>EXP(-LN(2)/25)*AV112+(1-EXP(-LN(2)/25))/(LN(2)/25)*Calculateur!AQ113*Calculateur!AS113*VLOOKUP('Données projet'!$B$10,Paramètres!$A$1:$I$89,3,0)*0.475*44/12</f>
        <v>21.979304741559609</v>
      </c>
      <c r="AW113" s="23">
        <f>EXP(-LN(2)/2)*AW112+(1-EXP(-LN(2)/2))/(LN(2)/2)*AQ113*AT113*VLOOKUP('Données projet'!$B$10,Paramètres!$A$1:$I$89,3,0)*0.475*44/12</f>
        <v>0.7450185620829648</v>
      </c>
      <c r="AX113" s="23">
        <f t="shared" si="60"/>
        <v>126.59407328947678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>
        <f>BD113*VLOOKUP('Données projet'!$B$11,Paramètres!$A$1:$I$89,3,0)*VLOOKUP('Données projet'!$B$11,Paramètres!$A$1:$I$89,5,0)</f>
        <v>0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482.85256243111911</v>
      </c>
      <c r="BJ113" s="62">
        <f t="shared" si="92"/>
        <v>517.78430032567064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43.958584202154398</v>
      </c>
      <c r="BQ113" s="23">
        <f>EXP(-LN(2)/25)*BQ112+(1-EXP(-LN(2)/25))/(LN(2)/25)*Calculateur!BL113*Calculateur!BN113*VLOOKUP('Données projet'!$B$11,Paramètres!$A$1:$I$89,3,0)*0.475*44/12</f>
        <v>7.5294748031225627</v>
      </c>
      <c r="BR113" s="23">
        <f>EXP(-LN(2)/2)*BR112+(1-EXP(-LN(2)/2))/(LN(2)/2)*BL113*BO113*VLOOKUP('Données projet'!$B$11,Paramètres!$A$1:$I$89,3,0)*0.475*44/12</f>
        <v>1.7361601411478815E-6</v>
      </c>
      <c r="BS113" s="24">
        <f t="shared" si="63"/>
        <v>51.488060741437103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>
        <f>BY113*VLOOKUP('Données projet'!$B$12,Paramètres!$A$1:$I$89,3,0)*VLOOKUP('Données projet'!$B$12,Paramètres!$A$1:$I$89,5,0)</f>
        <v>0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275.76900776033335</v>
      </c>
      <c r="CE113" s="62">
        <f t="shared" si="94"/>
        <v>299.36898480605191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42.126976527064649</v>
      </c>
      <c r="CL113" s="23">
        <f>EXP(-LN(2)/25)*CL112+(1-EXP(-LN(2)/25))/(LN(2)/25)*Calculateur!CG113*Calculateur!CI113*VLOOKUP('Données projet'!$B$12,Paramètres!$A$1:$I$89,3,0)*0.475*44/12</f>
        <v>7.2157466863257937</v>
      </c>
      <c r="CM113" s="23">
        <f>EXP(-LN(2)/2)*CM112+(1-EXP(-LN(2)/2))/(LN(2)/2)*CG113*CJ113*VLOOKUP('Données projet'!$B$12,Paramètres!$A$1:$I$89,3,0)*0.475*44/12</f>
        <v>1.6638201352667183E-6</v>
      </c>
      <c r="CN113" s="24">
        <f t="shared" si="66"/>
        <v>49.342724877210578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6.7</v>
      </c>
      <c r="CT113" s="13">
        <f>IF('Données projet'!$A$140&gt;35,CT112+CS113-DB112,IF(A113&lt;'Données projet'!$A$140,$CQ$205^A113,IF(A113='Données projet'!$A$140,'Données projet'!$B$140,CT112+CS113-DB112)))</f>
        <v>262.10000000000025</v>
      </c>
      <c r="CU113" s="18">
        <f>CT113*VLOOKUP('Données projet'!$B$13,Paramètres!$A$1:$I$89,3,0)*VLOOKUP('Données projet'!$B$13,Paramètres!$A$1:$I$89,5,0)</f>
        <v>286.21320000000026</v>
      </c>
      <c r="CV113" s="14">
        <f t="shared" si="95"/>
        <v>68.278354769736282</v>
      </c>
      <c r="CW113" s="22">
        <f t="shared" si="67"/>
        <v>617.40612455729104</v>
      </c>
      <c r="CX113" s="62">
        <f t="shared" si="68"/>
        <v>897.36751351213684</v>
      </c>
      <c r="CY113" s="62">
        <f ca="1">AVERAGE(OFFSET($CX$3,0,0,'Données projet'!$E$13+1,1))-AVERAGE(OFFSET($H$3,0,0,'Données projet'!$E$13+1,1))</f>
        <v>482.24068797679558</v>
      </c>
      <c r="CZ113" s="62">
        <f t="shared" si="96"/>
        <v>316.28941055521693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72.983859363868433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72.983859363868433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-1.7053025658242404E-13</v>
      </c>
      <c r="DP113" s="18">
        <f>DO113*VLOOKUP('Données projet'!$B$14,Paramètres!$A$1:$I$89,3,0)*VLOOKUP('Données projet'!$B$14,Paramètres!$A$1:$I$89,5,0)</f>
        <v>-1.383341441396624E-13</v>
      </c>
      <c r="DQ113" s="14" t="e">
        <f t="shared" si="97"/>
        <v>#NUM!</v>
      </c>
      <c r="DR113" s="22" t="e">
        <f t="shared" si="70"/>
        <v>#NUM!</v>
      </c>
      <c r="DS113" s="62" t="e">
        <f t="shared" si="71"/>
        <v>#NUM!</v>
      </c>
      <c r="DT113" s="62">
        <f ca="1">AVERAGE(OFFSET($DS$3,0,0,'Données projet'!$E$14+1,1))-AVERAGE(OFFSET($H$3,0,0,'Données projet'!$E$14+1,1))</f>
        <v>325.58538970226539</v>
      </c>
      <c r="DU113" s="62">
        <f t="shared" si="98"/>
        <v>361.81085660423457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52.622174942070281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52.622174942070281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5.3599999999999968</v>
      </c>
      <c r="EJ113" s="13">
        <f>IF('Données projet'!$A$192&gt;35,EJ112+EI113-ER112,IF(A113&lt;'Données projet'!$A$192,$EG$205^A113,IF(A113='Données projet'!$A$192,'Données projet'!$B$192,EJ112+EI113-ER112)))</f>
        <v>209.67999999999978</v>
      </c>
      <c r="EK113" s="18">
        <f>EJ113*VLOOKUP('Données projet'!$B$15,Paramètres!$A$1:$I$89,3,0)*VLOOKUP('Données projet'!$B$15,Paramètres!$A$1:$I$89,5,0)</f>
        <v>202.80249599999979</v>
      </c>
      <c r="EL113" s="14">
        <f t="shared" si="99"/>
        <v>50.359571837223406</v>
      </c>
      <c r="EM113" s="22">
        <f t="shared" si="73"/>
        <v>440.92393481649702</v>
      </c>
      <c r="EN113" s="62">
        <f t="shared" si="74"/>
        <v>720.88532377134288</v>
      </c>
      <c r="EO113" s="62">
        <f ca="1">AVERAGE(OFFSET($EN$3,0,0,'Données projet'!$E$15+1,1))-AVERAGE(OFFSET($H$3,0,0,'Données projet'!$E$15+1,1))</f>
        <v>364.22267539944085</v>
      </c>
      <c r="EP113" s="62">
        <f t="shared" si="100"/>
        <v>241.947139538615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51.714277492112515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51.714277492112515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-1.7053025658242404E-13</v>
      </c>
      <c r="FF113" s="18">
        <f>FE113*VLOOKUP('Données projet'!$B$16,Paramètres!$A$1:$I$89,3,0)*VLOOKUP('Données projet'!$B$16,Paramètres!$A$1:$I$89,5,0)</f>
        <v>-1.4897523215040567E-13</v>
      </c>
      <c r="FG113" s="14" t="e">
        <f t="shared" si="101"/>
        <v>#NUM!</v>
      </c>
      <c r="FH113" s="22" t="e">
        <f t="shared" si="76"/>
        <v>#NUM!</v>
      </c>
      <c r="FI113" s="62" t="e">
        <f t="shared" si="77"/>
        <v>#NUM!</v>
      </c>
      <c r="FJ113" s="62">
        <f ca="1">AVERAGE(OFFSET($FI$3,0,0,'Données projet'!$E$16+1,1))-AVERAGE(OFFSET($H$3,0,0,'Données projet'!$E$16+1,1))</f>
        <v>286.59837239471312</v>
      </c>
      <c r="FK113" s="62">
        <f t="shared" si="102"/>
        <v>319.26091328564689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45.673981580698971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45.673981580698971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-1.7053025658242404E-13</v>
      </c>
      <c r="GA113" s="18">
        <f>FZ113*VLOOKUP('Données projet'!$B$17,Paramètres!$A$1:$I$89,3,0)*VLOOKUP('Données projet'!$B$17,Paramètres!$A$1:$I$89,5,0)</f>
        <v>-1.1439169611549005E-13</v>
      </c>
      <c r="GB113" s="14" t="e">
        <f t="shared" si="103"/>
        <v>#NUM!</v>
      </c>
      <c r="GC113" s="22" t="e">
        <f t="shared" si="79"/>
        <v>#NUM!</v>
      </c>
      <c r="GD113" s="62" t="e">
        <f t="shared" si="80"/>
        <v>#NUM!</v>
      </c>
      <c r="GE113" s="62">
        <f ca="1">AVERAGE(OFFSET($GD$3,0,0,'Données projet'!$E$17+1,1))-AVERAGE(OFFSET($H$3,0,0,'Données projet'!$E$17+1,1))</f>
        <v>277.37570531842186</v>
      </c>
      <c r="GF113" s="62">
        <f t="shared" si="104"/>
        <v>310.00874200911312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projet'!$B$17,Paramètres!$A$1:$I$89,3,0)*0.475*44/12</f>
        <v>53.634139844802426</v>
      </c>
      <c r="GM113" s="23">
        <f>EXP(-LN(2)/25)*GM112+(1-EXP(-LN(2)/25))/(LN(2)/25)*Calculateur!GH113*Calculateur!GJ113*VLOOKUP('Données projet'!$B$17,Paramètres!$A$1:$I$89,3,0)*0.475*44/12</f>
        <v>0</v>
      </c>
      <c r="GN113" s="23">
        <f>EXP(-LN(2)/2)*GN112+(1-EXP(-LN(2)/2))/(LN(2)/2)*GH113*GK113*VLOOKUP('Données projet'!$B$17,Paramètres!$A$1:$I$89,3,0)*0.475*44/12</f>
        <v>0</v>
      </c>
      <c r="GO113" s="23">
        <f t="shared" si="81"/>
        <v>53.634139844802426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6.7</v>
      </c>
      <c r="N114" s="14">
        <f>IF('Données projet'!$A$36&gt;35,N113+M114-V113,IF(A114&lt;'Données projet'!$A$36,$K$205^A114,IF(A114='Données projet'!$A$36,'Données projet'!$B$36,N113+M114-V113)))</f>
        <v>268.80000000000024</v>
      </c>
      <c r="O114" s="14">
        <f>N114*VLOOKUP('Données projet'!$B$9,Paramètres!$A$1:$I$89,3,0)*VLOOKUP('Données projet'!$B$9,Paramètres!$A$1:$I$89,5,0)</f>
        <v>234.82368000000025</v>
      </c>
      <c r="P114" s="14">
        <f t="shared" si="87"/>
        <v>57.324410674478791</v>
      </c>
      <c r="Q114" s="22">
        <f t="shared" si="107"/>
        <v>508.82459125805093</v>
      </c>
      <c r="R114" s="62">
        <f t="shared" si="55"/>
        <v>789.0179535526745</v>
      </c>
      <c r="S114" s="62">
        <f ca="1">AVERAGE(OFFSET($R$3,0,0,'Données projet'!$E$9+1,1))-AVERAGE(OFFSET($H$3,0,0,'Données projet'!$E$9+1,1))</f>
        <v>401.34220206028908</v>
      </c>
      <c r="T114" s="62">
        <f t="shared" si="88"/>
        <v>265.33314259106987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57.242152318001288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57.242152318001288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1.7053025658242404E-13</v>
      </c>
      <c r="AJ114" s="14">
        <f>AI114*VLOOKUP('Données projet'!$B$10,Paramètres!$A$1:$I$89,3,0)*VLOOKUP('Données projet'!$B$10,Paramètres!$A$1:$I$89,5,0)</f>
        <v>7.9808160080574461E-14</v>
      </c>
      <c r="AK114" s="14">
        <f t="shared" si="89"/>
        <v>1.2308384591775343E-12</v>
      </c>
      <c r="AL114" s="22">
        <f t="shared" si="58"/>
        <v>2.282709528541206E-12</v>
      </c>
      <c r="AM114" s="62">
        <f t="shared" si="59"/>
        <v>280.19336229462584</v>
      </c>
      <c r="AN114" s="62">
        <f ca="1">AVERAGE(OFFSET($AM$3,0,0,'Données projet'!$E$10+1,1))-AVERAGE(OFFSET($H$3,0,0,'Données projet'!$E$10+1,1))</f>
        <v>253.48761861464732</v>
      </c>
      <c r="AO114" s="62">
        <f t="shared" si="90"/>
        <v>219.50855998133855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101.83292754290378</v>
      </c>
      <c r="AV114" s="23">
        <f>EXP(-LN(2)/25)*AV113+(1-EXP(-LN(2)/25))/(LN(2)/25)*Calculateur!AQ114*Calculateur!AS114*VLOOKUP('Données projet'!$B$10,Paramètres!$A$1:$I$89,3,0)*0.475*44/12</f>
        <v>21.378279497560261</v>
      </c>
      <c r="AW114" s="23">
        <f>EXP(-LN(2)/2)*AW113+(1-EXP(-LN(2)/2))/(LN(2)/2)*AQ114*AT114*VLOOKUP('Données projet'!$B$10,Paramètres!$A$1:$I$89,3,0)*0.475*44/12</f>
        <v>0.52680767735871525</v>
      </c>
      <c r="AX114" s="23">
        <f t="shared" si="60"/>
        <v>123.73801471782275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>
        <f>BD114*VLOOKUP('Données projet'!$B$11,Paramètres!$A$1:$I$89,3,0)*VLOOKUP('Données projet'!$B$11,Paramètres!$A$1:$I$89,5,0)</f>
        <v>0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482.85256243111911</v>
      </c>
      <c r="BJ114" s="62">
        <f t="shared" si="92"/>
        <v>517.78430032567064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43.09658317803904</v>
      </c>
      <c r="BQ114" s="23">
        <f>EXP(-LN(2)/25)*BQ113+(1-EXP(-LN(2)/25))/(LN(2)/25)*Calculateur!BL114*Calculateur!BN114*VLOOKUP('Données projet'!$B$11,Paramètres!$A$1:$I$89,3,0)*0.475*44/12</f>
        <v>7.3235809186733052</v>
      </c>
      <c r="BR114" s="23">
        <f>EXP(-LN(2)/2)*BR113+(1-EXP(-LN(2)/2))/(LN(2)/2)*BL114*BO114*VLOOKUP('Données projet'!$B$11,Paramètres!$A$1:$I$89,3,0)*0.475*44/12</f>
        <v>1.2276506090314605E-6</v>
      </c>
      <c r="BS114" s="24">
        <f t="shared" si="63"/>
        <v>50.420165324362955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>
        <f>BY114*VLOOKUP('Données projet'!$B$12,Paramètres!$A$1:$I$89,3,0)*VLOOKUP('Données projet'!$B$12,Paramètres!$A$1:$I$89,5,0)</f>
        <v>0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275.76900776033335</v>
      </c>
      <c r="CE114" s="62">
        <f t="shared" si="94"/>
        <v>299.36898480605191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41.30089221228743</v>
      </c>
      <c r="CL114" s="23">
        <f>EXP(-LN(2)/25)*CL113+(1-EXP(-LN(2)/25))/(LN(2)/25)*Calculateur!CG114*Calculateur!CI114*VLOOKUP('Données projet'!$B$12,Paramètres!$A$1:$I$89,3,0)*0.475*44/12</f>
        <v>7.0184317137285888</v>
      </c>
      <c r="CM114" s="23">
        <f>EXP(-LN(2)/2)*CM113+(1-EXP(-LN(2)/2))/(LN(2)/2)*CG114*CJ114*VLOOKUP('Données projet'!$B$12,Paramètres!$A$1:$I$89,3,0)*0.475*44/12</f>
        <v>1.1764985003218153E-6</v>
      </c>
      <c r="CN114" s="24">
        <f t="shared" si="66"/>
        <v>48.319325102514519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6.7</v>
      </c>
      <c r="CT114" s="13">
        <f>IF('Données projet'!$A$140&gt;35,CT113+CS114-DB113,IF(A114&lt;'Données projet'!$A$140,$CQ$205^A114,IF(A114='Données projet'!$A$140,'Données projet'!$B$140,CT113+CS114-DB113)))</f>
        <v>268.80000000000024</v>
      </c>
      <c r="CU114" s="18">
        <f>CT114*VLOOKUP('Données projet'!$B$13,Paramètres!$A$1:$I$89,3,0)*VLOOKUP('Données projet'!$B$13,Paramètres!$A$1:$I$89,5,0)</f>
        <v>293.52960000000024</v>
      </c>
      <c r="CV114" s="14">
        <f t="shared" si="95"/>
        <v>69.818302593638123</v>
      </c>
      <c r="CW114" s="22">
        <f t="shared" si="67"/>
        <v>632.83093035058675</v>
      </c>
      <c r="CX114" s="62">
        <f t="shared" si="68"/>
        <v>913.02429264521038</v>
      </c>
      <c r="CY114" s="62">
        <f ca="1">AVERAGE(OFFSET($CX$3,0,0,'Données projet'!$E$13+1,1))-AVERAGE(OFFSET($H$3,0,0,'Données projet'!$E$13+1,1))</f>
        <v>482.24068797679558</v>
      </c>
      <c r="CZ114" s="62">
        <f t="shared" si="96"/>
        <v>316.28941055521693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71.552690397501621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71.552690397501621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-1.7053025658242404E-13</v>
      </c>
      <c r="DP114" s="18">
        <f>DO114*VLOOKUP('Données projet'!$B$14,Paramètres!$A$1:$I$89,3,0)*VLOOKUP('Données projet'!$B$14,Paramètres!$A$1:$I$89,5,0)</f>
        <v>-1.383341441396624E-13</v>
      </c>
      <c r="DQ114" s="14" t="e">
        <f t="shared" si="97"/>
        <v>#NUM!</v>
      </c>
      <c r="DR114" s="22" t="e">
        <f t="shared" si="70"/>
        <v>#NUM!</v>
      </c>
      <c r="DS114" s="62" t="e">
        <f t="shared" si="71"/>
        <v>#NUM!</v>
      </c>
      <c r="DT114" s="62">
        <f ca="1">AVERAGE(OFFSET($DS$3,0,0,'Données projet'!$E$14+1,1))-AVERAGE(OFFSET($H$3,0,0,'Données projet'!$E$14+1,1))</f>
        <v>325.58538970226539</v>
      </c>
      <c r="DU114" s="62">
        <f t="shared" si="98"/>
        <v>361.81085660423457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51.590286187813746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51.590286187813746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5.3599999999999968</v>
      </c>
      <c r="EJ114" s="13">
        <f>IF('Données projet'!$A$192&gt;35,EJ113+EI114-ER113,IF(A114&lt;'Données projet'!$A$192,$EG$205^A114,IF(A114='Données projet'!$A$192,'Données projet'!$B$192,EJ113+EI114-ER113)))</f>
        <v>215.03999999999976</v>
      </c>
      <c r="EK114" s="18">
        <f>EJ114*VLOOKUP('Données projet'!$B$15,Paramètres!$A$1:$I$89,3,0)*VLOOKUP('Données projet'!$B$15,Paramètres!$A$1:$I$89,5,0)</f>
        <v>207.98668799999976</v>
      </c>
      <c r="EL114" s="14">
        <f t="shared" si="99"/>
        <v>51.49538000549127</v>
      </c>
      <c r="EM114" s="22">
        <f t="shared" si="73"/>
        <v>451.93126844289685</v>
      </c>
      <c r="EN114" s="62">
        <f t="shared" si="74"/>
        <v>732.12463073752042</v>
      </c>
      <c r="EO114" s="62">
        <f ca="1">AVERAGE(OFFSET($EN$3,0,0,'Données projet'!$E$15+1,1))-AVERAGE(OFFSET($H$3,0,0,'Données projet'!$E$15+1,1))</f>
        <v>364.22267539944085</v>
      </c>
      <c r="EP114" s="62">
        <f t="shared" si="100"/>
        <v>241.947139538615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50.700192053086887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50.700192053086887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-1.7053025658242404E-13</v>
      </c>
      <c r="FF114" s="18">
        <f>FE114*VLOOKUP('Données projet'!$B$16,Paramètres!$A$1:$I$89,3,0)*VLOOKUP('Données projet'!$B$16,Paramètres!$A$1:$I$89,5,0)</f>
        <v>-1.4897523215040567E-13</v>
      </c>
      <c r="FG114" s="14" t="e">
        <f t="shared" si="101"/>
        <v>#NUM!</v>
      </c>
      <c r="FH114" s="22" t="e">
        <f t="shared" si="76"/>
        <v>#NUM!</v>
      </c>
      <c r="FI114" s="62" t="e">
        <f t="shared" si="77"/>
        <v>#NUM!</v>
      </c>
      <c r="FJ114" s="62">
        <f ca="1">AVERAGE(OFFSET($FI$3,0,0,'Données projet'!$E$16+1,1))-AVERAGE(OFFSET($H$3,0,0,'Données projet'!$E$16+1,1))</f>
        <v>286.59837239471312</v>
      </c>
      <c r="FK114" s="62">
        <f t="shared" si="102"/>
        <v>319.26091328564689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44.778342660279442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44.778342660279442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-1.7053025658242404E-13</v>
      </c>
      <c r="GA114" s="18">
        <f>FZ114*VLOOKUP('Données projet'!$B$17,Paramètres!$A$1:$I$89,3,0)*VLOOKUP('Données projet'!$B$17,Paramètres!$A$1:$I$89,5,0)</f>
        <v>-1.1439169611549005E-13</v>
      </c>
      <c r="GB114" s="14" t="e">
        <f t="shared" si="103"/>
        <v>#NUM!</v>
      </c>
      <c r="GC114" s="22" t="e">
        <f t="shared" si="79"/>
        <v>#NUM!</v>
      </c>
      <c r="GD114" s="62" t="e">
        <f t="shared" si="80"/>
        <v>#NUM!</v>
      </c>
      <c r="GE114" s="62">
        <f ca="1">AVERAGE(OFFSET($GD$3,0,0,'Données projet'!$E$17+1,1))-AVERAGE(OFFSET($H$3,0,0,'Données projet'!$E$17+1,1))</f>
        <v>277.37570531842186</v>
      </c>
      <c r="GF114" s="62">
        <f t="shared" si="104"/>
        <v>310.00874200911312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projet'!$B$17,Paramètres!$A$1:$I$89,3,0)*0.475*44/12</f>
        <v>52.582407076040958</v>
      </c>
      <c r="GM114" s="23">
        <f>EXP(-LN(2)/25)*GM113+(1-EXP(-LN(2)/25))/(LN(2)/25)*Calculateur!GH114*Calculateur!GJ114*VLOOKUP('Données projet'!$B$17,Paramètres!$A$1:$I$89,3,0)*0.475*44/12</f>
        <v>0</v>
      </c>
      <c r="GN114" s="23">
        <f>EXP(-LN(2)/2)*GN113+(1-EXP(-LN(2)/2))/(LN(2)/2)*GH114*GK114*VLOOKUP('Données projet'!$B$17,Paramètres!$A$1:$I$89,3,0)*0.475*44/12</f>
        <v>0</v>
      </c>
      <c r="GO114" s="23">
        <f t="shared" si="81"/>
        <v>52.582407076040958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6.7</v>
      </c>
      <c r="N115" s="14">
        <f>IF('Données projet'!$A$36&gt;35,N114+M115-V114,IF(A115&lt;'Données projet'!$A$36,$K$205^A115,IF(A115='Données projet'!$A$36,'Données projet'!$B$36,N114+M115-V114)))</f>
        <v>275.50000000000023</v>
      </c>
      <c r="O115" s="14">
        <f>N115*VLOOKUP('Données projet'!$B$9,Paramètres!$A$1:$I$89,3,0)*VLOOKUP('Données projet'!$B$9,Paramètres!$A$1:$I$89,5,0)</f>
        <v>240.67680000000024</v>
      </c>
      <c r="P115" s="14">
        <f t="shared" si="87"/>
        <v>58.585123425001079</v>
      </c>
      <c r="Q115" s="22">
        <f t="shared" si="107"/>
        <v>521.21451663187725</v>
      </c>
      <c r="R115" s="62">
        <f t="shared" si="55"/>
        <v>801.63582804744806</v>
      </c>
      <c r="S115" s="62">
        <f ca="1">AVERAGE(OFFSET($R$3,0,0,'Données projet'!$E$9+1,1))-AVERAGE(OFFSET($H$3,0,0,'Données projet'!$E$9+1,1))</f>
        <v>401.34220206028908</v>
      </c>
      <c r="T115" s="62">
        <f t="shared" si="88"/>
        <v>265.33314259106987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56.119668625310702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56.119668625310702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1.7053025658242404E-13</v>
      </c>
      <c r="AJ115" s="14">
        <f>AI115*VLOOKUP('Données projet'!$B$10,Paramètres!$A$1:$I$89,3,0)*VLOOKUP('Données projet'!$B$10,Paramètres!$A$1:$I$89,5,0)</f>
        <v>7.9808160080574461E-14</v>
      </c>
      <c r="AK115" s="14">
        <f t="shared" si="89"/>
        <v>1.2308384591775343E-12</v>
      </c>
      <c r="AL115" s="22">
        <f t="shared" si="58"/>
        <v>2.282709528541206E-12</v>
      </c>
      <c r="AM115" s="62">
        <f t="shared" si="59"/>
        <v>280.42131141557314</v>
      </c>
      <c r="AN115" s="62">
        <f ca="1">AVERAGE(OFFSET($AM$3,0,0,'Données projet'!$E$10+1,1))-AVERAGE(OFFSET($H$3,0,0,'Données projet'!$E$10+1,1))</f>
        <v>253.48761861464732</v>
      </c>
      <c r="AO115" s="62">
        <f t="shared" si="90"/>
        <v>219.50855998133855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99.836045945740182</v>
      </c>
      <c r="AV115" s="23">
        <f>EXP(-LN(2)/25)*AV114+(1-EXP(-LN(2)/25))/(LN(2)/25)*Calculateur!AQ115*Calculateur!AS115*VLOOKUP('Données projet'!$B$10,Paramètres!$A$1:$I$89,3,0)*0.475*44/12</f>
        <v>20.793689320464619</v>
      </c>
      <c r="AW115" s="23">
        <f>EXP(-LN(2)/2)*AW114+(1-EXP(-LN(2)/2))/(LN(2)/2)*AQ115*AT115*VLOOKUP('Données projet'!$B$10,Paramètres!$A$1:$I$89,3,0)*0.475*44/12</f>
        <v>0.3725092810414824</v>
      </c>
      <c r="AX115" s="23">
        <f t="shared" si="60"/>
        <v>121.00224454724629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>
        <f>BD115*VLOOKUP('Données projet'!$B$11,Paramètres!$A$1:$I$89,3,0)*VLOOKUP('Données projet'!$B$11,Paramètres!$A$1:$I$89,5,0)</f>
        <v>0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482.85256243111911</v>
      </c>
      <c r="BJ115" s="62">
        <f t="shared" si="92"/>
        <v>517.78430032567064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42.251485468237874</v>
      </c>
      <c r="BQ115" s="23">
        <f>EXP(-LN(2)/25)*BQ114+(1-EXP(-LN(2)/25))/(LN(2)/25)*Calculateur!BL115*Calculateur!BN115*VLOOKUP('Données projet'!$B$11,Paramètres!$A$1:$I$89,3,0)*0.475*44/12</f>
        <v>7.1233172133218012</v>
      </c>
      <c r="BR115" s="23">
        <f>EXP(-LN(2)/2)*BR114+(1-EXP(-LN(2)/2))/(LN(2)/2)*BL115*BO115*VLOOKUP('Données projet'!$B$11,Paramètres!$A$1:$I$89,3,0)*0.475*44/12</f>
        <v>8.6808007057394075E-7</v>
      </c>
      <c r="BS115" s="24">
        <f t="shared" si="63"/>
        <v>49.374803549639743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>
        <f>BY115*VLOOKUP('Données projet'!$B$12,Paramètres!$A$1:$I$89,3,0)*VLOOKUP('Données projet'!$B$12,Paramètres!$A$1:$I$89,5,0)</f>
        <v>0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275.76900776033335</v>
      </c>
      <c r="CE115" s="62">
        <f t="shared" si="94"/>
        <v>299.36898480605191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40.491006907061312</v>
      </c>
      <c r="CL115" s="23">
        <f>EXP(-LN(2)/25)*CL114+(1-EXP(-LN(2)/25))/(LN(2)/25)*Calculateur!CG115*Calculateur!CI115*VLOOKUP('Données projet'!$B$12,Paramètres!$A$1:$I$89,3,0)*0.475*44/12</f>
        <v>6.8265123294333971</v>
      </c>
      <c r="CM115" s="23">
        <f>EXP(-LN(2)/2)*CM114+(1-EXP(-LN(2)/2))/(LN(2)/2)*CG115*CJ115*VLOOKUP('Données projet'!$B$12,Paramètres!$A$1:$I$89,3,0)*0.475*44/12</f>
        <v>8.3191006763335917E-7</v>
      </c>
      <c r="CN115" s="24">
        <f t="shared" si="66"/>
        <v>47.317520068404775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6.7</v>
      </c>
      <c r="CT115" s="13">
        <f>IF('Données projet'!$A$140&gt;35,CT114+CS115-DB114,IF(A115&lt;'Données projet'!$A$140,$CQ$205^A115,IF(A115='Données projet'!$A$140,'Données projet'!$B$140,CT114+CS115-DB114)))</f>
        <v>275.50000000000023</v>
      </c>
      <c r="CU115" s="18">
        <f>CT115*VLOOKUP('Données projet'!$B$13,Paramètres!$A$1:$I$89,3,0)*VLOOKUP('Données projet'!$B$13,Paramètres!$A$1:$I$89,5,0)</f>
        <v>300.84600000000023</v>
      </c>
      <c r="CV115" s="14">
        <f t="shared" si="95"/>
        <v>71.353788493344268</v>
      </c>
      <c r="CW115" s="22">
        <f t="shared" si="67"/>
        <v>648.2479649592417</v>
      </c>
      <c r="CX115" s="62">
        <f t="shared" si="68"/>
        <v>928.66927637481263</v>
      </c>
      <c r="CY115" s="62">
        <f ca="1">AVERAGE(OFFSET($CX$3,0,0,'Données projet'!$E$13+1,1))-AVERAGE(OFFSET($H$3,0,0,'Données projet'!$E$13+1,1))</f>
        <v>482.24068797679558</v>
      </c>
      <c r="CZ115" s="62">
        <f t="shared" si="96"/>
        <v>316.28941055521693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70.149585781638379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70.149585781638379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-1.7053025658242404E-13</v>
      </c>
      <c r="DP115" s="18">
        <f>DO115*VLOOKUP('Données projet'!$B$14,Paramètres!$A$1:$I$89,3,0)*VLOOKUP('Données projet'!$B$14,Paramètres!$A$1:$I$89,5,0)</f>
        <v>-1.383341441396624E-13</v>
      </c>
      <c r="DQ115" s="14" t="e">
        <f t="shared" si="97"/>
        <v>#NUM!</v>
      </c>
      <c r="DR115" s="22" t="e">
        <f t="shared" si="70"/>
        <v>#NUM!</v>
      </c>
      <c r="DS115" s="62" t="e">
        <f t="shared" si="71"/>
        <v>#NUM!</v>
      </c>
      <c r="DT115" s="62">
        <f ca="1">AVERAGE(OFFSET($DS$3,0,0,'Données projet'!$E$14+1,1))-AVERAGE(OFFSET($H$3,0,0,'Données projet'!$E$14+1,1))</f>
        <v>325.58538970226539</v>
      </c>
      <c r="DU115" s="62">
        <f t="shared" si="98"/>
        <v>361.81085660423457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50.578632142638185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50.578632142638185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5.3599999999999968</v>
      </c>
      <c r="EJ115" s="13">
        <f>IF('Données projet'!$A$192&gt;35,EJ114+EI115-ER114,IF(A115&lt;'Données projet'!$A$192,$EG$205^A115,IF(A115='Données projet'!$A$192,'Données projet'!$B$192,EJ114+EI115-ER114)))</f>
        <v>220.39999999999975</v>
      </c>
      <c r="EK115" s="18">
        <f>EJ115*VLOOKUP('Données projet'!$B$15,Paramètres!$A$1:$I$89,3,0)*VLOOKUP('Données projet'!$B$15,Paramètres!$A$1:$I$89,5,0)</f>
        <v>213.17087999999978</v>
      </c>
      <c r="EL115" s="14">
        <f t="shared" si="99"/>
        <v>52.627897224631546</v>
      </c>
      <c r="EM115" s="22">
        <f t="shared" si="73"/>
        <v>462.93287033289954</v>
      </c>
      <c r="EN115" s="62">
        <f t="shared" si="74"/>
        <v>743.35418174847041</v>
      </c>
      <c r="EO115" s="62">
        <f ca="1">AVERAGE(OFFSET($EN$3,0,0,'Données projet'!$E$15+1,1))-AVERAGE(OFFSET($H$3,0,0,'Données projet'!$E$15+1,1))</f>
        <v>364.22267539944085</v>
      </c>
      <c r="EP115" s="62">
        <f t="shared" si="100"/>
        <v>241.947139538615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49.705992210989507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49.705992210989507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-1.7053025658242404E-13</v>
      </c>
      <c r="FF115" s="18">
        <f>FE115*VLOOKUP('Données projet'!$B$16,Paramètres!$A$1:$I$89,3,0)*VLOOKUP('Données projet'!$B$16,Paramètres!$A$1:$I$89,5,0)</f>
        <v>-1.4897523215040567E-13</v>
      </c>
      <c r="FG115" s="14" t="e">
        <f t="shared" si="101"/>
        <v>#NUM!</v>
      </c>
      <c r="FH115" s="22" t="e">
        <f t="shared" si="76"/>
        <v>#NUM!</v>
      </c>
      <c r="FI115" s="62" t="e">
        <f t="shared" si="77"/>
        <v>#NUM!</v>
      </c>
      <c r="FJ115" s="62">
        <f ca="1">AVERAGE(OFFSET($FI$3,0,0,'Données projet'!$E$16+1,1))-AVERAGE(OFFSET($H$3,0,0,'Données projet'!$E$16+1,1))</f>
        <v>286.59837239471312</v>
      </c>
      <c r="FK115" s="62">
        <f t="shared" si="102"/>
        <v>319.26091328564689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43.900266672803539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43.900266672803539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-1.7053025658242404E-13</v>
      </c>
      <c r="GA115" s="18">
        <f>FZ115*VLOOKUP('Données projet'!$B$17,Paramètres!$A$1:$I$89,3,0)*VLOOKUP('Données projet'!$B$17,Paramètres!$A$1:$I$89,5,0)</f>
        <v>-1.1439169611549005E-13</v>
      </c>
      <c r="GB115" s="14" t="e">
        <f t="shared" si="103"/>
        <v>#NUM!</v>
      </c>
      <c r="GC115" s="22" t="e">
        <f t="shared" si="79"/>
        <v>#NUM!</v>
      </c>
      <c r="GD115" s="62" t="e">
        <f t="shared" si="80"/>
        <v>#NUM!</v>
      </c>
      <c r="GE115" s="62">
        <f ca="1">AVERAGE(OFFSET($GD$3,0,0,'Données projet'!$E$17+1,1))-AVERAGE(OFFSET($H$3,0,0,'Données projet'!$E$17+1,1))</f>
        <v>277.37570531842186</v>
      </c>
      <c r="GF115" s="62">
        <f t="shared" si="104"/>
        <v>310.00874200911312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projet'!$B$17,Paramètres!$A$1:$I$89,3,0)*0.475*44/12</f>
        <v>51.551298145381253</v>
      </c>
      <c r="GM115" s="23">
        <f>EXP(-LN(2)/25)*GM114+(1-EXP(-LN(2)/25))/(LN(2)/25)*Calculateur!GH115*Calculateur!GJ115*VLOOKUP('Données projet'!$B$17,Paramètres!$A$1:$I$89,3,0)*0.475*44/12</f>
        <v>0</v>
      </c>
      <c r="GN115" s="23">
        <f>EXP(-LN(2)/2)*GN114+(1-EXP(-LN(2)/2))/(LN(2)/2)*GH115*GK115*VLOOKUP('Données projet'!$B$17,Paramètres!$A$1:$I$89,3,0)*0.475*44/12</f>
        <v>0</v>
      </c>
      <c r="GO115" s="23">
        <f t="shared" si="81"/>
        <v>51.551298145381253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6.7</v>
      </c>
      <c r="N116" s="14">
        <f>IF('Données projet'!$A$36&gt;35,N115+M116-V115,IF(A116&lt;'Données projet'!$A$36,$K$205^A116,IF(A116='Données projet'!$A$36,'Données projet'!$B$36,N115+M116-V115)))</f>
        <v>282.20000000000022</v>
      </c>
      <c r="O116" s="14">
        <f>N116*VLOOKUP('Données projet'!$B$9,Paramètres!$A$1:$I$89,3,0)*VLOOKUP('Données projet'!$B$9,Paramètres!$A$1:$I$89,5,0)</f>
        <v>246.5299200000002</v>
      </c>
      <c r="P116" s="14">
        <f t="shared" si="87"/>
        <v>59.842272049764382</v>
      </c>
      <c r="Q116" s="22">
        <f t="shared" si="107"/>
        <v>533.59823448667328</v>
      </c>
      <c r="R116" s="62">
        <f t="shared" si="55"/>
        <v>814.24354061556096</v>
      </c>
      <c r="S116" s="62">
        <f ca="1">AVERAGE(OFFSET($R$3,0,0,'Données projet'!$E$9+1,1))-AVERAGE(OFFSET($H$3,0,0,'Données projet'!$E$9+1,1))</f>
        <v>401.34220206028908</v>
      </c>
      <c r="T116" s="62">
        <f t="shared" si="88"/>
        <v>265.33314259106987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55.019196153186329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55.019196153186329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1.7053025658242404E-13</v>
      </c>
      <c r="AJ116" s="14">
        <f>AI116*VLOOKUP('Données projet'!$B$10,Paramètres!$A$1:$I$89,3,0)*VLOOKUP('Données projet'!$B$10,Paramètres!$A$1:$I$89,5,0)</f>
        <v>7.9808160080574461E-14</v>
      </c>
      <c r="AK116" s="14">
        <f t="shared" si="89"/>
        <v>1.2308384591775343E-12</v>
      </c>
      <c r="AL116" s="22">
        <f t="shared" si="58"/>
        <v>2.282709528541206E-12</v>
      </c>
      <c r="AM116" s="62">
        <f t="shared" si="59"/>
        <v>280.6453061288899</v>
      </c>
      <c r="AN116" s="62">
        <f ca="1">AVERAGE(OFFSET($AM$3,0,0,'Données projet'!$E$10+1,1))-AVERAGE(OFFSET($H$3,0,0,'Données projet'!$E$10+1,1))</f>
        <v>253.48761861464732</v>
      </c>
      <c r="AO116" s="62">
        <f t="shared" si="90"/>
        <v>219.50855998133855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97.87832197871947</v>
      </c>
      <c r="AV116" s="23">
        <f>EXP(-LN(2)/25)*AV115+(1-EXP(-LN(2)/25))/(LN(2)/25)*Calculateur!AQ116*Calculateur!AS116*VLOOKUP('Données projet'!$B$10,Paramètres!$A$1:$I$89,3,0)*0.475*44/12</f>
        <v>20.225084792503917</v>
      </c>
      <c r="AW116" s="23">
        <f>EXP(-LN(2)/2)*AW115+(1-EXP(-LN(2)/2))/(LN(2)/2)*AQ116*AT116*VLOOKUP('Données projet'!$B$10,Paramètres!$A$1:$I$89,3,0)*0.475*44/12</f>
        <v>0.26340383867935763</v>
      </c>
      <c r="AX116" s="23">
        <f t="shared" si="60"/>
        <v>118.36681060990274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>
        <f>BD116*VLOOKUP('Données projet'!$B$11,Paramètres!$A$1:$I$89,3,0)*VLOOKUP('Données projet'!$B$11,Paramètres!$A$1:$I$89,5,0)</f>
        <v>0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482.85256243111911</v>
      </c>
      <c r="BJ116" s="62">
        <f t="shared" si="92"/>
        <v>517.78430032567064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41.422959609067206</v>
      </c>
      <c r="BQ116" s="23">
        <f>EXP(-LN(2)/25)*BQ115+(1-EXP(-LN(2)/25))/(LN(2)/25)*Calculateur!BL116*Calculateur!BN116*VLOOKUP('Données projet'!$B$11,Paramètres!$A$1:$I$89,3,0)*0.475*44/12</f>
        <v>6.9285297295245449</v>
      </c>
      <c r="BR116" s="23">
        <f>EXP(-LN(2)/2)*BR115+(1-EXP(-LN(2)/2))/(LN(2)/2)*BL116*BO116*VLOOKUP('Données projet'!$B$11,Paramètres!$A$1:$I$89,3,0)*0.475*44/12</f>
        <v>6.1382530451573025E-7</v>
      </c>
      <c r="BS116" s="24">
        <f t="shared" si="63"/>
        <v>48.351489952417054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>
        <f>BY116*VLOOKUP('Données projet'!$B$12,Paramètres!$A$1:$I$89,3,0)*VLOOKUP('Données projet'!$B$12,Paramètres!$A$1:$I$89,5,0)</f>
        <v>0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275.76900776033335</v>
      </c>
      <c r="CE116" s="62">
        <f t="shared" si="94"/>
        <v>299.36898480605191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39.697002958689417</v>
      </c>
      <c r="CL116" s="23">
        <f>EXP(-LN(2)/25)*CL115+(1-EXP(-LN(2)/25))/(LN(2)/25)*Calculateur!CG116*Calculateur!CI116*VLOOKUP('Données projet'!$B$12,Paramètres!$A$1:$I$89,3,0)*0.475*44/12</f>
        <v>6.6398409907943599</v>
      </c>
      <c r="CM116" s="23">
        <f>EXP(-LN(2)/2)*CM115+(1-EXP(-LN(2)/2))/(LN(2)/2)*CG116*CJ116*VLOOKUP('Données projet'!$B$12,Paramètres!$A$1:$I$89,3,0)*0.475*44/12</f>
        <v>5.8824925016090764E-7</v>
      </c>
      <c r="CN116" s="24">
        <f t="shared" si="66"/>
        <v>46.336844537733029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6.7</v>
      </c>
      <c r="CT116" s="13">
        <f>IF('Données projet'!$A$140&gt;35,CT115+CS116-DB115,IF(A116&lt;'Données projet'!$A$140,$CQ$205^A116,IF(A116='Données projet'!$A$140,'Données projet'!$B$140,CT115+CS116-DB115)))</f>
        <v>282.20000000000022</v>
      </c>
      <c r="CU116" s="18">
        <f>CT116*VLOOKUP('Données projet'!$B$13,Paramètres!$A$1:$I$89,3,0)*VLOOKUP('Données projet'!$B$13,Paramètres!$A$1:$I$89,5,0)</f>
        <v>308.16240000000022</v>
      </c>
      <c r="CV116" s="14">
        <f t="shared" si="95"/>
        <v>72.884933463805822</v>
      </c>
      <c r="CW116" s="22">
        <f t="shared" si="67"/>
        <v>663.65743911612878</v>
      </c>
      <c r="CX116" s="62">
        <f t="shared" si="68"/>
        <v>944.30274524501647</v>
      </c>
      <c r="CY116" s="62">
        <f ca="1">AVERAGE(OFFSET($CX$3,0,0,'Données projet'!$E$13+1,1))-AVERAGE(OFFSET($H$3,0,0,'Données projet'!$E$13+1,1))</f>
        <v>482.24068797679558</v>
      </c>
      <c r="CZ116" s="62">
        <f t="shared" si="96"/>
        <v>316.28941055521693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68.773995191482911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68.773995191482911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-1.7053025658242404E-13</v>
      </c>
      <c r="DP116" s="18">
        <f>DO116*VLOOKUP('Données projet'!$B$14,Paramètres!$A$1:$I$89,3,0)*VLOOKUP('Données projet'!$B$14,Paramètres!$A$1:$I$89,5,0)</f>
        <v>-1.383341441396624E-13</v>
      </c>
      <c r="DQ116" s="14" t="e">
        <f t="shared" si="97"/>
        <v>#NUM!</v>
      </c>
      <c r="DR116" s="22" t="e">
        <f t="shared" si="70"/>
        <v>#NUM!</v>
      </c>
      <c r="DS116" s="62" t="e">
        <f t="shared" si="71"/>
        <v>#NUM!</v>
      </c>
      <c r="DT116" s="62">
        <f ca="1">AVERAGE(OFFSET($DS$3,0,0,'Données projet'!$E$14+1,1))-AVERAGE(OFFSET($H$3,0,0,'Données projet'!$E$14+1,1))</f>
        <v>325.58538970226539</v>
      </c>
      <c r="DU116" s="62">
        <f t="shared" si="98"/>
        <v>361.81085660423457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49.586816016240483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49.586816016240483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5.3599999999999968</v>
      </c>
      <c r="EJ116" s="13">
        <f>IF('Données projet'!$A$192&gt;35,EJ115+EI116-ER115,IF(A116&lt;'Données projet'!$A$192,$EG$205^A116,IF(A116='Données projet'!$A$192,'Données projet'!$B$192,EJ115+EI116-ER115)))</f>
        <v>225.75999999999974</v>
      </c>
      <c r="EK116" s="18">
        <f>EJ116*VLOOKUP('Données projet'!$B$15,Paramètres!$A$1:$I$89,3,0)*VLOOKUP('Données projet'!$B$15,Paramètres!$A$1:$I$89,5,0)</f>
        <v>218.35507199999975</v>
      </c>
      <c r="EL116" s="14">
        <f t="shared" si="99"/>
        <v>53.757212736014353</v>
      </c>
      <c r="EM116" s="22">
        <f t="shared" si="73"/>
        <v>473.92889591522453</v>
      </c>
      <c r="EN116" s="62">
        <f t="shared" si="74"/>
        <v>754.5742020441121</v>
      </c>
      <c r="EO116" s="62">
        <f ca="1">AVERAGE(OFFSET($EN$3,0,0,'Données projet'!$E$15+1,1))-AVERAGE(OFFSET($H$3,0,0,'Données projet'!$E$15+1,1))</f>
        <v>364.22267539944085</v>
      </c>
      <c r="EP116" s="62">
        <f t="shared" si="100"/>
        <v>241.947139538615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48.731288021393631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48.731288021393631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-1.7053025658242404E-13</v>
      </c>
      <c r="FF116" s="18">
        <f>FE116*VLOOKUP('Données projet'!$B$16,Paramètres!$A$1:$I$89,3,0)*VLOOKUP('Données projet'!$B$16,Paramètres!$A$1:$I$89,5,0)</f>
        <v>-1.4897523215040567E-13</v>
      </c>
      <c r="FG116" s="14" t="e">
        <f t="shared" si="101"/>
        <v>#NUM!</v>
      </c>
      <c r="FH116" s="22" t="e">
        <f t="shared" si="76"/>
        <v>#NUM!</v>
      </c>
      <c r="FI116" s="62" t="e">
        <f t="shared" si="77"/>
        <v>#NUM!</v>
      </c>
      <c r="FJ116" s="62">
        <f ca="1">AVERAGE(OFFSET($FI$3,0,0,'Données projet'!$E$16+1,1))-AVERAGE(OFFSET($H$3,0,0,'Données projet'!$E$16+1,1))</f>
        <v>286.59837239471312</v>
      </c>
      <c r="FK116" s="62">
        <f t="shared" si="102"/>
        <v>319.26091328564689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43.039409219868574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43.039409219868574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-1.7053025658242404E-13</v>
      </c>
      <c r="GA116" s="18">
        <f>FZ116*VLOOKUP('Données projet'!$B$17,Paramètres!$A$1:$I$89,3,0)*VLOOKUP('Données projet'!$B$17,Paramètres!$A$1:$I$89,5,0)</f>
        <v>-1.1439169611549005E-13</v>
      </c>
      <c r="GB116" s="14" t="e">
        <f t="shared" si="103"/>
        <v>#NUM!</v>
      </c>
      <c r="GC116" s="22" t="e">
        <f t="shared" si="79"/>
        <v>#NUM!</v>
      </c>
      <c r="GD116" s="62" t="e">
        <f t="shared" si="80"/>
        <v>#NUM!</v>
      </c>
      <c r="GE116" s="62">
        <f ca="1">AVERAGE(OFFSET($GD$3,0,0,'Données projet'!$E$17+1,1))-AVERAGE(OFFSET($H$3,0,0,'Données projet'!$E$17+1,1))</f>
        <v>277.37570531842186</v>
      </c>
      <c r="GF116" s="62">
        <f t="shared" si="104"/>
        <v>310.00874200911312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projet'!$B$17,Paramètres!$A$1:$I$89,3,0)*0.475*44/12</f>
        <v>50.540408631937439</v>
      </c>
      <c r="GM116" s="23">
        <f>EXP(-LN(2)/25)*GM115+(1-EXP(-LN(2)/25))/(LN(2)/25)*Calculateur!GH116*Calculateur!GJ116*VLOOKUP('Données projet'!$B$17,Paramètres!$A$1:$I$89,3,0)*0.475*44/12</f>
        <v>0</v>
      </c>
      <c r="GN116" s="23">
        <f>EXP(-LN(2)/2)*GN115+(1-EXP(-LN(2)/2))/(LN(2)/2)*GH116*GK116*VLOOKUP('Données projet'!$B$17,Paramètres!$A$1:$I$89,3,0)*0.475*44/12</f>
        <v>0</v>
      </c>
      <c r="GO116" s="23">
        <f t="shared" si="81"/>
        <v>50.540408631937439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6.7</v>
      </c>
      <c r="N117" s="14">
        <f>IF('Données projet'!$A$36&gt;35,N116+M117-V116,IF(A117&lt;'Données projet'!$A$36,$K$205^A117,IF(A117='Données projet'!$A$36,'Données projet'!$B$36,N116+M117-V116)))</f>
        <v>288.9000000000002</v>
      </c>
      <c r="O117" s="14">
        <f>N117*VLOOKUP('Données projet'!$B$9,Paramètres!$A$1:$I$89,3,0)*VLOOKUP('Données projet'!$B$9,Paramètres!$A$1:$I$89,5,0)</f>
        <v>252.38304000000022</v>
      </c>
      <c r="P117" s="14">
        <f t="shared" si="87"/>
        <v>61.095950905562695</v>
      </c>
      <c r="Q117" s="22">
        <f t="shared" si="107"/>
        <v>545.97590916052206</v>
      </c>
      <c r="R117" s="62">
        <f t="shared" si="55"/>
        <v>826.84132419522757</v>
      </c>
      <c r="S117" s="62">
        <f ca="1">AVERAGE(OFFSET($R$3,0,0,'Données projet'!$E$9+1,1))-AVERAGE(OFFSET($H$3,0,0,'Données projet'!$E$9+1,1))</f>
        <v>401.34220206028908</v>
      </c>
      <c r="T117" s="62">
        <f t="shared" si="88"/>
        <v>265.33314259106987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53.94030327501838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53.94030327501838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1.7053025658242404E-13</v>
      </c>
      <c r="AJ117" s="14">
        <f>AI117*VLOOKUP('Données projet'!$B$10,Paramètres!$A$1:$I$89,3,0)*VLOOKUP('Données projet'!$B$10,Paramètres!$A$1:$I$89,5,0)</f>
        <v>7.9808160080574461E-14</v>
      </c>
      <c r="AK117" s="14">
        <f t="shared" si="89"/>
        <v>1.2308384591775343E-12</v>
      </c>
      <c r="AL117" s="22">
        <f t="shared" si="58"/>
        <v>2.282709528541206E-12</v>
      </c>
      <c r="AM117" s="62">
        <f t="shared" si="59"/>
        <v>280.86541503470772</v>
      </c>
      <c r="AN117" s="62">
        <f ca="1">AVERAGE(OFFSET($AM$3,0,0,'Données projet'!$E$10+1,1))-AVERAGE(OFFSET($H$3,0,0,'Données projet'!$E$10+1,1))</f>
        <v>253.48761861464732</v>
      </c>
      <c r="AO117" s="62">
        <f t="shared" si="90"/>
        <v>219.50855998133855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95.958987784598321</v>
      </c>
      <c r="AV117" s="23">
        <f>EXP(-LN(2)/25)*AV116+(1-EXP(-LN(2)/25))/(LN(2)/25)*Calculateur!AQ117*Calculateur!AS117*VLOOKUP('Données projet'!$B$10,Paramètres!$A$1:$I$89,3,0)*0.475*44/12</f>
        <v>19.672028785261915</v>
      </c>
      <c r="AW117" s="23">
        <f>EXP(-LN(2)/2)*AW116+(1-EXP(-LN(2)/2))/(LN(2)/2)*AQ117*AT117*VLOOKUP('Données projet'!$B$10,Paramètres!$A$1:$I$89,3,0)*0.475*44/12</f>
        <v>0.1862546405207412</v>
      </c>
      <c r="AX117" s="23">
        <f t="shared" si="60"/>
        <v>115.81727121038098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>
        <f>BD117*VLOOKUP('Données projet'!$B$11,Paramètres!$A$1:$I$89,3,0)*VLOOKUP('Données projet'!$B$11,Paramètres!$A$1:$I$89,5,0)</f>
        <v>0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482.85256243111911</v>
      </c>
      <c r="BJ117" s="62">
        <f t="shared" si="92"/>
        <v>517.78430032567064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40.610680636643998</v>
      </c>
      <c r="BQ117" s="23">
        <f>EXP(-LN(2)/25)*BQ116+(1-EXP(-LN(2)/25))/(LN(2)/25)*Calculateur!BL117*Calculateur!BN117*VLOOKUP('Données projet'!$B$11,Paramètres!$A$1:$I$89,3,0)*0.475*44/12</f>
        <v>6.7390687197151529</v>
      </c>
      <c r="BR117" s="23">
        <f>EXP(-LN(2)/2)*BR116+(1-EXP(-LN(2)/2))/(LN(2)/2)*BL117*BO117*VLOOKUP('Données projet'!$B$11,Paramètres!$A$1:$I$89,3,0)*0.475*44/12</f>
        <v>4.3404003528697038E-7</v>
      </c>
      <c r="BS117" s="24">
        <f t="shared" si="63"/>
        <v>47.349749790399187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>
        <f>BY117*VLOOKUP('Données projet'!$B$12,Paramètres!$A$1:$I$89,3,0)*VLOOKUP('Données projet'!$B$12,Paramètres!$A$1:$I$89,5,0)</f>
        <v>0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275.76900776033335</v>
      </c>
      <c r="CE117" s="62">
        <f t="shared" si="94"/>
        <v>299.36898480605191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38.918568943450509</v>
      </c>
      <c r="CL117" s="23">
        <f>EXP(-LN(2)/25)*CL116+(1-EXP(-LN(2)/25))/(LN(2)/25)*Calculateur!CG117*Calculateur!CI117*VLOOKUP('Données projet'!$B$12,Paramètres!$A$1:$I$89,3,0)*0.475*44/12</f>
        <v>6.4582741897270264</v>
      </c>
      <c r="CM117" s="23">
        <f>EXP(-LN(2)/2)*CM116+(1-EXP(-LN(2)/2))/(LN(2)/2)*CG117*CJ117*VLOOKUP('Données projet'!$B$12,Paramètres!$A$1:$I$89,3,0)*0.475*44/12</f>
        <v>4.1595503381667958E-7</v>
      </c>
      <c r="CN117" s="24">
        <f t="shared" si="66"/>
        <v>45.376843549132573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6.7</v>
      </c>
      <c r="CT117" s="13">
        <f>IF('Données projet'!$A$140&gt;35,CT116+CS117-DB116,IF(A117&lt;'Données projet'!$A$140,$CQ$205^A117,IF(A117='Données projet'!$A$140,'Données projet'!$B$140,CT116+CS117-DB116)))</f>
        <v>288.9000000000002</v>
      </c>
      <c r="CU117" s="18">
        <f>CT117*VLOOKUP('Données projet'!$B$13,Paramètres!$A$1:$I$89,3,0)*VLOOKUP('Données projet'!$B$13,Paramètres!$A$1:$I$89,5,0)</f>
        <v>315.47880000000021</v>
      </c>
      <c r="CV117" s="14">
        <f t="shared" si="95"/>
        <v>74.411852426940271</v>
      </c>
      <c r="CW117" s="22">
        <f t="shared" si="67"/>
        <v>679.05955297692128</v>
      </c>
      <c r="CX117" s="62">
        <f t="shared" si="68"/>
        <v>959.92496801162679</v>
      </c>
      <c r="CY117" s="62">
        <f ca="1">AVERAGE(OFFSET($CX$3,0,0,'Données projet'!$E$13+1,1))-AVERAGE(OFFSET($H$3,0,0,'Données projet'!$E$13+1,1))</f>
        <v>482.24068797679558</v>
      </c>
      <c r="CZ117" s="62">
        <f t="shared" si="96"/>
        <v>316.28941055521693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67.425379093772975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67.425379093772975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-1.7053025658242404E-13</v>
      </c>
      <c r="DP117" s="18">
        <f>DO117*VLOOKUP('Données projet'!$B$14,Paramètres!$A$1:$I$89,3,0)*VLOOKUP('Données projet'!$B$14,Paramètres!$A$1:$I$89,5,0)</f>
        <v>-1.383341441396624E-13</v>
      </c>
      <c r="DQ117" s="14" t="e">
        <f t="shared" si="97"/>
        <v>#NUM!</v>
      </c>
      <c r="DR117" s="22" t="e">
        <f t="shared" si="70"/>
        <v>#NUM!</v>
      </c>
      <c r="DS117" s="62" t="e">
        <f t="shared" si="71"/>
        <v>#NUM!</v>
      </c>
      <c r="DT117" s="62">
        <f ca="1">AVERAGE(OFFSET($DS$3,0,0,'Données projet'!$E$14+1,1))-AVERAGE(OFFSET($H$3,0,0,'Données projet'!$E$14+1,1))</f>
        <v>325.58538970226539</v>
      </c>
      <c r="DU117" s="62">
        <f t="shared" si="98"/>
        <v>361.81085660423457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48.614448799133335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48.614448799133335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5.3599999999999968</v>
      </c>
      <c r="EJ117" s="13">
        <f>IF('Données projet'!$A$192&gt;35,EJ116+EI117-ER116,IF(A117&lt;'Données projet'!$A$192,$EG$205^A117,IF(A117='Données projet'!$A$192,'Données projet'!$B$192,EJ116+EI117-ER116)))</f>
        <v>231.11999999999972</v>
      </c>
      <c r="EK117" s="18">
        <f>EJ117*VLOOKUP('Données projet'!$B$15,Paramètres!$A$1:$I$89,3,0)*VLOOKUP('Données projet'!$B$15,Paramètres!$A$1:$I$89,5,0)</f>
        <v>223.53926399999975</v>
      </c>
      <c r="EL117" s="14">
        <f t="shared" si="99"/>
        <v>54.883411301766472</v>
      </c>
      <c r="EM117" s="22">
        <f t="shared" si="73"/>
        <v>484.91949281724283</v>
      </c>
      <c r="EN117" s="62">
        <f t="shared" si="74"/>
        <v>765.78490785194822</v>
      </c>
      <c r="EO117" s="62">
        <f ca="1">AVERAGE(OFFSET($EN$3,0,0,'Données projet'!$E$15+1,1))-AVERAGE(OFFSET($H$3,0,0,'Données projet'!$E$15+1,1))</f>
        <v>364.22267539944085</v>
      </c>
      <c r="EP117" s="62">
        <f t="shared" si="100"/>
        <v>241.947139538615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47.77569718644488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47.77569718644488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-1.7053025658242404E-13</v>
      </c>
      <c r="FF117" s="18">
        <f>FE117*VLOOKUP('Données projet'!$B$16,Paramètres!$A$1:$I$89,3,0)*VLOOKUP('Données projet'!$B$16,Paramètres!$A$1:$I$89,5,0)</f>
        <v>-1.4897523215040567E-13</v>
      </c>
      <c r="FG117" s="14" t="e">
        <f t="shared" si="101"/>
        <v>#NUM!</v>
      </c>
      <c r="FH117" s="22" t="e">
        <f t="shared" si="76"/>
        <v>#NUM!</v>
      </c>
      <c r="FI117" s="62" t="e">
        <f t="shared" si="77"/>
        <v>#NUM!</v>
      </c>
      <c r="FJ117" s="62">
        <f ca="1">AVERAGE(OFFSET($FI$3,0,0,'Données projet'!$E$16+1,1))-AVERAGE(OFFSET($H$3,0,0,'Données projet'!$E$16+1,1))</f>
        <v>286.59837239471312</v>
      </c>
      <c r="FK117" s="62">
        <f t="shared" si="102"/>
        <v>319.26091328564689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42.195432656514463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42.195432656514463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-1.7053025658242404E-13</v>
      </c>
      <c r="GA117" s="18">
        <f>FZ117*VLOOKUP('Données projet'!$B$17,Paramètres!$A$1:$I$89,3,0)*VLOOKUP('Données projet'!$B$17,Paramètres!$A$1:$I$89,5,0)</f>
        <v>-1.1439169611549005E-13</v>
      </c>
      <c r="GB117" s="14" t="e">
        <f t="shared" si="103"/>
        <v>#NUM!</v>
      </c>
      <c r="GC117" s="22" t="e">
        <f t="shared" si="79"/>
        <v>#NUM!</v>
      </c>
      <c r="GD117" s="62" t="e">
        <f t="shared" si="80"/>
        <v>#NUM!</v>
      </c>
      <c r="GE117" s="62">
        <f ca="1">AVERAGE(OFFSET($GD$3,0,0,'Données projet'!$E$17+1,1))-AVERAGE(OFFSET($H$3,0,0,'Données projet'!$E$17+1,1))</f>
        <v>277.37570531842186</v>
      </c>
      <c r="GF117" s="62">
        <f t="shared" si="104"/>
        <v>310.00874200911312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projet'!$B$17,Paramètres!$A$1:$I$89,3,0)*0.475*44/12</f>
        <v>49.549342045270535</v>
      </c>
      <c r="GM117" s="23">
        <f>EXP(-LN(2)/25)*GM116+(1-EXP(-LN(2)/25))/(LN(2)/25)*Calculateur!GH117*Calculateur!GJ117*VLOOKUP('Données projet'!$B$17,Paramètres!$A$1:$I$89,3,0)*0.475*44/12</f>
        <v>0</v>
      </c>
      <c r="GN117" s="23">
        <f>EXP(-LN(2)/2)*GN116+(1-EXP(-LN(2)/2))/(LN(2)/2)*GH117*GK117*VLOOKUP('Données projet'!$B$17,Paramètres!$A$1:$I$89,3,0)*0.475*44/12</f>
        <v>0</v>
      </c>
      <c r="GO117" s="23">
        <f t="shared" si="81"/>
        <v>49.549342045270535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6.7</v>
      </c>
      <c r="N118" s="14">
        <f>IF('Données projet'!$A$36&gt;35,N117+M118-V117,IF(A118&lt;'Données projet'!$A$36,$K$205^A118,IF(A118='Données projet'!$A$36,'Données projet'!$B$36,N117+M118-V117)))</f>
        <v>295.60000000000019</v>
      </c>
      <c r="O118" s="14">
        <f>N118*VLOOKUP('Données projet'!$B$9,Paramètres!$A$1:$I$89,3,0)*VLOOKUP('Données projet'!$B$9,Paramètres!$A$1:$I$89,5,0)</f>
        <v>258.23616000000021</v>
      </c>
      <c r="P118" s="14">
        <f t="shared" si="87"/>
        <v>62.346249722937785</v>
      </c>
      <c r="Q118" s="22">
        <f t="shared" si="107"/>
        <v>558.34769693411704</v>
      </c>
      <c r="R118" s="62">
        <f t="shared" si="55"/>
        <v>839.42940247721435</v>
      </c>
      <c r="S118" s="62">
        <f ca="1">AVERAGE(OFFSET($R$3,0,0,'Données projet'!$E$9+1,1))-AVERAGE(OFFSET($H$3,0,0,'Données projet'!$E$9+1,1))</f>
        <v>401.34220206028908</v>
      </c>
      <c r="T118" s="62">
        <f t="shared" si="88"/>
        <v>265.33314259106987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52.88256682813163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52.88256682813163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1.7053025658242404E-13</v>
      </c>
      <c r="AJ118" s="14">
        <f>AI118*VLOOKUP('Données projet'!$B$10,Paramètres!$A$1:$I$89,3,0)*VLOOKUP('Données projet'!$B$10,Paramètres!$A$1:$I$89,5,0)</f>
        <v>7.9808160080574461E-14</v>
      </c>
      <c r="AK118" s="14">
        <f t="shared" si="89"/>
        <v>1.2308384591775343E-12</v>
      </c>
      <c r="AL118" s="22">
        <f t="shared" si="58"/>
        <v>2.282709528541206E-12</v>
      </c>
      <c r="AM118" s="62">
        <f t="shared" si="59"/>
        <v>281.08170554309953</v>
      </c>
      <c r="AN118" s="62">
        <f ca="1">AVERAGE(OFFSET($AM$3,0,0,'Données projet'!$E$10+1,1))-AVERAGE(OFFSET($H$3,0,0,'Données projet'!$E$10+1,1))</f>
        <v>253.48761861464732</v>
      </c>
      <c r="AO118" s="62">
        <f t="shared" si="90"/>
        <v>219.50855998133855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94.077290563345613</v>
      </c>
      <c r="AV118" s="23">
        <f>EXP(-LN(2)/25)*AV117+(1-EXP(-LN(2)/25))/(LN(2)/25)*Calculateur!AQ118*Calculateur!AS118*VLOOKUP('Données projet'!$B$10,Paramètres!$A$1:$I$89,3,0)*0.475*44/12</f>
        <v>19.134096123621894</v>
      </c>
      <c r="AW118" s="23">
        <f>EXP(-LN(2)/2)*AW117+(1-EXP(-LN(2)/2))/(LN(2)/2)*AQ118*AT118*VLOOKUP('Données projet'!$B$10,Paramètres!$A$1:$I$89,3,0)*0.475*44/12</f>
        <v>0.13170191933967881</v>
      </c>
      <c r="AX118" s="23">
        <f t="shared" si="60"/>
        <v>113.34308860630718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>
        <f>BD118*VLOOKUP('Données projet'!$B$11,Paramètres!$A$1:$I$89,3,0)*VLOOKUP('Données projet'!$B$11,Paramètres!$A$1:$I$89,5,0)</f>
        <v>0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482.85256243111911</v>
      </c>
      <c r="BJ118" s="62">
        <f t="shared" si="92"/>
        <v>517.78430032567064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39.814329959428754</v>
      </c>
      <c r="BQ118" s="23">
        <f>EXP(-LN(2)/25)*BQ117+(1-EXP(-LN(2)/25))/(LN(2)/25)*Calculateur!BL118*Calculateur!BN118*VLOOKUP('Données projet'!$B$11,Paramètres!$A$1:$I$89,3,0)*0.475*44/12</f>
        <v>6.5547885311823206</v>
      </c>
      <c r="BR118" s="23">
        <f>EXP(-LN(2)/2)*BR117+(1-EXP(-LN(2)/2))/(LN(2)/2)*BL118*BO118*VLOOKUP('Données projet'!$B$11,Paramètres!$A$1:$I$89,3,0)*0.475*44/12</f>
        <v>3.0691265225786512E-7</v>
      </c>
      <c r="BS118" s="24">
        <f t="shared" si="63"/>
        <v>46.369118797523726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>
        <f>BY118*VLOOKUP('Données projet'!$B$12,Paramètres!$A$1:$I$89,3,0)*VLOOKUP('Données projet'!$B$12,Paramètres!$A$1:$I$89,5,0)</f>
        <v>0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275.76900776033335</v>
      </c>
      <c r="CE118" s="62">
        <f t="shared" si="94"/>
        <v>299.36898480605191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38.155399544452571</v>
      </c>
      <c r="CL118" s="23">
        <f>EXP(-LN(2)/25)*CL117+(1-EXP(-LN(2)/25))/(LN(2)/25)*Calculateur!CG118*Calculateur!CI118*VLOOKUP('Données projet'!$B$12,Paramètres!$A$1:$I$89,3,0)*0.475*44/12</f>
        <v>6.2816723423830618</v>
      </c>
      <c r="CM118" s="23">
        <f>EXP(-LN(2)/2)*CM117+(1-EXP(-LN(2)/2))/(LN(2)/2)*CG118*CJ118*VLOOKUP('Données projet'!$B$12,Paramètres!$A$1:$I$89,3,0)*0.475*44/12</f>
        <v>2.9412462508045382E-7</v>
      </c>
      <c r="CN118" s="24">
        <f t="shared" si="66"/>
        <v>44.437072180960257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6.7</v>
      </c>
      <c r="CT118" s="13">
        <f>IF('Données projet'!$A$140&gt;35,CT117+CS118-DB117,IF(A118&lt;'Données projet'!$A$140,$CQ$205^A118,IF(A118='Données projet'!$A$140,'Données projet'!$B$140,CT117+CS118-DB117)))</f>
        <v>295.60000000000019</v>
      </c>
      <c r="CU118" s="18">
        <f>CT118*VLOOKUP('Données projet'!$B$13,Paramètres!$A$1:$I$89,3,0)*VLOOKUP('Données projet'!$B$13,Paramètres!$A$1:$I$89,5,0)</f>
        <v>322.79520000000019</v>
      </c>
      <c r="CV118" s="14">
        <f t="shared" si="95"/>
        <v>75.93465467011842</v>
      </c>
      <c r="CW118" s="22">
        <f t="shared" si="67"/>
        <v>694.45449688378994</v>
      </c>
      <c r="CX118" s="62">
        <f t="shared" si="68"/>
        <v>975.53620242688726</v>
      </c>
      <c r="CY118" s="62">
        <f ca="1">AVERAGE(OFFSET($CX$3,0,0,'Données projet'!$E$13+1,1))-AVERAGE(OFFSET($H$3,0,0,'Données projet'!$E$13+1,1))</f>
        <v>482.24068797679558</v>
      </c>
      <c r="CZ118" s="62">
        <f t="shared" si="96"/>
        <v>316.28941055521693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66.103208535164541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66.103208535164541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-1.7053025658242404E-13</v>
      </c>
      <c r="DP118" s="18">
        <f>DO118*VLOOKUP('Données projet'!$B$14,Paramètres!$A$1:$I$89,3,0)*VLOOKUP('Données projet'!$B$14,Paramètres!$A$1:$I$89,5,0)</f>
        <v>-1.383341441396624E-13</v>
      </c>
      <c r="DQ118" s="14" t="e">
        <f t="shared" si="97"/>
        <v>#NUM!</v>
      </c>
      <c r="DR118" s="22" t="e">
        <f t="shared" si="70"/>
        <v>#NUM!</v>
      </c>
      <c r="DS118" s="62" t="e">
        <f t="shared" si="71"/>
        <v>#NUM!</v>
      </c>
      <c r="DT118" s="62">
        <f ca="1">AVERAGE(OFFSET($DS$3,0,0,'Données projet'!$E$14+1,1))-AVERAGE(OFFSET($H$3,0,0,'Données projet'!$E$14+1,1))</f>
        <v>325.58538970226539</v>
      </c>
      <c r="DU118" s="62">
        <f t="shared" si="98"/>
        <v>361.81085660423457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47.661149110068216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47.661149110068216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5.3599999999999968</v>
      </c>
      <c r="EJ118" s="13">
        <f>IF('Données projet'!$A$192&gt;35,EJ117+EI118-ER117,IF(A118&lt;'Données projet'!$A$192,$EG$205^A118,IF(A118='Données projet'!$A$192,'Données projet'!$B$192,EJ117+EI118-ER117)))</f>
        <v>236.47999999999971</v>
      </c>
      <c r="EK118" s="18">
        <f>EJ118*VLOOKUP('Données projet'!$B$15,Paramètres!$A$1:$I$89,3,0)*VLOOKUP('Données projet'!$B$15,Paramètres!$A$1:$I$89,5,0)</f>
        <v>228.72345599999971</v>
      </c>
      <c r="EL118" s="14">
        <f t="shared" si="99"/>
        <v>56.006573528182713</v>
      </c>
      <c r="EM118" s="22">
        <f t="shared" si="73"/>
        <v>495.90480142825095</v>
      </c>
      <c r="EN118" s="62">
        <f t="shared" si="74"/>
        <v>776.98650697134826</v>
      </c>
      <c r="EO118" s="62">
        <f ca="1">AVERAGE(OFFSET($EN$3,0,0,'Données projet'!$E$15+1,1))-AVERAGE(OFFSET($H$3,0,0,'Données projet'!$E$15+1,1))</f>
        <v>364.22267539944085</v>
      </c>
      <c r="EP118" s="62">
        <f t="shared" si="100"/>
        <v>241.947139538615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46.838844904916613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46.838844904916613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-1.7053025658242404E-13</v>
      </c>
      <c r="FF118" s="18">
        <f>FE118*VLOOKUP('Données projet'!$B$16,Paramètres!$A$1:$I$89,3,0)*VLOOKUP('Données projet'!$B$16,Paramètres!$A$1:$I$89,5,0)</f>
        <v>-1.4897523215040567E-13</v>
      </c>
      <c r="FG118" s="14" t="e">
        <f t="shared" si="101"/>
        <v>#NUM!</v>
      </c>
      <c r="FH118" s="22" t="e">
        <f t="shared" si="76"/>
        <v>#NUM!</v>
      </c>
      <c r="FI118" s="62" t="e">
        <f t="shared" si="77"/>
        <v>#NUM!</v>
      </c>
      <c r="FJ118" s="62">
        <f ca="1">AVERAGE(OFFSET($FI$3,0,0,'Données projet'!$E$16+1,1))-AVERAGE(OFFSET($H$3,0,0,'Données projet'!$E$16+1,1))</f>
        <v>286.59837239471312</v>
      </c>
      <c r="FK118" s="62">
        <f t="shared" si="102"/>
        <v>319.26091328564689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41.36800595879285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41.36800595879285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-1.7053025658242404E-13</v>
      </c>
      <c r="GA118" s="18">
        <f>FZ118*VLOOKUP('Données projet'!$B$17,Paramètres!$A$1:$I$89,3,0)*VLOOKUP('Données projet'!$B$17,Paramètres!$A$1:$I$89,5,0)</f>
        <v>-1.1439169611549005E-13</v>
      </c>
      <c r="GB118" s="14" t="e">
        <f t="shared" si="103"/>
        <v>#NUM!</v>
      </c>
      <c r="GC118" s="22" t="e">
        <f t="shared" si="79"/>
        <v>#NUM!</v>
      </c>
      <c r="GD118" s="62" t="e">
        <f t="shared" si="80"/>
        <v>#NUM!</v>
      </c>
      <c r="GE118" s="62">
        <f ca="1">AVERAGE(OFFSET($GD$3,0,0,'Données projet'!$E$17+1,1))-AVERAGE(OFFSET($H$3,0,0,'Données projet'!$E$17+1,1))</f>
        <v>277.37570531842186</v>
      </c>
      <c r="GF118" s="62">
        <f t="shared" si="104"/>
        <v>310.00874200911312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projet'!$B$17,Paramètres!$A$1:$I$89,3,0)*0.475*44/12</f>
        <v>48.577709669877244</v>
      </c>
      <c r="GM118" s="23">
        <f>EXP(-LN(2)/25)*GM117+(1-EXP(-LN(2)/25))/(LN(2)/25)*Calculateur!GH118*Calculateur!GJ118*VLOOKUP('Données projet'!$B$17,Paramètres!$A$1:$I$89,3,0)*0.475*44/12</f>
        <v>0</v>
      </c>
      <c r="GN118" s="23">
        <f>EXP(-LN(2)/2)*GN117+(1-EXP(-LN(2)/2))/(LN(2)/2)*GH118*GK118*VLOOKUP('Données projet'!$B$17,Paramètres!$A$1:$I$89,3,0)*0.475*44/12</f>
        <v>0</v>
      </c>
      <c r="GO118" s="23">
        <f t="shared" si="81"/>
        <v>48.577709669877244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6.7</v>
      </c>
      <c r="N119" s="14">
        <f>IF('Données projet'!$A$36&gt;35,N118+M119-V118,IF(A119&lt;'Données projet'!$A$36,$K$205^A119,IF(A119='Données projet'!$A$36,'Données projet'!$B$36,N118+M119-V118)))</f>
        <v>302.30000000000018</v>
      </c>
      <c r="O119" s="14">
        <f>N119*VLOOKUP('Données projet'!$B$9,Paramètres!$A$1:$I$89,3,0)*VLOOKUP('Données projet'!$B$9,Paramètres!$A$1:$I$89,5,0)</f>
        <v>264.0892800000002</v>
      </c>
      <c r="P119" s="14">
        <f t="shared" si="87"/>
        <v>63.593253932638959</v>
      </c>
      <c r="Q119" s="22">
        <f t="shared" si="107"/>
        <v>570.71374659934645</v>
      </c>
      <c r="R119" s="62">
        <f t="shared" si="55"/>
        <v>852.00799049406794</v>
      </c>
      <c r="S119" s="62">
        <f ca="1">AVERAGE(OFFSET($R$3,0,0,'Données projet'!$E$9+1,1))-AVERAGE(OFFSET($H$3,0,0,'Données projet'!$E$9+1,1))</f>
        <v>401.34220206028908</v>
      </c>
      <c r="T119" s="62">
        <f t="shared" si="88"/>
        <v>265.33314259106987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51.8455719478128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51.8455719478128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1.7053025658242404E-13</v>
      </c>
      <c r="AJ119" s="14">
        <f>AI119*VLOOKUP('Données projet'!$B$10,Paramètres!$A$1:$I$89,3,0)*VLOOKUP('Données projet'!$B$10,Paramètres!$A$1:$I$89,5,0)</f>
        <v>7.9808160080574461E-14</v>
      </c>
      <c r="AK119" s="14">
        <f t="shared" si="89"/>
        <v>1.2308384591775343E-12</v>
      </c>
      <c r="AL119" s="22">
        <f t="shared" si="58"/>
        <v>2.282709528541206E-12</v>
      </c>
      <c r="AM119" s="62">
        <f t="shared" si="59"/>
        <v>281.29424389472376</v>
      </c>
      <c r="AN119" s="62">
        <f ca="1">AVERAGE(OFFSET($AM$3,0,0,'Données projet'!$E$10+1,1))-AVERAGE(OFFSET($H$3,0,0,'Données projet'!$E$10+1,1))</f>
        <v>253.48761861464732</v>
      </c>
      <c r="AO119" s="62">
        <f t="shared" si="90"/>
        <v>219.50855998133855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92.232492276879697</v>
      </c>
      <c r="AV119" s="23">
        <f>EXP(-LN(2)/25)*AV118+(1-EXP(-LN(2)/25))/(LN(2)/25)*Calculateur!AQ119*Calculateur!AS119*VLOOKUP('Données projet'!$B$10,Paramètres!$A$1:$I$89,3,0)*0.475*44/12</f>
        <v>18.610873258903069</v>
      </c>
      <c r="AW119" s="23">
        <f>EXP(-LN(2)/2)*AW118+(1-EXP(-LN(2)/2))/(LN(2)/2)*AQ119*AT119*VLOOKUP('Données projet'!$B$10,Paramètres!$A$1:$I$89,3,0)*0.475*44/12</f>
        <v>9.31273202603706E-2</v>
      </c>
      <c r="AX119" s="23">
        <f t="shared" si="60"/>
        <v>110.93649285604313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482.85256243111911</v>
      </c>
      <c r="BJ119" s="62">
        <f t="shared" si="92"/>
        <v>517.78430032567064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39.033595233267754</v>
      </c>
      <c r="BQ119" s="23">
        <f>EXP(-LN(2)/25)*BQ118+(1-EXP(-LN(2)/25))/(LN(2)/25)*Calculateur!BL119*Calculateur!BN119*VLOOKUP('Données projet'!$B$11,Paramètres!$A$1:$I$89,3,0)*0.475*44/12</f>
        <v>6.3755474940957928</v>
      </c>
      <c r="BR119" s="23">
        <f>EXP(-LN(2)/2)*BR118+(1-EXP(-LN(2)/2))/(LN(2)/2)*BL119*BO119*VLOOKUP('Données projet'!$B$11,Paramètres!$A$1:$I$89,3,0)*0.475*44/12</f>
        <v>2.1702001764348519E-7</v>
      </c>
      <c r="BS119" s="24">
        <f t="shared" si="63"/>
        <v>45.409142944383561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>
        <f>BY119*VLOOKUP('Données projet'!$B$12,Paramètres!$A$1:$I$89,3,0)*VLOOKUP('Données projet'!$B$12,Paramètres!$A$1:$I$89,5,0)</f>
        <v>0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275.76900776033335</v>
      </c>
      <c r="CE119" s="62">
        <f t="shared" si="94"/>
        <v>299.36898480605191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37.407195431881611</v>
      </c>
      <c r="CL119" s="23">
        <f>EXP(-LN(2)/25)*CL118+(1-EXP(-LN(2)/25))/(LN(2)/25)*Calculateur!CG119*Calculateur!CI119*VLOOKUP('Données projet'!$B$12,Paramètres!$A$1:$I$89,3,0)*0.475*44/12</f>
        <v>6.1098996818418057</v>
      </c>
      <c r="CM119" s="23">
        <f>EXP(-LN(2)/2)*CM118+(1-EXP(-LN(2)/2))/(LN(2)/2)*CG119*CJ119*VLOOKUP('Données projet'!$B$12,Paramètres!$A$1:$I$89,3,0)*0.475*44/12</f>
        <v>2.0797751690833979E-7</v>
      </c>
      <c r="CN119" s="24">
        <f t="shared" si="66"/>
        <v>43.517095321700928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6.7</v>
      </c>
      <c r="CT119" s="13">
        <f>IF('Données projet'!$A$140&gt;35,CT118+CS119-DB118,IF(A119&lt;'Données projet'!$A$140,$CQ$205^A119,IF(A119='Données projet'!$A$140,'Données projet'!$B$140,CT118+CS119-DB118)))</f>
        <v>302.30000000000018</v>
      </c>
      <c r="CU119" s="18">
        <f>CT119*VLOOKUP('Données projet'!$B$13,Paramètres!$A$1:$I$89,3,0)*VLOOKUP('Données projet'!$B$13,Paramètres!$A$1:$I$89,5,0)</f>
        <v>330.11160000000024</v>
      </c>
      <c r="CV119" s="14">
        <f t="shared" si="95"/>
        <v>77.453444243775962</v>
      </c>
      <c r="CW119" s="22">
        <f t="shared" si="67"/>
        <v>709.84245205791012</v>
      </c>
      <c r="CX119" s="62">
        <f t="shared" si="68"/>
        <v>991.13669595263161</v>
      </c>
      <c r="CY119" s="62">
        <f ca="1">AVERAGE(OFFSET($CX$3,0,0,'Données projet'!$E$13+1,1))-AVERAGE(OFFSET($H$3,0,0,'Données projet'!$E$13+1,1))</f>
        <v>482.24068797679558</v>
      </c>
      <c r="CZ119" s="62">
        <f t="shared" si="96"/>
        <v>316.28941055521693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64.806964934766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64.806964934766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-1.7053025658242404E-13</v>
      </c>
      <c r="DP119" s="18">
        <f>DO119*VLOOKUP('Données projet'!$B$14,Paramètres!$A$1:$I$89,3,0)*VLOOKUP('Données projet'!$B$14,Paramètres!$A$1:$I$89,5,0)</f>
        <v>-1.383341441396624E-13</v>
      </c>
      <c r="DQ119" s="14" t="e">
        <f t="shared" si="97"/>
        <v>#NUM!</v>
      </c>
      <c r="DR119" s="22" t="e">
        <f t="shared" si="70"/>
        <v>#NUM!</v>
      </c>
      <c r="DS119" s="62" t="e">
        <f t="shared" si="71"/>
        <v>#NUM!</v>
      </c>
      <c r="DT119" s="62">
        <f ca="1">AVERAGE(OFFSET($DS$3,0,0,'Données projet'!$E$14+1,1))-AVERAGE(OFFSET($H$3,0,0,'Données projet'!$E$14+1,1))</f>
        <v>325.58538970226539</v>
      </c>
      <c r="DU119" s="62">
        <f t="shared" si="98"/>
        <v>361.81085660423457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46.726543046450267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46.726543046450267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5.3599999999999968</v>
      </c>
      <c r="EJ119" s="13">
        <f>IF('Données projet'!$A$192&gt;35,EJ118+EI119-ER118,IF(A119&lt;'Données projet'!$A$192,$EG$205^A119,IF(A119='Données projet'!$A$192,'Données projet'!$B$192,EJ118+EI119-ER118)))</f>
        <v>241.83999999999969</v>
      </c>
      <c r="EK119" s="18">
        <f>EJ119*VLOOKUP('Données projet'!$B$15,Paramètres!$A$1:$I$89,3,0)*VLOOKUP('Données projet'!$B$15,Paramètres!$A$1:$I$89,5,0)</f>
        <v>233.90764799999968</v>
      </c>
      <c r="EL119" s="14">
        <f t="shared" si="99"/>
        <v>57.126776158989671</v>
      </c>
      <c r="EM119" s="22">
        <f t="shared" si="73"/>
        <v>506.8849554102398</v>
      </c>
      <c r="EN119" s="62">
        <f t="shared" si="74"/>
        <v>788.17919930496123</v>
      </c>
      <c r="EO119" s="62">
        <f ca="1">AVERAGE(OFFSET($EN$3,0,0,'Données projet'!$E$15+1,1))-AVERAGE(OFFSET($H$3,0,0,'Données projet'!$E$15+1,1))</f>
        <v>364.22267539944085</v>
      </c>
      <c r="EP119" s="62">
        <f t="shared" si="100"/>
        <v>241.947139538615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45.920363725205647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45.920363725205647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-1.7053025658242404E-13</v>
      </c>
      <c r="FF119" s="18">
        <f>FE119*VLOOKUP('Données projet'!$B$16,Paramètres!$A$1:$I$89,3,0)*VLOOKUP('Données projet'!$B$16,Paramètres!$A$1:$I$89,5,0)</f>
        <v>-1.4897523215040567E-13</v>
      </c>
      <c r="FG119" s="14" t="e">
        <f t="shared" si="101"/>
        <v>#NUM!</v>
      </c>
      <c r="FH119" s="22" t="e">
        <f t="shared" si="76"/>
        <v>#NUM!</v>
      </c>
      <c r="FI119" s="62" t="e">
        <f t="shared" si="77"/>
        <v>#NUM!</v>
      </c>
      <c r="FJ119" s="62">
        <f ca="1">AVERAGE(OFFSET($FI$3,0,0,'Données projet'!$E$16+1,1))-AVERAGE(OFFSET($H$3,0,0,'Données projet'!$E$16+1,1))</f>
        <v>286.59837239471312</v>
      </c>
      <c r="FK119" s="62">
        <f t="shared" si="102"/>
        <v>319.26091328564689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40.556804593933101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40.556804593933101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-1.7053025658242404E-13</v>
      </c>
      <c r="GA119" s="18">
        <f>FZ119*VLOOKUP('Données projet'!$B$17,Paramètres!$A$1:$I$89,3,0)*VLOOKUP('Données projet'!$B$17,Paramètres!$A$1:$I$89,5,0)</f>
        <v>-1.1439169611549005E-13</v>
      </c>
      <c r="GB119" s="14" t="e">
        <f t="shared" si="103"/>
        <v>#NUM!</v>
      </c>
      <c r="GC119" s="22" t="e">
        <f t="shared" si="79"/>
        <v>#NUM!</v>
      </c>
      <c r="GD119" s="62" t="e">
        <f t="shared" si="80"/>
        <v>#NUM!</v>
      </c>
      <c r="GE119" s="62">
        <f ca="1">AVERAGE(OFFSET($GD$3,0,0,'Données projet'!$E$17+1,1))-AVERAGE(OFFSET($H$3,0,0,'Données projet'!$E$17+1,1))</f>
        <v>277.37570531842186</v>
      </c>
      <c r="GF119" s="62">
        <f t="shared" si="104"/>
        <v>310.00874200911312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projet'!$B$17,Paramètres!$A$1:$I$89,3,0)*0.475*44/12</f>
        <v>47.625130412728183</v>
      </c>
      <c r="GM119" s="23">
        <f>EXP(-LN(2)/25)*GM118+(1-EXP(-LN(2)/25))/(LN(2)/25)*Calculateur!GH119*Calculateur!GJ119*VLOOKUP('Données projet'!$B$17,Paramètres!$A$1:$I$89,3,0)*0.475*44/12</f>
        <v>0</v>
      </c>
      <c r="GN119" s="23">
        <f>EXP(-LN(2)/2)*GN118+(1-EXP(-LN(2)/2))/(LN(2)/2)*GH119*GK119*VLOOKUP('Données projet'!$B$17,Paramètres!$A$1:$I$89,3,0)*0.475*44/12</f>
        <v>0</v>
      </c>
      <c r="GO119" s="23">
        <f t="shared" si="81"/>
        <v>47.625130412728183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>
        <f>VLOOKUP(A120,'Données projet'!$A$35:$I$55,2,0)</f>
        <v>309</v>
      </c>
      <c r="L120" s="13">
        <f>VLOOKUP(A120,'Données projet'!$A$35:$I$55,9,0)</f>
        <v>6.7</v>
      </c>
      <c r="M120" s="13">
        <f t="array" ref="M120">INDEX(L:L,MIN(IF(ISNUMBER(L120:L316),ROW(L120:L316),"")))</f>
        <v>6.7</v>
      </c>
      <c r="N120" s="14">
        <f>IF('Données projet'!$A$36&gt;35,N119+M120-V119,IF(A120&lt;'Données projet'!$A$36,$K$205^A120,IF(A120='Données projet'!$A$36,'Données projet'!$B$36,N119+M120-V119)))</f>
        <v>309.00000000000017</v>
      </c>
      <c r="O120" s="14">
        <f>N120*VLOOKUP('Données projet'!$B$9,Paramètres!$A$1:$I$89,3,0)*VLOOKUP('Données projet'!$B$9,Paramètres!$A$1:$I$89,5,0)</f>
        <v>269.94240000000019</v>
      </c>
      <c r="P120" s="14">
        <f t="shared" si="87"/>
        <v>64.837044962324896</v>
      </c>
      <c r="Q120" s="22">
        <f t="shared" si="107"/>
        <v>583.0741999760495</v>
      </c>
      <c r="R120" s="62">
        <f t="shared" si="55"/>
        <v>864.57729515715914</v>
      </c>
      <c r="S120" s="62">
        <f ca="1">AVERAGE(OFFSET($R$3,0,0,'Données projet'!$E$9+1,1))-AVERAGE(OFFSET($H$3,0,0,'Données projet'!$E$9+1,1))</f>
        <v>401.34220206028908</v>
      </c>
      <c r="T120" s="62">
        <f t="shared" si="88"/>
        <v>265.33314259106987</v>
      </c>
      <c r="U120" s="16">
        <f>IF(ISNA(VLOOKUP(A120,'Données projet'!$A$35:$I$55,3,0)),0,VLOOKUP(A120,'Données projet'!$A$35:$I$55,3,0))</f>
        <v>11</v>
      </c>
      <c r="V120" s="16">
        <f>IF(ISNA(VLOOKUP(A120,'Données projet'!$A$35:$I$55,4,0)),0,VLOOKUP(A120,'Données projet'!$A$35:$I$55,4,0))</f>
        <v>45</v>
      </c>
      <c r="W120" s="17">
        <f>IF(ISNA(VLOOKUP(A120,'Données projet'!$A$35:$I$55,5,0)),0%,VLOOKUP(A120,'Données projet'!$A$35:$I$55,5,0)*VLOOKUP('Données projet'!$B$9,Paramètres!$A$1:$I$89,7,0))</f>
        <v>0.38700000000000001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67.647255258389748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67.647255258389748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1.7053025658242404E-13</v>
      </c>
      <c r="AJ120" s="14">
        <f>AI120*VLOOKUP('Données projet'!$B$10,Paramètres!$A$1:$I$89,3,0)*VLOOKUP('Données projet'!$B$10,Paramètres!$A$1:$I$89,5,0)</f>
        <v>7.9808160080574461E-14</v>
      </c>
      <c r="AK120" s="14">
        <f t="shared" si="89"/>
        <v>1.2308384591775343E-12</v>
      </c>
      <c r="AL120" s="22">
        <f t="shared" si="58"/>
        <v>2.282709528541206E-12</v>
      </c>
      <c r="AM120" s="62">
        <f t="shared" si="59"/>
        <v>281.50309518111192</v>
      </c>
      <c r="AN120" s="62">
        <f ca="1">AVERAGE(OFFSET($AM$3,0,0,'Données projet'!$E$10+1,1))-AVERAGE(OFFSET($H$3,0,0,'Données projet'!$E$10+1,1))</f>
        <v>253.48761861464732</v>
      </c>
      <c r="AO120" s="62">
        <f t="shared" si="90"/>
        <v>219.50855998133855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90.423869359595528</v>
      </c>
      <c r="AV120" s="23">
        <f>EXP(-LN(2)/25)*AV119+(1-EXP(-LN(2)/25))/(LN(2)/25)*Calculateur!AQ120*Calculateur!AS120*VLOOKUP('Données projet'!$B$10,Paramètres!$A$1:$I$89,3,0)*0.475*44/12</f>
        <v>18.101957950935077</v>
      </c>
      <c r="AW120" s="23">
        <f>EXP(-LN(2)/2)*AW119+(1-EXP(-LN(2)/2))/(LN(2)/2)*AQ120*AT120*VLOOKUP('Données projet'!$B$10,Paramètres!$A$1:$I$89,3,0)*0.475*44/12</f>
        <v>6.5850959669839407E-2</v>
      </c>
      <c r="AX120" s="23">
        <f t="shared" si="60"/>
        <v>108.59167827020045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482.85256243111911</v>
      </c>
      <c r="BJ120" s="62">
        <f t="shared" si="92"/>
        <v>517.78430032567064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38.26817023888561</v>
      </c>
      <c r="BQ120" s="23">
        <f>EXP(-LN(2)/25)*BQ119+(1-EXP(-LN(2)/25))/(LN(2)/25)*Calculateur!BL120*Calculateur!BN120*VLOOKUP('Données projet'!$B$11,Paramètres!$A$1:$I$89,3,0)*0.475*44/12</f>
        <v>6.201207812594272</v>
      </c>
      <c r="BR120" s="23">
        <f>EXP(-LN(2)/2)*BR119+(1-EXP(-LN(2)/2))/(LN(2)/2)*BL120*BO120*VLOOKUP('Données projet'!$B$11,Paramètres!$A$1:$I$89,3,0)*0.475*44/12</f>
        <v>1.5345632612893256E-7</v>
      </c>
      <c r="BS120" s="24">
        <f t="shared" si="63"/>
        <v>44.469378204936206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>
        <f>BY120*VLOOKUP('Données projet'!$B$12,Paramètres!$A$1:$I$89,3,0)*VLOOKUP('Données projet'!$B$12,Paramètres!$A$1:$I$89,5,0)</f>
        <v>0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275.76900776033335</v>
      </c>
      <c r="CE120" s="62">
        <f t="shared" si="94"/>
        <v>299.36898480605191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36.673663145598717</v>
      </c>
      <c r="CL120" s="23">
        <f>EXP(-LN(2)/25)*CL119+(1-EXP(-LN(2)/25))/(LN(2)/25)*Calculateur!CG120*Calculateur!CI120*VLOOKUP('Données projet'!$B$12,Paramètres!$A$1:$I$89,3,0)*0.475*44/12</f>
        <v>5.9428241537361819</v>
      </c>
      <c r="CM120" s="23">
        <f>EXP(-LN(2)/2)*CM119+(1-EXP(-LN(2)/2))/(LN(2)/2)*CG120*CJ120*VLOOKUP('Données projet'!$B$12,Paramètres!$A$1:$I$89,3,0)*0.475*44/12</f>
        <v>1.4706231254022691E-7</v>
      </c>
      <c r="CN120" s="24">
        <f t="shared" si="66"/>
        <v>42.616487446397208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>
        <f>VLOOKUP(A120,'Données projet'!$A$139:$I$159,2,0)</f>
        <v>309</v>
      </c>
      <c r="CR120" s="13">
        <f>VLOOKUP(A120,'Données projet'!$A$139:$I$159,9,0)</f>
        <v>6.7</v>
      </c>
      <c r="CS120" s="13">
        <f t="array" ref="CS120">INDEX(CR:CR,MIN(IF(ISNUMBER(CR120:CR316),ROW(CR120:CR316),"")))</f>
        <v>6.7</v>
      </c>
      <c r="CT120" s="13">
        <f>IF('Données projet'!$A$140&gt;35,CT119+CS120-DB119,IF(A120&lt;'Données projet'!$A$140,$CQ$205^A120,IF(A120='Données projet'!$A$140,'Données projet'!$B$140,CT119+CS120-DB119)))</f>
        <v>309.00000000000017</v>
      </c>
      <c r="CU120" s="18">
        <f>CT120*VLOOKUP('Données projet'!$B$13,Paramètres!$A$1:$I$89,3,0)*VLOOKUP('Données projet'!$B$13,Paramètres!$A$1:$I$89,5,0)</f>
        <v>337.42800000000017</v>
      </c>
      <c r="CV120" s="14">
        <f t="shared" si="95"/>
        <v>78.968320322781636</v>
      </c>
      <c r="CW120" s="22">
        <f t="shared" si="67"/>
        <v>725.22359122884484</v>
      </c>
      <c r="CX120" s="62">
        <f t="shared" si="68"/>
        <v>1006.7266864099545</v>
      </c>
      <c r="CY120" s="62">
        <f ca="1">AVERAGE(OFFSET($CX$3,0,0,'Données projet'!$E$13+1,1))-AVERAGE(OFFSET($H$3,0,0,'Données projet'!$E$13+1,1))</f>
        <v>482.24068797679558</v>
      </c>
      <c r="CZ120" s="62">
        <f t="shared" si="96"/>
        <v>316.28941055521693</v>
      </c>
      <c r="DA120" s="16">
        <f>IF(ISNA(VLOOKUP(A120,'Données projet'!$A$139:$I$159,3,0)),0,VLOOKUP(A120,'Données projet'!$A$139:$I$159,3,0))</f>
        <v>11</v>
      </c>
      <c r="DB120" s="16">
        <f>IF(ISNA(VLOOKUP(A120,'Données projet'!$A$139:$I$159,4,0)),0,VLOOKUP(A120,'Données projet'!$A$139:$I$159,4,0))</f>
        <v>45</v>
      </c>
      <c r="DC120" s="17">
        <f>IF(ISNA(VLOOKUP(A120,'Données projet'!$A$139:$I$159,5,0)),0%,VLOOKUP(A120,'Données projet'!$A$139:$I$159,5,0)*VLOOKUP('Données projet'!$B$13,Paramètres!$A$1:$I$89,7,0))</f>
        <v>0.38700000000000001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84.559069072987171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84.559069072987171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-1.7053025658242404E-13</v>
      </c>
      <c r="DP120" s="18">
        <f>DO120*VLOOKUP('Données projet'!$B$14,Paramètres!$A$1:$I$89,3,0)*VLOOKUP('Données projet'!$B$14,Paramètres!$A$1:$I$89,5,0)</f>
        <v>-1.383341441396624E-13</v>
      </c>
      <c r="DQ120" s="14" t="e">
        <f t="shared" si="97"/>
        <v>#NUM!</v>
      </c>
      <c r="DR120" s="22" t="e">
        <f t="shared" si="70"/>
        <v>#NUM!</v>
      </c>
      <c r="DS120" s="62" t="e">
        <f t="shared" si="71"/>
        <v>#NUM!</v>
      </c>
      <c r="DT120" s="62">
        <f ca="1">AVERAGE(OFFSET($DS$3,0,0,'Données projet'!$E$14+1,1))-AVERAGE(OFFSET($H$3,0,0,'Données projet'!$E$14+1,1))</f>
        <v>325.58538970226539</v>
      </c>
      <c r="DU120" s="62">
        <f t="shared" si="98"/>
        <v>361.81085660423457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45.810264037686458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45.810264037686458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>
        <f>VLOOKUP(A120,'Données projet'!$A$191:$I$211,2,0)</f>
        <v>247.2</v>
      </c>
      <c r="EH120" s="13">
        <f>VLOOKUP(A120,'Données projet'!$A$191:$I$211,9,0)</f>
        <v>5.3599999999999968</v>
      </c>
      <c r="EI120" s="13">
        <f t="array" ref="EI120">INDEX(EH:EH,MIN(IF(ISNUMBER(EH120:EH316),ROW(EH120:EH316),"")))</f>
        <v>5.3599999999999968</v>
      </c>
      <c r="EJ120" s="13">
        <f>IF('Données projet'!$A$192&gt;35,EJ119+EI120-ER119,IF(A120&lt;'Données projet'!$A$192,$EG$205^A120,IF(A120='Données projet'!$A$192,'Données projet'!$B$192,EJ119+EI120-ER119)))</f>
        <v>247.19999999999968</v>
      </c>
      <c r="EK120" s="18">
        <f>EJ120*VLOOKUP('Données projet'!$B$15,Paramètres!$A$1:$I$89,3,0)*VLOOKUP('Données projet'!$B$15,Paramètres!$A$1:$I$89,5,0)</f>
        <v>239.09183999999971</v>
      </c>
      <c r="EL120" s="14">
        <f t="shared" si="99"/>
        <v>58.244092341877483</v>
      </c>
      <c r="EM120" s="22">
        <f t="shared" si="73"/>
        <v>517.86008216210269</v>
      </c>
      <c r="EN120" s="62">
        <f t="shared" si="74"/>
        <v>799.36317734321233</v>
      </c>
      <c r="EO120" s="62">
        <f ca="1">AVERAGE(OFFSET($EN$3,0,0,'Données projet'!$E$15+1,1))-AVERAGE(OFFSET($H$3,0,0,'Données projet'!$E$15+1,1))</f>
        <v>364.22267539944085</v>
      </c>
      <c r="EP120" s="62">
        <f t="shared" si="100"/>
        <v>241.947139538615</v>
      </c>
      <c r="EQ120" s="16">
        <f>IF(ISNA(VLOOKUP(A120,'Données projet'!$A$191:$I$211,3,0)),0,VLOOKUP(A120,'Données projet'!$A$191:$I$211,3,0))</f>
        <v>11</v>
      </c>
      <c r="ER120" s="16">
        <f>IF(ISNA(VLOOKUP(A120,'Données projet'!$A$191:$I$211,4,0)),0,VLOOKUP(A120,'Données projet'!$A$191:$I$211,4,0))</f>
        <v>36</v>
      </c>
      <c r="ES120" s="17">
        <f>IF(ISNA(VLOOKUP(A120,'Données projet'!$A$191:$I$211,5,0)),0%,VLOOKUP(A120,'Données projet'!$A$191:$I$211,5,0)*VLOOKUP('Données projet'!$B$15,Paramètres!$A$1:$I$89,7,0))</f>
        <v>0.38700000000000001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59.916140371716651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59.916140371716651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-1.7053025658242404E-13</v>
      </c>
      <c r="FF120" s="18">
        <f>FE120*VLOOKUP('Données projet'!$B$16,Paramètres!$A$1:$I$89,3,0)*VLOOKUP('Données projet'!$B$16,Paramètres!$A$1:$I$89,5,0)</f>
        <v>-1.4897523215040567E-13</v>
      </c>
      <c r="FG120" s="14" t="e">
        <f t="shared" si="101"/>
        <v>#NUM!</v>
      </c>
      <c r="FH120" s="22" t="e">
        <f t="shared" si="76"/>
        <v>#NUM!</v>
      </c>
      <c r="FI120" s="62" t="e">
        <f t="shared" si="77"/>
        <v>#NUM!</v>
      </c>
      <c r="FJ120" s="62">
        <f ca="1">AVERAGE(OFFSET($FI$3,0,0,'Données projet'!$E$16+1,1))-AVERAGE(OFFSET($H$3,0,0,'Données projet'!$E$16+1,1))</f>
        <v>286.59837239471312</v>
      </c>
      <c r="FK120" s="62">
        <f t="shared" si="102"/>
        <v>319.26091328564689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39.76151039305428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39.76151039305428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-1.7053025658242404E-13</v>
      </c>
      <c r="GA120" s="18">
        <f>FZ120*VLOOKUP('Données projet'!$B$17,Paramètres!$A$1:$I$89,3,0)*VLOOKUP('Données projet'!$B$17,Paramètres!$A$1:$I$89,5,0)</f>
        <v>-1.1439169611549005E-13</v>
      </c>
      <c r="GB120" s="14" t="e">
        <f t="shared" si="103"/>
        <v>#NUM!</v>
      </c>
      <c r="GC120" s="22" t="e">
        <f t="shared" si="79"/>
        <v>#NUM!</v>
      </c>
      <c r="GD120" s="62" t="e">
        <f t="shared" si="80"/>
        <v>#NUM!</v>
      </c>
      <c r="GE120" s="62">
        <f ca="1">AVERAGE(OFFSET($GD$3,0,0,'Données projet'!$E$17+1,1))-AVERAGE(OFFSET($H$3,0,0,'Données projet'!$E$17+1,1))</f>
        <v>277.37570531842186</v>
      </c>
      <c r="GF120" s="62">
        <f t="shared" si="104"/>
        <v>310.00874200911312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projet'!$B$17,Paramètres!$A$1:$I$89,3,0)*0.475*44/12</f>
        <v>46.691230653795834</v>
      </c>
      <c r="GM120" s="23">
        <f>EXP(-LN(2)/25)*GM119+(1-EXP(-LN(2)/25))/(LN(2)/25)*Calculateur!GH120*Calculateur!GJ120*VLOOKUP('Données projet'!$B$17,Paramètres!$A$1:$I$89,3,0)*0.475*44/12</f>
        <v>0</v>
      </c>
      <c r="GN120" s="23">
        <f>EXP(-LN(2)/2)*GN119+(1-EXP(-LN(2)/2))/(LN(2)/2)*GH120*GK120*VLOOKUP('Données projet'!$B$17,Paramètres!$A$1:$I$89,3,0)*0.475*44/12</f>
        <v>0</v>
      </c>
      <c r="GO120" s="23">
        <f t="shared" si="81"/>
        <v>46.691230653795834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6.083333333333333</v>
      </c>
      <c r="N121" s="14">
        <f>IF('Données projet'!$A$36&gt;35,N120+M121-V120,IF(A121&lt;'Données projet'!$A$36,$K$205^A121,IF(A121='Données projet'!$A$36,'Données projet'!$B$36,N120+M121-V120)))</f>
        <v>270.08333333333348</v>
      </c>
      <c r="O121" s="14">
        <f>N121*VLOOKUP('Données projet'!$B$9,Paramètres!$A$1:$I$89,3,0)*VLOOKUP('Données projet'!$B$9,Paramètres!$A$1:$I$89,5,0)</f>
        <v>235.94480000000016</v>
      </c>
      <c r="P121" s="14">
        <f t="shared" si="87"/>
        <v>57.566171003669581</v>
      </c>
      <c r="Q121" s="22">
        <f t="shared" si="107"/>
        <v>511.19827449805808</v>
      </c>
      <c r="R121" s="62">
        <f t="shared" si="55"/>
        <v>792.90659786265849</v>
      </c>
      <c r="S121" s="62">
        <f ca="1">AVERAGE(OFFSET($R$3,0,0,'Données projet'!$E$9+1,1))-AVERAGE(OFFSET($H$3,0,0,'Données projet'!$E$9+1,1))</f>
        <v>401.34220206028908</v>
      </c>
      <c r="T121" s="62">
        <f t="shared" si="88"/>
        <v>265.33314259106987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66.320733843524266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66.320733843524266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1.7053025658242404E-13</v>
      </c>
      <c r="AJ121" s="14">
        <f>AI121*VLOOKUP('Données projet'!$B$10,Paramètres!$A$1:$I$89,3,0)*VLOOKUP('Données projet'!$B$10,Paramètres!$A$1:$I$89,5,0)</f>
        <v>7.9808160080574461E-14</v>
      </c>
      <c r="AK121" s="14">
        <f t="shared" si="89"/>
        <v>1.2308384591775343E-12</v>
      </c>
      <c r="AL121" s="22">
        <f t="shared" si="58"/>
        <v>2.282709528541206E-12</v>
      </c>
      <c r="AM121" s="62">
        <f t="shared" si="59"/>
        <v>281.70832336460268</v>
      </c>
      <c r="AN121" s="62">
        <f ca="1">AVERAGE(OFFSET($AM$3,0,0,'Données projet'!$E$10+1,1))-AVERAGE(OFFSET($H$3,0,0,'Données projet'!$E$10+1,1))</f>
        <v>253.48761861464732</v>
      </c>
      <c r="AO121" s="62">
        <f t="shared" si="90"/>
        <v>219.50855998133855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88.650712434568248</v>
      </c>
      <c r="AV121" s="23">
        <f>EXP(-LN(2)/25)*AV120+(1-EXP(-LN(2)/25))/(LN(2)/25)*Calculateur!AQ121*Calculateur!AS121*VLOOKUP('Données projet'!$B$10,Paramètres!$A$1:$I$89,3,0)*0.475*44/12</f>
        <v>17.606958958826162</v>
      </c>
      <c r="AW121" s="23">
        <f>EXP(-LN(2)/2)*AW120+(1-EXP(-LN(2)/2))/(LN(2)/2)*AQ121*AT121*VLOOKUP('Données projet'!$B$10,Paramètres!$A$1:$I$89,3,0)*0.475*44/12</f>
        <v>4.65636601301853E-2</v>
      </c>
      <c r="AX121" s="23">
        <f t="shared" si="60"/>
        <v>106.30423505352461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482.85256243111911</v>
      </c>
      <c r="BJ121" s="62">
        <f t="shared" si="92"/>
        <v>517.78430032567064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37.517754761780147</v>
      </c>
      <c r="BQ121" s="23">
        <f>EXP(-LN(2)/25)*BQ120+(1-EXP(-LN(2)/25))/(LN(2)/25)*Calculateur!BL121*Calculateur!BN121*VLOOKUP('Données projet'!$B$11,Paramètres!$A$1:$I$89,3,0)*0.475*44/12</f>
        <v>6.031635458851536</v>
      </c>
      <c r="BR121" s="23">
        <f>EXP(-LN(2)/2)*BR120+(1-EXP(-LN(2)/2))/(LN(2)/2)*BL121*BO121*VLOOKUP('Données projet'!$B$11,Paramètres!$A$1:$I$89,3,0)*0.475*44/12</f>
        <v>1.0851000882174259E-7</v>
      </c>
      <c r="BS121" s="24">
        <f t="shared" si="63"/>
        <v>43.549390329141687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>
        <f>BY121*VLOOKUP('Données projet'!$B$12,Paramètres!$A$1:$I$89,3,0)*VLOOKUP('Données projet'!$B$12,Paramètres!$A$1:$I$89,5,0)</f>
        <v>0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275.76900776033335</v>
      </c>
      <c r="CE121" s="62">
        <f t="shared" si="94"/>
        <v>299.36898480605191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35.954514980039313</v>
      </c>
      <c r="CL121" s="23">
        <f>EXP(-LN(2)/25)*CL120+(1-EXP(-LN(2)/25))/(LN(2)/25)*Calculateur!CG121*Calculateur!CI121*VLOOKUP('Données projet'!$B$12,Paramètres!$A$1:$I$89,3,0)*0.475*44/12</f>
        <v>5.7803173147327263</v>
      </c>
      <c r="CM121" s="23">
        <f>EXP(-LN(2)/2)*CM120+(1-EXP(-LN(2)/2))/(LN(2)/2)*CG121*CJ121*VLOOKUP('Données projet'!$B$12,Paramètres!$A$1:$I$89,3,0)*0.475*44/12</f>
        <v>1.039887584541699E-7</v>
      </c>
      <c r="CN121" s="24">
        <f t="shared" si="66"/>
        <v>41.734832398760801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6.083333333333333</v>
      </c>
      <c r="CT121" s="13">
        <f>IF('Données projet'!$A$140&gt;35,CT120+CS121-DB120,IF(A121&lt;'Données projet'!$A$140,$CQ$205^A121,IF(A121='Données projet'!$A$140,'Données projet'!$B$140,CT120+CS121-DB120)))</f>
        <v>270.08333333333348</v>
      </c>
      <c r="CU121" s="18">
        <f>CT121*VLOOKUP('Données projet'!$B$13,Paramètres!$A$1:$I$89,3,0)*VLOOKUP('Données projet'!$B$13,Paramètres!$A$1:$I$89,5,0)</f>
        <v>294.93100000000015</v>
      </c>
      <c r="CV121" s="14">
        <f t="shared" si="95"/>
        <v>70.112754740986489</v>
      </c>
      <c r="CW121" s="22">
        <f t="shared" si="67"/>
        <v>635.78453950721837</v>
      </c>
      <c r="CX121" s="62">
        <f t="shared" si="68"/>
        <v>917.49286287181872</v>
      </c>
      <c r="CY121" s="62">
        <f ca="1">AVERAGE(OFFSET($CX$3,0,0,'Données projet'!$E$13+1,1))-AVERAGE(OFFSET($H$3,0,0,'Données projet'!$E$13+1,1))</f>
        <v>482.24068797679558</v>
      </c>
      <c r="CZ121" s="62">
        <f t="shared" si="96"/>
        <v>316.28941055521693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82.900917304405326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82.900917304405326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-1.7053025658242404E-13</v>
      </c>
      <c r="DP121" s="18">
        <f>DO121*VLOOKUP('Données projet'!$B$14,Paramètres!$A$1:$I$89,3,0)*VLOOKUP('Données projet'!$B$14,Paramètres!$A$1:$I$89,5,0)</f>
        <v>-1.383341441396624E-13</v>
      </c>
      <c r="DQ121" s="14" t="e">
        <f t="shared" si="97"/>
        <v>#NUM!</v>
      </c>
      <c r="DR121" s="22" t="e">
        <f t="shared" si="70"/>
        <v>#NUM!</v>
      </c>
      <c r="DS121" s="62" t="e">
        <f t="shared" si="71"/>
        <v>#NUM!</v>
      </c>
      <c r="DT121" s="62">
        <f ca="1">AVERAGE(OFFSET($DS$3,0,0,'Données projet'!$E$14+1,1))-AVERAGE(OFFSET($H$3,0,0,'Données projet'!$E$14+1,1))</f>
        <v>325.58538970226539</v>
      </c>
      <c r="DU121" s="62">
        <f t="shared" si="98"/>
        <v>361.81085660423457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44.911952701409497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44.911952701409497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4.8666666666666698</v>
      </c>
      <c r="EJ121" s="13">
        <f>IF('Données projet'!$A$192&gt;35,EJ120+EI121-ER120,IF(A121&lt;'Données projet'!$A$192,$EG$205^A121,IF(A121='Données projet'!$A$192,'Données projet'!$B$192,EJ120+EI121-ER120)))</f>
        <v>216.06666666666635</v>
      </c>
      <c r="EK121" s="18">
        <f>EJ121*VLOOKUP('Données projet'!$B$15,Paramètres!$A$1:$I$89,3,0)*VLOOKUP('Données projet'!$B$15,Paramètres!$A$1:$I$89,5,0)</f>
        <v>208.97967999999969</v>
      </c>
      <c r="EL121" s="14">
        <f t="shared" si="99"/>
        <v>51.71255694417151</v>
      </c>
      <c r="EM121" s="22">
        <f t="shared" si="73"/>
        <v>454.03897934443148</v>
      </c>
      <c r="EN121" s="62">
        <f t="shared" si="74"/>
        <v>735.74730270903183</v>
      </c>
      <c r="EO121" s="62">
        <f ca="1">AVERAGE(OFFSET($EN$3,0,0,'Données projet'!$E$15+1,1))-AVERAGE(OFFSET($H$3,0,0,'Données projet'!$E$15+1,1))</f>
        <v>364.22267539944085</v>
      </c>
      <c r="EP121" s="62">
        <f t="shared" si="100"/>
        <v>241.947139538615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58.741221404264373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58.741221404264373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-1.7053025658242404E-13</v>
      </c>
      <c r="FF121" s="18">
        <f>FE121*VLOOKUP('Données projet'!$B$16,Paramètres!$A$1:$I$89,3,0)*VLOOKUP('Données projet'!$B$16,Paramètres!$A$1:$I$89,5,0)</f>
        <v>-1.4897523215040567E-13</v>
      </c>
      <c r="FG121" s="14" t="e">
        <f t="shared" si="101"/>
        <v>#NUM!</v>
      </c>
      <c r="FH121" s="22" t="e">
        <f t="shared" si="76"/>
        <v>#NUM!</v>
      </c>
      <c r="FI121" s="62" t="e">
        <f t="shared" si="77"/>
        <v>#NUM!</v>
      </c>
      <c r="FJ121" s="62">
        <f ca="1">AVERAGE(OFFSET($FI$3,0,0,'Données projet'!$E$16+1,1))-AVERAGE(OFFSET($H$3,0,0,'Données projet'!$E$16+1,1))</f>
        <v>286.59837239471312</v>
      </c>
      <c r="FK121" s="62">
        <f t="shared" si="102"/>
        <v>319.26091328564689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38.981811426373127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38.981811426373127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-1.7053025658242404E-13</v>
      </c>
      <c r="GA121" s="18">
        <f>FZ121*VLOOKUP('Données projet'!$B$17,Paramètres!$A$1:$I$89,3,0)*VLOOKUP('Données projet'!$B$17,Paramètres!$A$1:$I$89,5,0)</f>
        <v>-1.1439169611549005E-13</v>
      </c>
      <c r="GB121" s="14" t="e">
        <f t="shared" si="103"/>
        <v>#NUM!</v>
      </c>
      <c r="GC121" s="22" t="e">
        <f t="shared" si="79"/>
        <v>#NUM!</v>
      </c>
      <c r="GD121" s="62" t="e">
        <f t="shared" si="80"/>
        <v>#NUM!</v>
      </c>
      <c r="GE121" s="62">
        <f ca="1">AVERAGE(OFFSET($GD$3,0,0,'Données projet'!$E$17+1,1))-AVERAGE(OFFSET($H$3,0,0,'Données projet'!$E$17+1,1))</f>
        <v>277.37570531842186</v>
      </c>
      <c r="GF121" s="62">
        <f t="shared" si="104"/>
        <v>310.00874200911312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projet'!$B$17,Paramètres!$A$1:$I$89,3,0)*0.475*44/12</f>
        <v>45.775644099513542</v>
      </c>
      <c r="GM121" s="23">
        <f>EXP(-LN(2)/25)*GM120+(1-EXP(-LN(2)/25))/(LN(2)/25)*Calculateur!GH121*Calculateur!GJ121*VLOOKUP('Données projet'!$B$17,Paramètres!$A$1:$I$89,3,0)*0.475*44/12</f>
        <v>0</v>
      </c>
      <c r="GN121" s="23">
        <f>EXP(-LN(2)/2)*GN120+(1-EXP(-LN(2)/2))/(LN(2)/2)*GH121*GK121*VLOOKUP('Données projet'!$B$17,Paramètres!$A$1:$I$89,3,0)*0.475*44/12</f>
        <v>0</v>
      </c>
      <c r="GO121" s="23">
        <f t="shared" si="81"/>
        <v>45.775644099513542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6.083333333333333</v>
      </c>
      <c r="N122" s="14">
        <f>IF('Données projet'!$A$36&gt;35,N121+M122-V121,IF(A122&lt;'Données projet'!$A$36,$K$205^A122,IF(A122='Données projet'!$A$36,'Données projet'!$B$36,N121+M122-V121)))</f>
        <v>276.1666666666668</v>
      </c>
      <c r="O122" s="14">
        <f>N122*VLOOKUP('Données projet'!$B$9,Paramètres!$A$1:$I$89,3,0)*VLOOKUP('Données projet'!$B$9,Paramètres!$A$1:$I$89,5,0)</f>
        <v>241.25920000000013</v>
      </c>
      <c r="P122" s="14">
        <f t="shared" si="87"/>
        <v>58.710370929379607</v>
      </c>
      <c r="Q122" s="22">
        <f t="shared" si="107"/>
        <v>522.44700270200303</v>
      </c>
      <c r="R122" s="62">
        <f t="shared" si="55"/>
        <v>804.35699399993223</v>
      </c>
      <c r="S122" s="62">
        <f ca="1">AVERAGE(OFFSET($R$3,0,0,'Données projet'!$E$9+1,1))-AVERAGE(OFFSET($H$3,0,0,'Données projet'!$E$9+1,1))</f>
        <v>401.34220206028908</v>
      </c>
      <c r="T122" s="62">
        <f t="shared" si="88"/>
        <v>265.33314259106987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65.020224704506134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65.020224704506134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1.7053025658242404E-13</v>
      </c>
      <c r="AJ122" s="14">
        <f>AI122*VLOOKUP('Données projet'!$B$10,Paramètres!$A$1:$I$89,3,0)*VLOOKUP('Données projet'!$B$10,Paramètres!$A$1:$I$89,5,0)</f>
        <v>7.9808160080574461E-14</v>
      </c>
      <c r="AK122" s="14">
        <f t="shared" si="89"/>
        <v>1.2308384591775343E-12</v>
      </c>
      <c r="AL122" s="22">
        <f t="shared" si="58"/>
        <v>2.282709528541206E-12</v>
      </c>
      <c r="AM122" s="62">
        <f t="shared" si="59"/>
        <v>281.90999129793141</v>
      </c>
      <c r="AN122" s="62">
        <f ca="1">AVERAGE(OFFSET($AM$3,0,0,'Données projet'!$E$10+1,1))-AVERAGE(OFFSET($H$3,0,0,'Données projet'!$E$10+1,1))</f>
        <v>253.48761861464732</v>
      </c>
      <c r="AO122" s="62">
        <f t="shared" si="90"/>
        <v>219.50855998133855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86.912326035321826</v>
      </c>
      <c r="AV122" s="23">
        <f>EXP(-LN(2)/25)*AV121+(1-EXP(-LN(2)/25))/(LN(2)/25)*Calculateur!AQ122*Calculateur!AS122*VLOOKUP('Données projet'!$B$10,Paramètres!$A$1:$I$89,3,0)*0.475*44/12</f>
        <v>17.125495740187329</v>
      </c>
      <c r="AW122" s="23">
        <f>EXP(-LN(2)/2)*AW121+(1-EXP(-LN(2)/2))/(LN(2)/2)*AQ122*AT122*VLOOKUP('Données projet'!$B$10,Paramètres!$A$1:$I$89,3,0)*0.475*44/12</f>
        <v>3.2925479834919703E-2</v>
      </c>
      <c r="AX122" s="23">
        <f t="shared" si="60"/>
        <v>104.07074725534407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482.85256243111911</v>
      </c>
      <c r="BJ122" s="62">
        <f t="shared" si="92"/>
        <v>517.78430032567064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36.782054474472474</v>
      </c>
      <c r="BQ122" s="23">
        <f>EXP(-LN(2)/25)*BQ121+(1-EXP(-LN(2)/25))/(LN(2)/25)*Calculateur!BL122*Calculateur!BN122*VLOOKUP('Données projet'!$B$11,Paramètres!$A$1:$I$89,3,0)*0.475*44/12</f>
        <v>5.8667000700393173</v>
      </c>
      <c r="BR122" s="23">
        <f>EXP(-LN(2)/2)*BR121+(1-EXP(-LN(2)/2))/(LN(2)/2)*BL122*BO122*VLOOKUP('Données projet'!$B$11,Paramètres!$A$1:$I$89,3,0)*0.475*44/12</f>
        <v>7.6728163064466281E-8</v>
      </c>
      <c r="BS122" s="24">
        <f t="shared" si="63"/>
        <v>42.648754621239952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>
        <f>BY122*VLOOKUP('Données projet'!$B$12,Paramètres!$A$1:$I$89,3,0)*VLOOKUP('Données projet'!$B$12,Paramètres!$A$1:$I$89,5,0)</f>
        <v>0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275.76900776033335</v>
      </c>
      <c r="CE122" s="62">
        <f t="shared" si="94"/>
        <v>299.36898480605191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35.249468871369466</v>
      </c>
      <c r="CL122" s="23">
        <f>EXP(-LN(2)/25)*CL121+(1-EXP(-LN(2)/25))/(LN(2)/25)*Calculateur!CG122*Calculateur!CI122*VLOOKUP('Données projet'!$B$12,Paramètres!$A$1:$I$89,3,0)*0.475*44/12</f>
        <v>5.6222542337876833</v>
      </c>
      <c r="CM122" s="23">
        <f>EXP(-LN(2)/2)*CM121+(1-EXP(-LN(2)/2))/(LN(2)/2)*CG122*CJ122*VLOOKUP('Données projet'!$B$12,Paramètres!$A$1:$I$89,3,0)*0.475*44/12</f>
        <v>7.3531156270113455E-8</v>
      </c>
      <c r="CN122" s="24">
        <f t="shared" si="66"/>
        <v>40.871723178688306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6.083333333333333</v>
      </c>
      <c r="CT122" s="13">
        <f>IF('Données projet'!$A$140&gt;35,CT121+CS122-DB121,IF(A122&lt;'Données projet'!$A$140,$CQ$205^A122,IF(A122='Données projet'!$A$140,'Données projet'!$B$140,CT121+CS122-DB121)))</f>
        <v>276.1666666666668</v>
      </c>
      <c r="CU122" s="18">
        <f>CT122*VLOOKUP('Données projet'!$B$13,Paramètres!$A$1:$I$89,3,0)*VLOOKUP('Données projet'!$B$13,Paramètres!$A$1:$I$89,5,0)</f>
        <v>301.57400000000013</v>
      </c>
      <c r="CV122" s="14">
        <f t="shared" si="95"/>
        <v>71.50633377129671</v>
      </c>
      <c r="CW122" s="22">
        <f t="shared" si="67"/>
        <v>649.78158131834198</v>
      </c>
      <c r="CX122" s="62">
        <f t="shared" si="68"/>
        <v>931.69157261627106</v>
      </c>
      <c r="CY122" s="62">
        <f ca="1">AVERAGE(OFFSET($CX$3,0,0,'Données projet'!$E$13+1,1))-AVERAGE(OFFSET($H$3,0,0,'Données projet'!$E$13+1,1))</f>
        <v>482.24068797679558</v>
      </c>
      <c r="CZ122" s="62">
        <f t="shared" si="96"/>
        <v>316.28941055521693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81.27528088063265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81.27528088063265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-1.7053025658242404E-13</v>
      </c>
      <c r="DP122" s="18">
        <f>DO122*VLOOKUP('Données projet'!$B$14,Paramètres!$A$1:$I$89,3,0)*VLOOKUP('Données projet'!$B$14,Paramètres!$A$1:$I$89,5,0)</f>
        <v>-1.383341441396624E-13</v>
      </c>
      <c r="DQ122" s="14" t="e">
        <f t="shared" si="97"/>
        <v>#NUM!</v>
      </c>
      <c r="DR122" s="22" t="e">
        <f t="shared" si="70"/>
        <v>#NUM!</v>
      </c>
      <c r="DS122" s="62" t="e">
        <f t="shared" si="71"/>
        <v>#NUM!</v>
      </c>
      <c r="DT122" s="62">
        <f ca="1">AVERAGE(OFFSET($DS$3,0,0,'Données projet'!$E$14+1,1))-AVERAGE(OFFSET($H$3,0,0,'Données projet'!$E$14+1,1))</f>
        <v>325.58538970226539</v>
      </c>
      <c r="DU122" s="62">
        <f t="shared" si="98"/>
        <v>361.81085660423457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44.031256702521112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44.031256702521112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4.8666666666666698</v>
      </c>
      <c r="EJ122" s="13">
        <f>IF('Données projet'!$A$192&gt;35,EJ121+EI122-ER121,IF(A122&lt;'Données projet'!$A$192,$EG$205^A122,IF(A122='Données projet'!$A$192,'Données projet'!$B$192,EJ121+EI122-ER121)))</f>
        <v>220.93333333333302</v>
      </c>
      <c r="EK122" s="18">
        <f>EJ122*VLOOKUP('Données projet'!$B$15,Paramètres!$A$1:$I$89,3,0)*VLOOKUP('Données projet'!$B$15,Paramètres!$A$1:$I$89,5,0)</f>
        <v>213.6867199999997</v>
      </c>
      <c r="EL122" s="14">
        <f t="shared" si="99"/>
        <v>52.74040894096364</v>
      </c>
      <c r="EM122" s="22">
        <f t="shared" si="73"/>
        <v>464.02724957217771</v>
      </c>
      <c r="EN122" s="62">
        <f t="shared" si="74"/>
        <v>745.93724087010685</v>
      </c>
      <c r="EO122" s="62">
        <f ca="1">AVERAGE(OFFSET($EN$3,0,0,'Données projet'!$E$15+1,1))-AVERAGE(OFFSET($H$3,0,0,'Données projet'!$E$15+1,1))</f>
        <v>364.22267539944085</v>
      </c>
      <c r="EP122" s="62">
        <f t="shared" si="100"/>
        <v>241.947139538615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57.589341881134025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57.589341881134025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-1.7053025658242404E-13</v>
      </c>
      <c r="FF122" s="18">
        <f>FE122*VLOOKUP('Données projet'!$B$16,Paramètres!$A$1:$I$89,3,0)*VLOOKUP('Données projet'!$B$16,Paramètres!$A$1:$I$89,5,0)</f>
        <v>-1.4897523215040567E-13</v>
      </c>
      <c r="FG122" s="14" t="e">
        <f t="shared" si="101"/>
        <v>#NUM!</v>
      </c>
      <c r="FH122" s="22" t="e">
        <f t="shared" si="76"/>
        <v>#NUM!</v>
      </c>
      <c r="FI122" s="62" t="e">
        <f t="shared" si="77"/>
        <v>#NUM!</v>
      </c>
      <c r="FJ122" s="62">
        <f ca="1">AVERAGE(OFFSET($FI$3,0,0,'Données projet'!$E$16+1,1))-AVERAGE(OFFSET($H$3,0,0,'Données projet'!$E$16+1,1))</f>
        <v>286.59837239471312</v>
      </c>
      <c r="FK122" s="62">
        <f t="shared" si="102"/>
        <v>319.26091328564689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38.217401880859178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38.217401880859178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-1.7053025658242404E-13</v>
      </c>
      <c r="GA122" s="18">
        <f>FZ122*VLOOKUP('Données projet'!$B$17,Paramètres!$A$1:$I$89,3,0)*VLOOKUP('Données projet'!$B$17,Paramètres!$A$1:$I$89,5,0)</f>
        <v>-1.1439169611549005E-13</v>
      </c>
      <c r="GB122" s="14" t="e">
        <f t="shared" si="103"/>
        <v>#NUM!</v>
      </c>
      <c r="GC122" s="22" t="e">
        <f t="shared" si="79"/>
        <v>#NUM!</v>
      </c>
      <c r="GD122" s="62" t="e">
        <f t="shared" si="80"/>
        <v>#NUM!</v>
      </c>
      <c r="GE122" s="62">
        <f ca="1">AVERAGE(OFFSET($GD$3,0,0,'Données projet'!$E$17+1,1))-AVERAGE(OFFSET($H$3,0,0,'Données projet'!$E$17+1,1))</f>
        <v>277.37570531842186</v>
      </c>
      <c r="GF122" s="62">
        <f t="shared" si="104"/>
        <v>310.00874200911312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projet'!$B$17,Paramètres!$A$1:$I$89,3,0)*0.475*44/12</f>
        <v>44.878011639108074</v>
      </c>
      <c r="GM122" s="23">
        <f>EXP(-LN(2)/25)*GM121+(1-EXP(-LN(2)/25))/(LN(2)/25)*Calculateur!GH122*Calculateur!GJ122*VLOOKUP('Données projet'!$B$17,Paramètres!$A$1:$I$89,3,0)*0.475*44/12</f>
        <v>0</v>
      </c>
      <c r="GN122" s="23">
        <f>EXP(-LN(2)/2)*GN121+(1-EXP(-LN(2)/2))/(LN(2)/2)*GH122*GK122*VLOOKUP('Données projet'!$B$17,Paramètres!$A$1:$I$89,3,0)*0.475*44/12</f>
        <v>0</v>
      </c>
      <c r="GO122" s="23">
        <f t="shared" si="81"/>
        <v>44.878011639108074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6.083333333333333</v>
      </c>
      <c r="N123" s="14">
        <f>IF('Données projet'!$A$36&gt;35,N122+M123-V122,IF(A123&lt;'Données projet'!$A$36,$K$205^A123,IF(A123='Données projet'!$A$36,'Données projet'!$B$36,N122+M123-V122)))</f>
        <v>282.25000000000011</v>
      </c>
      <c r="O123" s="14">
        <f>N123*VLOOKUP('Données projet'!$B$9,Paramètres!$A$1:$I$89,3,0)*VLOOKUP('Données projet'!$B$9,Paramètres!$A$1:$I$89,5,0)</f>
        <v>246.57360000000014</v>
      </c>
      <c r="P123" s="14">
        <f t="shared" si="87"/>
        <v>59.851640598021646</v>
      </c>
      <c r="Q123" s="22">
        <f t="shared" si="107"/>
        <v>533.69062737488787</v>
      </c>
      <c r="R123" s="62">
        <f t="shared" si="55"/>
        <v>815.79878811836443</v>
      </c>
      <c r="S123" s="62">
        <f ca="1">AVERAGE(OFFSET($R$3,0,0,'Données projet'!$E$9+1,1))-AVERAGE(OFFSET($H$3,0,0,'Données projet'!$E$9+1,1))</f>
        <v>401.34220206028908</v>
      </c>
      <c r="T123" s="62">
        <f t="shared" si="88"/>
        <v>265.33314259106987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63.745217756471895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63.745217756471895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1.7053025658242404E-13</v>
      </c>
      <c r="AJ123" s="14">
        <f>AI123*VLOOKUP('Données projet'!$B$10,Paramètres!$A$1:$I$89,3,0)*VLOOKUP('Données projet'!$B$10,Paramètres!$A$1:$I$89,5,0)</f>
        <v>7.9808160080574461E-14</v>
      </c>
      <c r="AK123" s="14">
        <f t="shared" si="89"/>
        <v>1.2308384591775343E-12</v>
      </c>
      <c r="AL123" s="22">
        <f t="shared" si="58"/>
        <v>2.282709528541206E-12</v>
      </c>
      <c r="AM123" s="62">
        <f t="shared" si="59"/>
        <v>282.10816074347889</v>
      </c>
      <c r="AN123" s="62">
        <f ca="1">AVERAGE(OFFSET($AM$3,0,0,'Données projet'!$E$10+1,1))-AVERAGE(OFFSET($H$3,0,0,'Données projet'!$E$10+1,1))</f>
        <v>253.48761861464732</v>
      </c>
      <c r="AO123" s="62">
        <f t="shared" si="90"/>
        <v>219.50855998133855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85.208028333053619</v>
      </c>
      <c r="AV123" s="23">
        <f>EXP(-LN(2)/25)*AV122+(1-EXP(-LN(2)/25))/(LN(2)/25)*Calculateur!AQ123*Calculateur!AS123*VLOOKUP('Données projet'!$B$10,Paramètres!$A$1:$I$89,3,0)*0.475*44/12</f>
        <v>16.657198158581227</v>
      </c>
      <c r="AW123" s="23">
        <f>EXP(-LN(2)/2)*AW122+(1-EXP(-LN(2)/2))/(LN(2)/2)*AQ123*AT123*VLOOKUP('Données projet'!$B$10,Paramètres!$A$1:$I$89,3,0)*0.475*44/12</f>
        <v>2.328183006509265E-2</v>
      </c>
      <c r="AX123" s="23">
        <f t="shared" si="60"/>
        <v>101.88850832169993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482.85256243111911</v>
      </c>
      <c r="BJ123" s="62">
        <f t="shared" si="92"/>
        <v>517.78430032567064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36.060780821066039</v>
      </c>
      <c r="BQ123" s="23">
        <f>EXP(-LN(2)/25)*BQ122+(1-EXP(-LN(2)/25))/(LN(2)/25)*Calculateur!BL123*Calculateur!BN123*VLOOKUP('Données projet'!$B$11,Paramètres!$A$1:$I$89,3,0)*0.475*44/12</f>
        <v>5.7062748481077437</v>
      </c>
      <c r="BR123" s="23">
        <f>EXP(-LN(2)/2)*BR122+(1-EXP(-LN(2)/2))/(LN(2)/2)*BL123*BO123*VLOOKUP('Données projet'!$B$11,Paramètres!$A$1:$I$89,3,0)*0.475*44/12</f>
        <v>5.4255004410871297E-8</v>
      </c>
      <c r="BS123" s="24">
        <f t="shared" si="63"/>
        <v>41.76705572342879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>
        <f>BY123*VLOOKUP('Données projet'!$B$12,Paramètres!$A$1:$I$89,3,0)*VLOOKUP('Données projet'!$B$12,Paramètres!$A$1:$I$89,5,0)</f>
        <v>0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275.76900776033335</v>
      </c>
      <c r="CE123" s="62">
        <f t="shared" si="94"/>
        <v>299.36898480605191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34.558248286854969</v>
      </c>
      <c r="CL123" s="23">
        <f>EXP(-LN(2)/25)*CL122+(1-EXP(-LN(2)/25))/(LN(2)/25)*Calculateur!CG123*Calculateur!CI123*VLOOKUP('Données projet'!$B$12,Paramètres!$A$1:$I$89,3,0)*0.475*44/12</f>
        <v>5.4685133961032584</v>
      </c>
      <c r="CM123" s="23">
        <f>EXP(-LN(2)/2)*CM122+(1-EXP(-LN(2)/2))/(LN(2)/2)*CG123*CJ123*VLOOKUP('Données projet'!$B$12,Paramètres!$A$1:$I$89,3,0)*0.475*44/12</f>
        <v>5.1994379227084948E-8</v>
      </c>
      <c r="CN123" s="24">
        <f t="shared" si="66"/>
        <v>40.026761734952601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6.083333333333333</v>
      </c>
      <c r="CT123" s="13">
        <f>IF('Données projet'!$A$140&gt;35,CT122+CS123-DB122,IF(A123&lt;'Données projet'!$A$140,$CQ$205^A123,IF(A123='Données projet'!$A$140,'Données projet'!$B$140,CT122+CS123-DB122)))</f>
        <v>282.25000000000011</v>
      </c>
      <c r="CU123" s="18">
        <f>CT123*VLOOKUP('Données projet'!$B$13,Paramètres!$A$1:$I$89,3,0)*VLOOKUP('Données projet'!$B$13,Paramètres!$A$1:$I$89,5,0)</f>
        <v>308.2170000000001</v>
      </c>
      <c r="CV123" s="14">
        <f t="shared" si="95"/>
        <v>72.896343893139303</v>
      </c>
      <c r="CW123" s="22">
        <f t="shared" si="67"/>
        <v>663.77240728055119</v>
      </c>
      <c r="CX123" s="62">
        <f t="shared" si="68"/>
        <v>945.88056802402775</v>
      </c>
      <c r="CY123" s="62">
        <f ca="1">AVERAGE(OFFSET($CX$3,0,0,'Données projet'!$E$13+1,1))-AVERAGE(OFFSET($H$3,0,0,'Données projet'!$E$13+1,1))</f>
        <v>482.24068797679558</v>
      </c>
      <c r="CZ123" s="62">
        <f t="shared" si="96"/>
        <v>316.28941055521693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79.681522195589849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79.681522195589849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-1.7053025658242404E-13</v>
      </c>
      <c r="DP123" s="18">
        <f>DO123*VLOOKUP('Données projet'!$B$14,Paramètres!$A$1:$I$89,3,0)*VLOOKUP('Données projet'!$B$14,Paramètres!$A$1:$I$89,5,0)</f>
        <v>-1.383341441396624E-13</v>
      </c>
      <c r="DQ123" s="14" t="e">
        <f t="shared" si="97"/>
        <v>#NUM!</v>
      </c>
      <c r="DR123" s="22" t="e">
        <f t="shared" si="70"/>
        <v>#NUM!</v>
      </c>
      <c r="DS123" s="62" t="e">
        <f t="shared" si="71"/>
        <v>#NUM!</v>
      </c>
      <c r="DT123" s="62">
        <f ca="1">AVERAGE(OFFSET($DS$3,0,0,'Données projet'!$E$14+1,1))-AVERAGE(OFFSET($H$3,0,0,'Données projet'!$E$14+1,1))</f>
        <v>325.58538970226539</v>
      </c>
      <c r="DU123" s="62">
        <f t="shared" si="98"/>
        <v>361.81085660423457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43.16783061499941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43.16783061499941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4.8666666666666698</v>
      </c>
      <c r="EJ123" s="13">
        <f>IF('Données projet'!$A$192&gt;35,EJ122+EI123-ER122,IF(A123&lt;'Données projet'!$A$192,$EG$205^A123,IF(A123='Données projet'!$A$192,'Données projet'!$B$192,EJ122+EI123-ER122)))</f>
        <v>225.7999999999997</v>
      </c>
      <c r="EK123" s="18">
        <f>EJ123*VLOOKUP('Données projet'!$B$15,Paramètres!$A$1:$I$89,3,0)*VLOOKUP('Données projet'!$B$15,Paramètres!$A$1:$I$89,5,0)</f>
        <v>218.3937599999997</v>
      </c>
      <c r="EL123" s="14">
        <f t="shared" si="99"/>
        <v>53.765628643773915</v>
      </c>
      <c r="EM123" s="22">
        <f t="shared" si="73"/>
        <v>474.01093522123909</v>
      </c>
      <c r="EN123" s="62">
        <f t="shared" si="74"/>
        <v>756.11909596471571</v>
      </c>
      <c r="EO123" s="62">
        <f ca="1">AVERAGE(OFFSET($EN$3,0,0,'Données projet'!$E$15+1,1))-AVERAGE(OFFSET($H$3,0,0,'Données projet'!$E$15+1,1))</f>
        <v>364.22267539944085</v>
      </c>
      <c r="EP123" s="62">
        <f t="shared" si="100"/>
        <v>241.947139538615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56.460050012875129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56.460050012875129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-1.7053025658242404E-13</v>
      </c>
      <c r="FF123" s="18">
        <f>FE123*VLOOKUP('Données projet'!$B$16,Paramètres!$A$1:$I$89,3,0)*VLOOKUP('Données projet'!$B$16,Paramètres!$A$1:$I$89,5,0)</f>
        <v>-1.4897523215040567E-13</v>
      </c>
      <c r="FG123" s="14" t="e">
        <f t="shared" si="101"/>
        <v>#NUM!</v>
      </c>
      <c r="FH123" s="22" t="e">
        <f t="shared" si="76"/>
        <v>#NUM!</v>
      </c>
      <c r="FI123" s="62" t="e">
        <f t="shared" si="77"/>
        <v>#NUM!</v>
      </c>
      <c r="FJ123" s="62">
        <f ca="1">AVERAGE(OFFSET($FI$3,0,0,'Données projet'!$E$16+1,1))-AVERAGE(OFFSET($H$3,0,0,'Données projet'!$E$16+1,1))</f>
        <v>286.59837239471312</v>
      </c>
      <c r="FK123" s="62">
        <f t="shared" si="102"/>
        <v>319.26091328564689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37.467981940288972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37.467981940288972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-1.7053025658242404E-13</v>
      </c>
      <c r="GA123" s="18">
        <f>FZ123*VLOOKUP('Données projet'!$B$17,Paramètres!$A$1:$I$89,3,0)*VLOOKUP('Données projet'!$B$17,Paramètres!$A$1:$I$89,5,0)</f>
        <v>-1.1439169611549005E-13</v>
      </c>
      <c r="GB123" s="14" t="e">
        <f t="shared" si="103"/>
        <v>#NUM!</v>
      </c>
      <c r="GC123" s="22" t="e">
        <f t="shared" si="79"/>
        <v>#NUM!</v>
      </c>
      <c r="GD123" s="62" t="e">
        <f t="shared" si="80"/>
        <v>#NUM!</v>
      </c>
      <c r="GE123" s="62">
        <f ca="1">AVERAGE(OFFSET($GD$3,0,0,'Données projet'!$E$17+1,1))-AVERAGE(OFFSET($H$3,0,0,'Données projet'!$E$17+1,1))</f>
        <v>277.37570531842186</v>
      </c>
      <c r="GF123" s="62">
        <f t="shared" si="104"/>
        <v>310.00874200911312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projet'!$B$17,Paramètres!$A$1:$I$89,3,0)*0.475*44/12</f>
        <v>43.997981203749418</v>
      </c>
      <c r="GM123" s="23">
        <f>EXP(-LN(2)/25)*GM122+(1-EXP(-LN(2)/25))/(LN(2)/25)*Calculateur!GH123*Calculateur!GJ123*VLOOKUP('Données projet'!$B$17,Paramètres!$A$1:$I$89,3,0)*0.475*44/12</f>
        <v>0</v>
      </c>
      <c r="GN123" s="23">
        <f>EXP(-LN(2)/2)*GN122+(1-EXP(-LN(2)/2))/(LN(2)/2)*GH123*GK123*VLOOKUP('Données projet'!$B$17,Paramètres!$A$1:$I$89,3,0)*0.475*44/12</f>
        <v>0</v>
      </c>
      <c r="GO123" s="23">
        <f t="shared" si="81"/>
        <v>43.997981203749418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6.083333333333333</v>
      </c>
      <c r="N124" s="14">
        <f>IF('Données projet'!$A$36&gt;35,N123+M124-V123,IF(A124&lt;'Données projet'!$A$36,$K$205^A124,IF(A124='Données projet'!$A$36,'Données projet'!$B$36,N123+M124-V123)))</f>
        <v>288.33333333333343</v>
      </c>
      <c r="O124" s="14">
        <f>N124*VLOOKUP('Données projet'!$B$9,Paramètres!$A$1:$I$89,3,0)*VLOOKUP('Données projet'!$B$9,Paramètres!$A$1:$I$89,5,0)</f>
        <v>251.88800000000009</v>
      </c>
      <c r="P124" s="14">
        <f t="shared" si="87"/>
        <v>60.990050439398367</v>
      </c>
      <c r="Q124" s="22">
        <f t="shared" si="107"/>
        <v>544.92927118195223</v>
      </c>
      <c r="R124" s="62">
        <f t="shared" si="55"/>
        <v>827.23216357413662</v>
      </c>
      <c r="S124" s="62">
        <f ca="1">AVERAGE(OFFSET($R$3,0,0,'Données projet'!$E$9+1,1))-AVERAGE(OFFSET($H$3,0,0,'Données projet'!$E$9+1,1))</f>
        <v>401.34220206028908</v>
      </c>
      <c r="T124" s="62">
        <f t="shared" si="88"/>
        <v>265.33314259106987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62.495212917011159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62.495212917011159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1.7053025658242404E-13</v>
      </c>
      <c r="AJ124" s="14">
        <f>AI124*VLOOKUP('Données projet'!$B$10,Paramètres!$A$1:$I$89,3,0)*VLOOKUP('Données projet'!$B$10,Paramètres!$A$1:$I$89,5,0)</f>
        <v>7.9808160080574461E-14</v>
      </c>
      <c r="AK124" s="14">
        <f t="shared" si="89"/>
        <v>1.2308384591775343E-12</v>
      </c>
      <c r="AL124" s="22">
        <f t="shared" si="58"/>
        <v>2.282709528541206E-12</v>
      </c>
      <c r="AM124" s="62">
        <f t="shared" si="59"/>
        <v>282.30289239218666</v>
      </c>
      <c r="AN124" s="62">
        <f ca="1">AVERAGE(OFFSET($AM$3,0,0,'Données projet'!$E$10+1,1))-AVERAGE(OFFSET($H$3,0,0,'Données projet'!$E$10+1,1))</f>
        <v>253.48761861464732</v>
      </c>
      <c r="AO124" s="62">
        <f t="shared" si="90"/>
        <v>219.50855998133855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83.537150869207935</v>
      </c>
      <c r="AV124" s="23">
        <f>EXP(-LN(2)/25)*AV123+(1-EXP(-LN(2)/25))/(LN(2)/25)*Calculateur!AQ124*Calculateur!AS124*VLOOKUP('Données projet'!$B$10,Paramètres!$A$1:$I$89,3,0)*0.475*44/12</f>
        <v>16.201706198970843</v>
      </c>
      <c r="AW124" s="23">
        <f>EXP(-LN(2)/2)*AW123+(1-EXP(-LN(2)/2))/(LN(2)/2)*AQ124*AT124*VLOOKUP('Données projet'!$B$10,Paramètres!$A$1:$I$89,3,0)*0.475*44/12</f>
        <v>1.6462739917459852E-2</v>
      </c>
      <c r="AX124" s="23">
        <f t="shared" si="60"/>
        <v>99.755319808096232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482.85256243111911</v>
      </c>
      <c r="BJ124" s="62">
        <f t="shared" si="92"/>
        <v>517.78430032567064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35.353650904069418</v>
      </c>
      <c r="BQ124" s="23">
        <f>EXP(-LN(2)/25)*BQ123+(1-EXP(-LN(2)/25))/(LN(2)/25)*Calculateur!BL124*Calculateur!BN124*VLOOKUP('Données projet'!$B$11,Paramètres!$A$1:$I$89,3,0)*0.475*44/12</f>
        <v>5.5502364623062848</v>
      </c>
      <c r="BR124" s="23">
        <f>EXP(-LN(2)/2)*BR123+(1-EXP(-LN(2)/2))/(LN(2)/2)*BL124*BO124*VLOOKUP('Données projet'!$B$11,Paramètres!$A$1:$I$89,3,0)*0.475*44/12</f>
        <v>3.836408153223314E-8</v>
      </c>
      <c r="BS124" s="24">
        <f t="shared" si="63"/>
        <v>40.903887404739784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>
        <f>BY124*VLOOKUP('Données projet'!$B$12,Paramètres!$A$1:$I$89,3,0)*VLOOKUP('Données projet'!$B$12,Paramètres!$A$1:$I$89,5,0)</f>
        <v>0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275.76900776033335</v>
      </c>
      <c r="CE124" s="62">
        <f t="shared" si="94"/>
        <v>299.36898480605191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33.880582116399871</v>
      </c>
      <c r="CL124" s="23">
        <f>EXP(-LN(2)/25)*CL123+(1-EXP(-LN(2)/25))/(LN(2)/25)*Calculateur!CG124*Calculateur!CI124*VLOOKUP('Données projet'!$B$12,Paramètres!$A$1:$I$89,3,0)*0.475*44/12</f>
        <v>5.3189766097101936</v>
      </c>
      <c r="CM124" s="23">
        <f>EXP(-LN(2)/2)*CM123+(1-EXP(-LN(2)/2))/(LN(2)/2)*CG124*CJ124*VLOOKUP('Données projet'!$B$12,Paramètres!$A$1:$I$89,3,0)*0.475*44/12</f>
        <v>3.6765578135056728E-8</v>
      </c>
      <c r="CN124" s="24">
        <f t="shared" si="66"/>
        <v>39.19955876287564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6.083333333333333</v>
      </c>
      <c r="CT124" s="13">
        <f>IF('Données projet'!$A$140&gt;35,CT123+CS124-DB123,IF(A124&lt;'Données projet'!$A$140,$CQ$205^A124,IF(A124='Données projet'!$A$140,'Données projet'!$B$140,CT123+CS124-DB123)))</f>
        <v>288.33333333333343</v>
      </c>
      <c r="CU124" s="18">
        <f>CT124*VLOOKUP('Données projet'!$B$13,Paramètres!$A$1:$I$89,3,0)*VLOOKUP('Données projet'!$B$13,Paramètres!$A$1:$I$89,5,0)</f>
        <v>314.86000000000013</v>
      </c>
      <c r="CV124" s="14">
        <f t="shared" si="95"/>
        <v>74.282870886537623</v>
      </c>
      <c r="CW124" s="22">
        <f t="shared" si="67"/>
        <v>677.75716679405321</v>
      </c>
      <c r="CX124" s="62">
        <f t="shared" si="68"/>
        <v>960.06005918623759</v>
      </c>
      <c r="CY124" s="62">
        <f ca="1">AVERAGE(OFFSET($CX$3,0,0,'Données projet'!$E$13+1,1))-AVERAGE(OFFSET($H$3,0,0,'Données projet'!$E$13+1,1))</f>
        <v>482.24068797679558</v>
      </c>
      <c r="CZ124" s="62">
        <f t="shared" si="96"/>
        <v>316.28941055521693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78.119016146263931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78.119016146263931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-1.7053025658242404E-13</v>
      </c>
      <c r="DP124" s="18">
        <f>DO124*VLOOKUP('Données projet'!$B$14,Paramètres!$A$1:$I$89,3,0)*VLOOKUP('Données projet'!$B$14,Paramètres!$A$1:$I$89,5,0)</f>
        <v>-1.383341441396624E-13</v>
      </c>
      <c r="DQ124" s="14" t="e">
        <f t="shared" si="97"/>
        <v>#NUM!</v>
      </c>
      <c r="DR124" s="22" t="e">
        <f t="shared" si="70"/>
        <v>#NUM!</v>
      </c>
      <c r="DS124" s="62" t="e">
        <f t="shared" si="71"/>
        <v>#NUM!</v>
      </c>
      <c r="DT124" s="62">
        <f ca="1">AVERAGE(OFFSET($DS$3,0,0,'Données projet'!$E$14+1,1))-AVERAGE(OFFSET($H$3,0,0,'Données projet'!$E$14+1,1))</f>
        <v>325.58538970226539</v>
      </c>
      <c r="DU124" s="62">
        <f t="shared" si="98"/>
        <v>361.81085660423457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42.3213357864161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42.3213357864161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4.8666666666666698</v>
      </c>
      <c r="EJ124" s="13">
        <f>IF('Données projet'!$A$192&gt;35,EJ123+EI124-ER123,IF(A124&lt;'Données projet'!$A$192,$EG$205^A124,IF(A124='Données projet'!$A$192,'Données projet'!$B$192,EJ123+EI124-ER123)))</f>
        <v>230.66666666666637</v>
      </c>
      <c r="EK124" s="18">
        <f>EJ124*VLOOKUP('Données projet'!$B$15,Paramètres!$A$1:$I$89,3,0)*VLOOKUP('Données projet'!$B$15,Paramètres!$A$1:$I$89,5,0)</f>
        <v>223.10079999999974</v>
      </c>
      <c r="EL124" s="14">
        <f t="shared" si="99"/>
        <v>54.788279320753041</v>
      </c>
      <c r="EM124" s="22">
        <f t="shared" si="73"/>
        <v>483.99014648364442</v>
      </c>
      <c r="EN124" s="62">
        <f t="shared" si="74"/>
        <v>766.29303887582887</v>
      </c>
      <c r="EO124" s="62">
        <f ca="1">AVERAGE(OFFSET($EN$3,0,0,'Données projet'!$E$15+1,1))-AVERAGE(OFFSET($H$3,0,0,'Données projet'!$E$15+1,1))</f>
        <v>364.22267539944085</v>
      </c>
      <c r="EP124" s="62">
        <f t="shared" si="100"/>
        <v>241.947139538615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55.352902869352761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55.352902869352761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-1.7053025658242404E-13</v>
      </c>
      <c r="FF124" s="18">
        <f>FE124*VLOOKUP('Données projet'!$B$16,Paramètres!$A$1:$I$89,3,0)*VLOOKUP('Données projet'!$B$16,Paramètres!$A$1:$I$89,5,0)</f>
        <v>-1.4897523215040567E-13</v>
      </c>
      <c r="FG124" s="14" t="e">
        <f t="shared" si="101"/>
        <v>#NUM!</v>
      </c>
      <c r="FH124" s="22" t="e">
        <f t="shared" si="76"/>
        <v>#NUM!</v>
      </c>
      <c r="FI124" s="62" t="e">
        <f t="shared" si="77"/>
        <v>#NUM!</v>
      </c>
      <c r="FJ124" s="62">
        <f ca="1">AVERAGE(OFFSET($FI$3,0,0,'Données projet'!$E$16+1,1))-AVERAGE(OFFSET($H$3,0,0,'Données projet'!$E$16+1,1))</f>
        <v>286.59837239471312</v>
      </c>
      <c r="FK124" s="62">
        <f t="shared" si="102"/>
        <v>319.26091328564689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36.733257667652325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36.733257667652325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-1.7053025658242404E-13</v>
      </c>
      <c r="GA124" s="18">
        <f>FZ124*VLOOKUP('Données projet'!$B$17,Paramètres!$A$1:$I$89,3,0)*VLOOKUP('Données projet'!$B$17,Paramètres!$A$1:$I$89,5,0)</f>
        <v>-1.1439169611549005E-13</v>
      </c>
      <c r="GB124" s="14" t="e">
        <f t="shared" si="103"/>
        <v>#NUM!</v>
      </c>
      <c r="GC124" s="22" t="e">
        <f t="shared" si="79"/>
        <v>#NUM!</v>
      </c>
      <c r="GD124" s="62" t="e">
        <f t="shared" si="80"/>
        <v>#NUM!</v>
      </c>
      <c r="GE124" s="62">
        <f ca="1">AVERAGE(OFFSET($GD$3,0,0,'Données projet'!$E$17+1,1))-AVERAGE(OFFSET($H$3,0,0,'Données projet'!$E$17+1,1))</f>
        <v>277.37570531842186</v>
      </c>
      <c r="GF124" s="62">
        <f t="shared" si="104"/>
        <v>310.00874200911312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projet'!$B$17,Paramètres!$A$1:$I$89,3,0)*0.475*44/12</f>
        <v>43.135207628462581</v>
      </c>
      <c r="GM124" s="23">
        <f>EXP(-LN(2)/25)*GM123+(1-EXP(-LN(2)/25))/(LN(2)/25)*Calculateur!GH124*Calculateur!GJ124*VLOOKUP('Données projet'!$B$17,Paramètres!$A$1:$I$89,3,0)*0.475*44/12</f>
        <v>0</v>
      </c>
      <c r="GN124" s="23">
        <f>EXP(-LN(2)/2)*GN123+(1-EXP(-LN(2)/2))/(LN(2)/2)*GH124*GK124*VLOOKUP('Données projet'!$B$17,Paramètres!$A$1:$I$89,3,0)*0.475*44/12</f>
        <v>0</v>
      </c>
      <c r="GO124" s="23">
        <f t="shared" si="81"/>
        <v>43.135207628462581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6.083333333333333</v>
      </c>
      <c r="N125" s="14">
        <f>IF('Données projet'!$A$36&gt;35,N124+M125-V124,IF(A125&lt;'Données projet'!$A$36,$K$205^A125,IF(A125='Données projet'!$A$36,'Données projet'!$B$36,N124+M125-V124)))</f>
        <v>294.41666666666674</v>
      </c>
      <c r="O125" s="14">
        <f>N125*VLOOKUP('Données projet'!$B$9,Paramètres!$A$1:$I$89,3,0)*VLOOKUP('Données projet'!$B$9,Paramètres!$A$1:$I$89,5,0)</f>
        <v>257.20240000000013</v>
      </c>
      <c r="P125" s="14">
        <f t="shared" si="87"/>
        <v>62.125667741613263</v>
      </c>
      <c r="Q125" s="22">
        <f t="shared" si="107"/>
        <v>556.1630513166433</v>
      </c>
      <c r="R125" s="62">
        <f t="shared" si="55"/>
        <v>838.65729719878505</v>
      </c>
      <c r="S125" s="62">
        <f ca="1">AVERAGE(OFFSET($R$3,0,0,'Données projet'!$E$9+1,1))-AVERAGE(OFFSET($H$3,0,0,'Données projet'!$E$9+1,1))</f>
        <v>401.34220206028908</v>
      </c>
      <c r="T125" s="62">
        <f t="shared" si="88"/>
        <v>265.33314259106987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61.269719910024577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61.269719910024577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1.7053025658242404E-13</v>
      </c>
      <c r="AJ125" s="14">
        <f>AI125*VLOOKUP('Données projet'!$B$10,Paramètres!$A$1:$I$89,3,0)*VLOOKUP('Données projet'!$B$10,Paramètres!$A$1:$I$89,5,0)</f>
        <v>7.9808160080574461E-14</v>
      </c>
      <c r="AK125" s="14">
        <f t="shared" si="89"/>
        <v>1.2308384591775343E-12</v>
      </c>
      <c r="AL125" s="22">
        <f t="shared" si="58"/>
        <v>2.282709528541206E-12</v>
      </c>
      <c r="AM125" s="62">
        <f t="shared" si="59"/>
        <v>282.49424588214407</v>
      </c>
      <c r="AN125" s="62">
        <f ca="1">AVERAGE(OFFSET($AM$3,0,0,'Données projet'!$E$10+1,1))-AVERAGE(OFFSET($H$3,0,0,'Données projet'!$E$10+1,1))</f>
        <v>253.48761861464732</v>
      </c>
      <c r="AO125" s="62">
        <f t="shared" si="90"/>
        <v>219.50855998133855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81.899038293293643</v>
      </c>
      <c r="AV125" s="23">
        <f>EXP(-LN(2)/25)*AV124+(1-EXP(-LN(2)/25))/(LN(2)/25)*Calculateur!AQ125*Calculateur!AS125*VLOOKUP('Données projet'!$B$10,Paramètres!$A$1:$I$89,3,0)*0.475*44/12</f>
        <v>15.758669690949286</v>
      </c>
      <c r="AW125" s="23">
        <f>EXP(-LN(2)/2)*AW124+(1-EXP(-LN(2)/2))/(LN(2)/2)*AQ125*AT125*VLOOKUP('Données projet'!$B$10,Paramètres!$A$1:$I$89,3,0)*0.475*44/12</f>
        <v>1.1640915032546325E-2</v>
      </c>
      <c r="AX125" s="23">
        <f t="shared" si="60"/>
        <v>97.669348899275477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482.85256243111911</v>
      </c>
      <c r="BJ125" s="62">
        <f t="shared" si="92"/>
        <v>517.78430032567064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34.660387373438439</v>
      </c>
      <c r="BQ125" s="23">
        <f>EXP(-LN(2)/25)*BQ124+(1-EXP(-LN(2)/25))/(LN(2)/25)*Calculateur!BL125*Calculateur!BN125*VLOOKUP('Données projet'!$B$11,Paramètres!$A$1:$I$89,3,0)*0.475*44/12</f>
        <v>5.3984649543702687</v>
      </c>
      <c r="BR125" s="23">
        <f>EXP(-LN(2)/2)*BR124+(1-EXP(-LN(2)/2))/(LN(2)/2)*BL125*BO125*VLOOKUP('Données projet'!$B$11,Paramètres!$A$1:$I$89,3,0)*0.475*44/12</f>
        <v>2.7127502205435649E-8</v>
      </c>
      <c r="BS125" s="24">
        <f t="shared" si="63"/>
        <v>40.058852354936214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>
        <f>BY125*VLOOKUP('Données projet'!$B$12,Paramètres!$A$1:$I$89,3,0)*VLOOKUP('Données projet'!$B$12,Paramètres!$A$1:$I$89,5,0)</f>
        <v>0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275.76900776033335</v>
      </c>
      <c r="CE125" s="62">
        <f t="shared" si="94"/>
        <v>299.36898480605191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33.21620456621185</v>
      </c>
      <c r="CL125" s="23">
        <f>EXP(-LN(2)/25)*CL124+(1-EXP(-LN(2)/25))/(LN(2)/25)*Calculateur!CG125*Calculateur!CI125*VLOOKUP('Données projet'!$B$12,Paramètres!$A$1:$I$89,3,0)*0.475*44/12</f>
        <v>5.1735289146048453</v>
      </c>
      <c r="CM125" s="23">
        <f>EXP(-LN(2)/2)*CM124+(1-EXP(-LN(2)/2))/(LN(2)/2)*CG125*CJ125*VLOOKUP('Données projet'!$B$12,Paramètres!$A$1:$I$89,3,0)*0.475*44/12</f>
        <v>2.5997189613542474E-8</v>
      </c>
      <c r="CN125" s="24">
        <f t="shared" si="66"/>
        <v>38.389733506813883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6.083333333333333</v>
      </c>
      <c r="CT125" s="13">
        <f>IF('Données projet'!$A$140&gt;35,CT124+CS125-DB124,IF(A125&lt;'Données projet'!$A$140,$CQ$205^A125,IF(A125='Données projet'!$A$140,'Données projet'!$B$140,CT124+CS125-DB124)))</f>
        <v>294.41666666666674</v>
      </c>
      <c r="CU125" s="18">
        <f>CT125*VLOOKUP('Données projet'!$B$13,Paramètres!$A$1:$I$89,3,0)*VLOOKUP('Données projet'!$B$13,Paramètres!$A$1:$I$89,5,0)</f>
        <v>321.50300000000004</v>
      </c>
      <c r="CV125" s="14">
        <f t="shared" si="95"/>
        <v>75.665996705080289</v>
      </c>
      <c r="CW125" s="22">
        <f t="shared" si="67"/>
        <v>691.73600259468151</v>
      </c>
      <c r="CX125" s="62">
        <f t="shared" si="68"/>
        <v>974.23024847682336</v>
      </c>
      <c r="CY125" s="62">
        <f ca="1">AVERAGE(OFFSET($CX$3,0,0,'Données projet'!$E$13+1,1))-AVERAGE(OFFSET($H$3,0,0,'Données projet'!$E$13+1,1))</f>
        <v>482.24068797679558</v>
      </c>
      <c r="CZ125" s="62">
        <f t="shared" si="96"/>
        <v>316.28941055521693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76.5871498875307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76.5871498875307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-1.7053025658242404E-13</v>
      </c>
      <c r="DP125" s="18">
        <f>DO125*VLOOKUP('Données projet'!$B$14,Paramètres!$A$1:$I$89,3,0)*VLOOKUP('Données projet'!$B$14,Paramètres!$A$1:$I$89,5,0)</f>
        <v>-1.383341441396624E-13</v>
      </c>
      <c r="DQ125" s="14" t="e">
        <f t="shared" si="97"/>
        <v>#NUM!</v>
      </c>
      <c r="DR125" s="22" t="e">
        <f t="shared" si="70"/>
        <v>#NUM!</v>
      </c>
      <c r="DS125" s="62" t="e">
        <f t="shared" si="71"/>
        <v>#NUM!</v>
      </c>
      <c r="DT125" s="62">
        <f ca="1">AVERAGE(OFFSET($DS$3,0,0,'Données projet'!$E$14+1,1))-AVERAGE(OFFSET($H$3,0,0,'Données projet'!$E$14+1,1))</f>
        <v>325.58538970226539</v>
      </c>
      <c r="DU125" s="62">
        <f t="shared" si="98"/>
        <v>361.81085660423457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41.491440205110443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41.491440205110443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4.8666666666666698</v>
      </c>
      <c r="EJ125" s="13">
        <f>IF('Données projet'!$A$192&gt;35,EJ124+EI125-ER124,IF(A125&lt;'Données projet'!$A$192,$EG$205^A125,IF(A125='Données projet'!$A$192,'Données projet'!$B$192,EJ124+EI125-ER124)))</f>
        <v>235.53333333333305</v>
      </c>
      <c r="EK125" s="18">
        <f>EJ125*VLOOKUP('Données projet'!$B$15,Paramètres!$A$1:$I$89,3,0)*VLOOKUP('Données projet'!$B$15,Paramètres!$A$1:$I$89,5,0)</f>
        <v>227.80783999999974</v>
      </c>
      <c r="EL125" s="14">
        <f t="shared" si="99"/>
        <v>55.808421417816156</v>
      </c>
      <c r="EM125" s="22">
        <f t="shared" si="73"/>
        <v>493.96498863602937</v>
      </c>
      <c r="EN125" s="62">
        <f t="shared" si="74"/>
        <v>776.45923451817112</v>
      </c>
      <c r="EO125" s="62">
        <f ca="1">AVERAGE(OFFSET($EN$3,0,0,'Données projet'!$E$15+1,1))-AVERAGE(OFFSET($H$3,0,0,'Données projet'!$E$15+1,1))</f>
        <v>364.22267539944085</v>
      </c>
      <c r="EP125" s="62">
        <f t="shared" si="100"/>
        <v>241.947139538615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54.267466206021787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54.267466206021787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-1.7053025658242404E-13</v>
      </c>
      <c r="FF125" s="18">
        <f>FE125*VLOOKUP('Données projet'!$B$16,Paramètres!$A$1:$I$89,3,0)*VLOOKUP('Données projet'!$B$16,Paramètres!$A$1:$I$89,5,0)</f>
        <v>-1.4897523215040567E-13</v>
      </c>
      <c r="FG125" s="14" t="e">
        <f t="shared" si="101"/>
        <v>#NUM!</v>
      </c>
      <c r="FH125" s="22" t="e">
        <f t="shared" si="76"/>
        <v>#NUM!</v>
      </c>
      <c r="FI125" s="62" t="e">
        <f t="shared" si="77"/>
        <v>#NUM!</v>
      </c>
      <c r="FJ125" s="62">
        <f ca="1">AVERAGE(OFFSET($FI$3,0,0,'Données projet'!$E$16+1,1))-AVERAGE(OFFSET($H$3,0,0,'Données projet'!$E$16+1,1))</f>
        <v>286.59837239471312</v>
      </c>
      <c r="FK125" s="62">
        <f t="shared" si="102"/>
        <v>319.26091328564689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36.012940889864524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36.012940889864524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-1.7053025658242404E-13</v>
      </c>
      <c r="GA125" s="18">
        <f>FZ125*VLOOKUP('Données projet'!$B$17,Paramètres!$A$1:$I$89,3,0)*VLOOKUP('Données projet'!$B$17,Paramètres!$A$1:$I$89,5,0)</f>
        <v>-1.1439169611549005E-13</v>
      </c>
      <c r="GB125" s="14" t="e">
        <f t="shared" si="103"/>
        <v>#NUM!</v>
      </c>
      <c r="GC125" s="22" t="e">
        <f t="shared" si="79"/>
        <v>#NUM!</v>
      </c>
      <c r="GD125" s="62" t="e">
        <f t="shared" si="80"/>
        <v>#NUM!</v>
      </c>
      <c r="GE125" s="62">
        <f ca="1">AVERAGE(OFFSET($GD$3,0,0,'Données projet'!$E$17+1,1))-AVERAGE(OFFSET($H$3,0,0,'Données projet'!$E$17+1,1))</f>
        <v>277.37570531842186</v>
      </c>
      <c r="GF125" s="62">
        <f t="shared" si="104"/>
        <v>310.00874200911312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projet'!$B$17,Paramètres!$A$1:$I$89,3,0)*0.475*44/12</f>
        <v>42.289352516747201</v>
      </c>
      <c r="GM125" s="23">
        <f>EXP(-LN(2)/25)*GM124+(1-EXP(-LN(2)/25))/(LN(2)/25)*Calculateur!GH125*Calculateur!GJ125*VLOOKUP('Données projet'!$B$17,Paramètres!$A$1:$I$89,3,0)*0.475*44/12</f>
        <v>0</v>
      </c>
      <c r="GN125" s="23">
        <f>EXP(-LN(2)/2)*GN124+(1-EXP(-LN(2)/2))/(LN(2)/2)*GH125*GK125*VLOOKUP('Données projet'!$B$17,Paramètres!$A$1:$I$89,3,0)*0.475*44/12</f>
        <v>0</v>
      </c>
      <c r="GO125" s="23">
        <f t="shared" si="81"/>
        <v>42.289352516747201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6.083333333333333</v>
      </c>
      <c r="N126" s="14">
        <f>IF('Données projet'!$A$36&gt;35,N125+M126-V125,IF(A126&lt;'Données projet'!$A$36,$K$205^A126,IF(A126='Données projet'!$A$36,'Données projet'!$B$36,N125+M126-V125)))</f>
        <v>300.50000000000006</v>
      </c>
      <c r="O126" s="14">
        <f>N126*VLOOKUP('Données projet'!$B$9,Paramètres!$A$1:$I$89,3,0)*VLOOKUP('Données projet'!$B$9,Paramètres!$A$1:$I$89,5,0)</f>
        <v>262.5168000000001</v>
      </c>
      <c r="P126" s="14">
        <f t="shared" si="87"/>
        <v>63.258556853186107</v>
      </c>
      <c r="Q126" s="22">
        <f t="shared" si="107"/>
        <v>567.39207985263261</v>
      </c>
      <c r="R126" s="62">
        <f t="shared" si="55"/>
        <v>850.07435966948333</v>
      </c>
      <c r="S126" s="62">
        <f ca="1">AVERAGE(OFFSET($R$3,0,0,'Données projet'!$E$9+1,1))-AVERAGE(OFFSET($H$3,0,0,'Données projet'!$E$9+1,1))</f>
        <v>401.34220206028908</v>
      </c>
      <c r="T126" s="62">
        <f t="shared" si="88"/>
        <v>265.33314259106987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60.068258073428076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60.068258073428076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1.7053025658242404E-13</v>
      </c>
      <c r="AJ126" s="14">
        <f>AI126*VLOOKUP('Données projet'!$B$10,Paramètres!$A$1:$I$89,3,0)*VLOOKUP('Données projet'!$B$10,Paramètres!$A$1:$I$89,5,0)</f>
        <v>7.9808160080574461E-14</v>
      </c>
      <c r="AK126" s="14">
        <f t="shared" si="89"/>
        <v>1.2308384591775343E-12</v>
      </c>
      <c r="AL126" s="22">
        <f t="shared" si="58"/>
        <v>2.282709528541206E-12</v>
      </c>
      <c r="AM126" s="62">
        <f t="shared" si="59"/>
        <v>282.68227981685294</v>
      </c>
      <c r="AN126" s="62">
        <f ca="1">AVERAGE(OFFSET($AM$3,0,0,'Données projet'!$E$10+1,1))-AVERAGE(OFFSET($H$3,0,0,'Données projet'!$E$10+1,1))</f>
        <v>253.48761861464732</v>
      </c>
      <c r="AO126" s="62">
        <f t="shared" si="90"/>
        <v>219.50855998133855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80.293048105843013</v>
      </c>
      <c r="AV126" s="23">
        <f>EXP(-LN(2)/25)*AV125+(1-EXP(-LN(2)/25))/(LN(2)/25)*Calculateur!AQ126*Calculateur!AS126*VLOOKUP('Données projet'!$B$10,Paramètres!$A$1:$I$89,3,0)*0.475*44/12</f>
        <v>15.327748039537855</v>
      </c>
      <c r="AW126" s="23">
        <f>EXP(-LN(2)/2)*AW125+(1-EXP(-LN(2)/2))/(LN(2)/2)*AQ126*AT126*VLOOKUP('Données projet'!$B$10,Paramètres!$A$1:$I$89,3,0)*0.475*44/12</f>
        <v>8.2313699587299258E-3</v>
      </c>
      <c r="AX126" s="23">
        <f t="shared" si="60"/>
        <v>95.629027515339601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482.85256243111911</v>
      </c>
      <c r="BJ126" s="62">
        <f t="shared" si="92"/>
        <v>517.78430032567064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33.980718317794135</v>
      </c>
      <c r="BQ126" s="23">
        <f>EXP(-LN(2)/25)*BQ125+(1-EXP(-LN(2)/25))/(LN(2)/25)*Calculateur!BL126*Calculateur!BN126*VLOOKUP('Données projet'!$B$11,Paramètres!$A$1:$I$89,3,0)*0.475*44/12</f>
        <v>5.2508436463000798</v>
      </c>
      <c r="BR126" s="23">
        <f>EXP(-LN(2)/2)*BR125+(1-EXP(-LN(2)/2))/(LN(2)/2)*BL126*BO126*VLOOKUP('Données projet'!$B$11,Paramètres!$A$1:$I$89,3,0)*0.475*44/12</f>
        <v>1.918204076611657E-8</v>
      </c>
      <c r="BS126" s="24">
        <f t="shared" si="63"/>
        <v>39.231561983276251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>
        <f>BY126*VLOOKUP('Données projet'!$B$12,Paramètres!$A$1:$I$89,3,0)*VLOOKUP('Données projet'!$B$12,Paramètres!$A$1:$I$89,5,0)</f>
        <v>0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275.76900776033335</v>
      </c>
      <c r="CE126" s="62">
        <f t="shared" si="94"/>
        <v>299.36898480605191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32.564855054552723</v>
      </c>
      <c r="CL126" s="23">
        <f>EXP(-LN(2)/25)*CL125+(1-EXP(-LN(2)/25))/(LN(2)/25)*Calculateur!CG126*Calculateur!CI126*VLOOKUP('Données projet'!$B$12,Paramètres!$A$1:$I$89,3,0)*0.475*44/12</f>
        <v>5.0320584943709141</v>
      </c>
      <c r="CM126" s="23">
        <f>EXP(-LN(2)/2)*CM125+(1-EXP(-LN(2)/2))/(LN(2)/2)*CG126*CJ126*VLOOKUP('Données projet'!$B$12,Paramètres!$A$1:$I$89,3,0)*0.475*44/12</f>
        <v>1.8382789067528364E-8</v>
      </c>
      <c r="CN126" s="24">
        <f t="shared" si="66"/>
        <v>37.59691356730643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6.083333333333333</v>
      </c>
      <c r="CT126" s="13">
        <f>IF('Données projet'!$A$140&gt;35,CT125+CS126-DB125,IF(A126&lt;'Données projet'!$A$140,$CQ$205^A126,IF(A126='Données projet'!$A$140,'Données projet'!$B$140,CT125+CS126-DB125)))</f>
        <v>300.50000000000006</v>
      </c>
      <c r="CU126" s="18">
        <f>CT126*VLOOKUP('Données projet'!$B$13,Paramètres!$A$1:$I$89,3,0)*VLOOKUP('Données projet'!$B$13,Paramètres!$A$1:$I$89,5,0)</f>
        <v>328.14600000000007</v>
      </c>
      <c r="CV126" s="14">
        <f t="shared" si="95"/>
        <v>77.045799722087935</v>
      </c>
      <c r="CW126" s="22">
        <f t="shared" si="67"/>
        <v>705.7090511826367</v>
      </c>
      <c r="CX126" s="62">
        <f t="shared" si="68"/>
        <v>988.39133099948731</v>
      </c>
      <c r="CY126" s="62">
        <f ca="1">AVERAGE(OFFSET($CX$3,0,0,'Données projet'!$E$13+1,1))-AVERAGE(OFFSET($H$3,0,0,'Données projet'!$E$13+1,1))</f>
        <v>482.24068797679558</v>
      </c>
      <c r="CZ126" s="62">
        <f t="shared" si="96"/>
        <v>316.28941055521693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75.085322591785072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75.085322591785072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-1.7053025658242404E-13</v>
      </c>
      <c r="DP126" s="18">
        <f>DO126*VLOOKUP('Données projet'!$B$14,Paramètres!$A$1:$I$89,3,0)*VLOOKUP('Données projet'!$B$14,Paramètres!$A$1:$I$89,5,0)</f>
        <v>-1.383341441396624E-13</v>
      </c>
      <c r="DQ126" s="14" t="e">
        <f t="shared" si="97"/>
        <v>#NUM!</v>
      </c>
      <c r="DR126" s="22" t="e">
        <f t="shared" si="70"/>
        <v>#NUM!</v>
      </c>
      <c r="DS126" s="62" t="e">
        <f t="shared" si="71"/>
        <v>#NUM!</v>
      </c>
      <c r="DT126" s="62">
        <f ca="1">AVERAGE(OFFSET($DS$3,0,0,'Données projet'!$E$14+1,1))-AVERAGE(OFFSET($H$3,0,0,'Données projet'!$E$14+1,1))</f>
        <v>325.58538970226539</v>
      </c>
      <c r="DU126" s="62">
        <f t="shared" si="98"/>
        <v>361.81085660423457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40.677818369967866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40.677818369967866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4.8666666666666698</v>
      </c>
      <c r="EJ126" s="13">
        <f>IF('Données projet'!$A$192&gt;35,EJ125+EI126-ER125,IF(A126&lt;'Données projet'!$A$192,$EG$205^A126,IF(A126='Données projet'!$A$192,'Données projet'!$B$192,EJ125+EI126-ER125)))</f>
        <v>240.39999999999972</v>
      </c>
      <c r="EK126" s="18">
        <f>EJ126*VLOOKUP('Données projet'!$B$15,Paramètres!$A$1:$I$89,3,0)*VLOOKUP('Données projet'!$B$15,Paramètres!$A$1:$I$89,5,0)</f>
        <v>232.51487999999975</v>
      </c>
      <c r="EL126" s="14">
        <f t="shared" si="99"/>
        <v>56.826112740205971</v>
      </c>
      <c r="EM126" s="22">
        <f t="shared" si="73"/>
        <v>503.93556235585828</v>
      </c>
      <c r="EN126" s="62">
        <f t="shared" si="74"/>
        <v>786.61784217270895</v>
      </c>
      <c r="EO126" s="62">
        <f ca="1">AVERAGE(OFFSET($EN$3,0,0,'Données projet'!$E$15+1,1))-AVERAGE(OFFSET($H$3,0,0,'Données projet'!$E$15+1,1))</f>
        <v>364.22267539944085</v>
      </c>
      <c r="EP126" s="62">
        <f t="shared" si="100"/>
        <v>241.947139538615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53.20331429360774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53.20331429360774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-1.7053025658242404E-13</v>
      </c>
      <c r="FF126" s="18">
        <f>FE126*VLOOKUP('Données projet'!$B$16,Paramètres!$A$1:$I$89,3,0)*VLOOKUP('Données projet'!$B$16,Paramètres!$A$1:$I$89,5,0)</f>
        <v>-1.4897523215040567E-13</v>
      </c>
      <c r="FG126" s="14" t="e">
        <f t="shared" si="101"/>
        <v>#NUM!</v>
      </c>
      <c r="FH126" s="22" t="e">
        <f t="shared" si="76"/>
        <v>#NUM!</v>
      </c>
      <c r="FI126" s="62" t="e">
        <f t="shared" si="77"/>
        <v>#NUM!</v>
      </c>
      <c r="FJ126" s="62">
        <f ca="1">AVERAGE(OFFSET($FI$3,0,0,'Données projet'!$E$16+1,1))-AVERAGE(OFFSET($H$3,0,0,'Données projet'!$E$16+1,1))</f>
        <v>286.59837239471312</v>
      </c>
      <c r="FK126" s="62">
        <f t="shared" si="102"/>
        <v>319.26091328564689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35.306749084739288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35.306749084739288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-1.7053025658242404E-13</v>
      </c>
      <c r="GA126" s="18">
        <f>FZ126*VLOOKUP('Données projet'!$B$17,Paramètres!$A$1:$I$89,3,0)*VLOOKUP('Données projet'!$B$17,Paramètres!$A$1:$I$89,5,0)</f>
        <v>-1.1439169611549005E-13</v>
      </c>
      <c r="GB126" s="14" t="e">
        <f t="shared" si="103"/>
        <v>#NUM!</v>
      </c>
      <c r="GC126" s="22" t="e">
        <f t="shared" si="79"/>
        <v>#NUM!</v>
      </c>
      <c r="GD126" s="62" t="e">
        <f t="shared" si="80"/>
        <v>#NUM!</v>
      </c>
      <c r="GE126" s="62">
        <f ca="1">AVERAGE(OFFSET($GD$3,0,0,'Données projet'!$E$17+1,1))-AVERAGE(OFFSET($H$3,0,0,'Données projet'!$E$17+1,1))</f>
        <v>277.37570531842186</v>
      </c>
      <c r="GF126" s="62">
        <f t="shared" si="104"/>
        <v>310.00874200911312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projet'!$B$17,Paramètres!$A$1:$I$89,3,0)*0.475*44/12</f>
        <v>41.460084107851884</v>
      </c>
      <c r="GM126" s="23">
        <f>EXP(-LN(2)/25)*GM125+(1-EXP(-LN(2)/25))/(LN(2)/25)*Calculateur!GH126*Calculateur!GJ126*VLOOKUP('Données projet'!$B$17,Paramètres!$A$1:$I$89,3,0)*0.475*44/12</f>
        <v>0</v>
      </c>
      <c r="GN126" s="23">
        <f>EXP(-LN(2)/2)*GN125+(1-EXP(-LN(2)/2))/(LN(2)/2)*GH126*GK126*VLOOKUP('Données projet'!$B$17,Paramètres!$A$1:$I$89,3,0)*0.475*44/12</f>
        <v>0</v>
      </c>
      <c r="GO126" s="23">
        <f t="shared" si="81"/>
        <v>41.460084107851884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6.083333333333333</v>
      </c>
      <c r="N127" s="14">
        <f>IF('Données projet'!$A$36&gt;35,N126+M127-V126,IF(A127&lt;'Données projet'!$A$36,$K$205^A127,IF(A127='Données projet'!$A$36,'Données projet'!$B$36,N126+M127-V126)))</f>
        <v>306.58333333333337</v>
      </c>
      <c r="O127" s="14">
        <f>N127*VLOOKUP('Données projet'!$B$9,Paramètres!$A$1:$I$89,3,0)*VLOOKUP('Données projet'!$B$9,Paramètres!$A$1:$I$89,5,0)</f>
        <v>267.83120000000008</v>
      </c>
      <c r="P127" s="14">
        <f t="shared" si="87"/>
        <v>64.388779368338831</v>
      </c>
      <c r="Q127" s="22">
        <f t="shared" si="107"/>
        <v>578.61646406652358</v>
      </c>
      <c r="R127" s="62">
        <f t="shared" si="55"/>
        <v>861.48351584969691</v>
      </c>
      <c r="S127" s="62">
        <f ca="1">AVERAGE(OFFSET($R$3,0,0,'Données projet'!$E$9+1,1))-AVERAGE(OFFSET($H$3,0,0,'Données projet'!$E$9+1,1))</f>
        <v>401.34220206028908</v>
      </c>
      <c r="T127" s="62">
        <f t="shared" si="88"/>
        <v>265.33314259106987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58.890356170627875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58.890356170627875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1.7053025658242404E-13</v>
      </c>
      <c r="AJ127" s="14">
        <f>AI127*VLOOKUP('Données projet'!$B$10,Paramètres!$A$1:$I$89,3,0)*VLOOKUP('Données projet'!$B$10,Paramètres!$A$1:$I$89,5,0)</f>
        <v>7.9808160080574461E-14</v>
      </c>
      <c r="AK127" s="14">
        <f t="shared" si="89"/>
        <v>1.2308384591775343E-12</v>
      </c>
      <c r="AL127" s="22">
        <f t="shared" si="58"/>
        <v>2.282709528541206E-12</v>
      </c>
      <c r="AM127" s="62">
        <f t="shared" si="59"/>
        <v>282.86705178317561</v>
      </c>
      <c r="AN127" s="62">
        <f ca="1">AVERAGE(OFFSET($AM$3,0,0,'Données projet'!$E$10+1,1))-AVERAGE(OFFSET($H$3,0,0,'Données projet'!$E$10+1,1))</f>
        <v>253.48761861464732</v>
      </c>
      <c r="AO127" s="62">
        <f t="shared" si="90"/>
        <v>219.50855998133855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78.718550406410998</v>
      </c>
      <c r="AV127" s="23">
        <f>EXP(-LN(2)/25)*AV126+(1-EXP(-LN(2)/25))/(LN(2)/25)*Calculateur!AQ127*Calculateur!AS127*VLOOKUP('Données projet'!$B$10,Paramètres!$A$1:$I$89,3,0)*0.475*44/12</f>
        <v>14.908609963345455</v>
      </c>
      <c r="AW127" s="23">
        <f>EXP(-LN(2)/2)*AW126+(1-EXP(-LN(2)/2))/(LN(2)/2)*AQ127*AT127*VLOOKUP('Données projet'!$B$10,Paramètres!$A$1:$I$89,3,0)*0.475*44/12</f>
        <v>5.8204575162731625E-3</v>
      </c>
      <c r="AX127" s="23">
        <f t="shared" si="60"/>
        <v>93.632980827272732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482.85256243111911</v>
      </c>
      <c r="BJ127" s="62">
        <f t="shared" si="92"/>
        <v>517.78430032567064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33.314377157773826</v>
      </c>
      <c r="BQ127" s="23">
        <f>EXP(-LN(2)/25)*BQ126+(1-EXP(-LN(2)/25))/(LN(2)/25)*Calculateur!BL127*Calculateur!BN127*VLOOKUP('Données projet'!$B$11,Paramètres!$A$1:$I$89,3,0)*0.475*44/12</f>
        <v>5.1072590506621376</v>
      </c>
      <c r="BR127" s="23">
        <f>EXP(-LN(2)/2)*BR126+(1-EXP(-LN(2)/2))/(LN(2)/2)*BL127*BO127*VLOOKUP('Données projet'!$B$11,Paramètres!$A$1:$I$89,3,0)*0.475*44/12</f>
        <v>1.3563751102717824E-8</v>
      </c>
      <c r="BS127" s="24">
        <f t="shared" si="63"/>
        <v>38.421636221999712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>
        <f>BY127*VLOOKUP('Données projet'!$B$12,Paramètres!$A$1:$I$89,3,0)*VLOOKUP('Données projet'!$B$12,Paramètres!$A$1:$I$89,5,0)</f>
        <v>0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275.76900776033335</v>
      </c>
      <c r="CE127" s="62">
        <f t="shared" si="94"/>
        <v>299.36898480605191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31.926278109533257</v>
      </c>
      <c r="CL127" s="23">
        <f>EXP(-LN(2)/25)*CL126+(1-EXP(-LN(2)/25))/(LN(2)/25)*Calculateur!CG127*Calculateur!CI127*VLOOKUP('Données projet'!$B$12,Paramètres!$A$1:$I$89,3,0)*0.475*44/12</f>
        <v>4.894456590217886</v>
      </c>
      <c r="CM127" s="23">
        <f>EXP(-LN(2)/2)*CM126+(1-EXP(-LN(2)/2))/(LN(2)/2)*CG127*CJ127*VLOOKUP('Données projet'!$B$12,Paramètres!$A$1:$I$89,3,0)*0.475*44/12</f>
        <v>1.2998594806771237E-8</v>
      </c>
      <c r="CN127" s="24">
        <f t="shared" si="66"/>
        <v>36.82073471274974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6.083333333333333</v>
      </c>
      <c r="CT127" s="13">
        <f>IF('Données projet'!$A$140&gt;35,CT126+CS127-DB126,IF(A127&lt;'Données projet'!$A$140,$CQ$205^A127,IF(A127='Données projet'!$A$140,'Données projet'!$B$140,CT126+CS127-DB126)))</f>
        <v>306.58333333333337</v>
      </c>
      <c r="CU127" s="18">
        <f>CT127*VLOOKUP('Données projet'!$B$13,Paramètres!$A$1:$I$89,3,0)*VLOOKUP('Données projet'!$B$13,Paramètres!$A$1:$I$89,5,0)</f>
        <v>334.78900000000004</v>
      </c>
      <c r="CV127" s="14">
        <f t="shared" si="95"/>
        <v>78.422354956282547</v>
      </c>
      <c r="CW127" s="22">
        <f t="shared" si="67"/>
        <v>719.67644321552552</v>
      </c>
      <c r="CX127" s="62">
        <f t="shared" si="68"/>
        <v>1002.5434949986989</v>
      </c>
      <c r="CY127" s="62">
        <f ca="1">AVERAGE(OFFSET($CX$3,0,0,'Données projet'!$E$13+1,1))-AVERAGE(OFFSET($H$3,0,0,'Données projet'!$E$13+1,1))</f>
        <v>482.24068797679558</v>
      </c>
      <c r="CZ127" s="62">
        <f t="shared" si="96"/>
        <v>316.28941055521693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73.612945213284817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73.612945213284817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-1.7053025658242404E-13</v>
      </c>
      <c r="DP127" s="18">
        <f>DO127*VLOOKUP('Données projet'!$B$14,Paramètres!$A$1:$I$89,3,0)*VLOOKUP('Données projet'!$B$14,Paramètres!$A$1:$I$89,5,0)</f>
        <v>-1.383341441396624E-13</v>
      </c>
      <c r="DQ127" s="14" t="e">
        <f t="shared" si="97"/>
        <v>#NUM!</v>
      </c>
      <c r="DR127" s="22" t="e">
        <f t="shared" si="70"/>
        <v>#NUM!</v>
      </c>
      <c r="DS127" s="62" t="e">
        <f t="shared" si="71"/>
        <v>#NUM!</v>
      </c>
      <c r="DT127" s="62">
        <f ca="1">AVERAGE(OFFSET($DS$3,0,0,'Données projet'!$E$14+1,1))-AVERAGE(OFFSET($H$3,0,0,'Données projet'!$E$14+1,1))</f>
        <v>325.58538970226539</v>
      </c>
      <c r="DU127" s="62">
        <f t="shared" si="98"/>
        <v>361.81085660423457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39.880151162752121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39.880151162752121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4.8666666666666698</v>
      </c>
      <c r="EJ127" s="13">
        <f>IF('Données projet'!$A$192&gt;35,EJ126+EI127-ER126,IF(A127&lt;'Données projet'!$A$192,$EG$205^A127,IF(A127='Données projet'!$A$192,'Données projet'!$B$192,EJ126+EI127-ER126)))</f>
        <v>245.2666666666664</v>
      </c>
      <c r="EK127" s="18">
        <f>EJ127*VLOOKUP('Données projet'!$B$15,Paramètres!$A$1:$I$89,3,0)*VLOOKUP('Données projet'!$B$15,Paramètres!$A$1:$I$89,5,0)</f>
        <v>237.22191999999976</v>
      </c>
      <c r="EL127" s="14">
        <f t="shared" si="99"/>
        <v>57.841408618938189</v>
      </c>
      <c r="EM127" s="22">
        <f t="shared" si="73"/>
        <v>513.90196401131686</v>
      </c>
      <c r="EN127" s="62">
        <f t="shared" si="74"/>
        <v>796.7690157944902</v>
      </c>
      <c r="EO127" s="62">
        <f ca="1">AVERAGE(OFFSET($EN$3,0,0,'Données projet'!$E$15+1,1))-AVERAGE(OFFSET($H$3,0,0,'Données projet'!$E$15+1,1))</f>
        <v>364.22267539944085</v>
      </c>
      <c r="EP127" s="62">
        <f t="shared" si="100"/>
        <v>241.947139538615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52.16002975112756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52.16002975112756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-1.7053025658242404E-13</v>
      </c>
      <c r="FF127" s="18">
        <f>FE127*VLOOKUP('Données projet'!$B$16,Paramètres!$A$1:$I$89,3,0)*VLOOKUP('Données projet'!$B$16,Paramètres!$A$1:$I$89,5,0)</f>
        <v>-1.4897523215040567E-13</v>
      </c>
      <c r="FG127" s="14" t="e">
        <f t="shared" si="101"/>
        <v>#NUM!</v>
      </c>
      <c r="FH127" s="22" t="e">
        <f t="shared" si="76"/>
        <v>#NUM!</v>
      </c>
      <c r="FI127" s="62" t="e">
        <f t="shared" si="77"/>
        <v>#NUM!</v>
      </c>
      <c r="FJ127" s="62">
        <f ca="1">AVERAGE(OFFSET($FI$3,0,0,'Données projet'!$E$16+1,1))-AVERAGE(OFFSET($H$3,0,0,'Données projet'!$E$16+1,1))</f>
        <v>286.59837239471312</v>
      </c>
      <c r="FK127" s="62">
        <f t="shared" si="102"/>
        <v>319.26091328564689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34.614405270178089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34.614405270178089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-1.7053025658242404E-13</v>
      </c>
      <c r="GA127" s="18">
        <f>FZ127*VLOOKUP('Données projet'!$B$17,Paramètres!$A$1:$I$89,3,0)*VLOOKUP('Données projet'!$B$17,Paramètres!$A$1:$I$89,5,0)</f>
        <v>-1.1439169611549005E-13</v>
      </c>
      <c r="GB127" s="14" t="e">
        <f t="shared" si="103"/>
        <v>#NUM!</v>
      </c>
      <c r="GC127" s="22" t="e">
        <f t="shared" si="79"/>
        <v>#NUM!</v>
      </c>
      <c r="GD127" s="62" t="e">
        <f t="shared" si="80"/>
        <v>#NUM!</v>
      </c>
      <c r="GE127" s="62">
        <f ca="1">AVERAGE(OFFSET($GD$3,0,0,'Données projet'!$E$17+1,1))-AVERAGE(OFFSET($H$3,0,0,'Données projet'!$E$17+1,1))</f>
        <v>277.37570531842186</v>
      </c>
      <c r="GF127" s="62">
        <f t="shared" si="104"/>
        <v>310.00874200911312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projet'!$B$17,Paramètres!$A$1:$I$89,3,0)*0.475*44/12</f>
        <v>40.647077146651213</v>
      </c>
      <c r="GM127" s="23">
        <f>EXP(-LN(2)/25)*GM126+(1-EXP(-LN(2)/25))/(LN(2)/25)*Calculateur!GH127*Calculateur!GJ127*VLOOKUP('Données projet'!$B$17,Paramètres!$A$1:$I$89,3,0)*0.475*44/12</f>
        <v>0</v>
      </c>
      <c r="GN127" s="23">
        <f>EXP(-LN(2)/2)*GN126+(1-EXP(-LN(2)/2))/(LN(2)/2)*GH127*GK127*VLOOKUP('Données projet'!$B$17,Paramètres!$A$1:$I$89,3,0)*0.475*44/12</f>
        <v>0</v>
      </c>
      <c r="GO127" s="23">
        <f t="shared" si="81"/>
        <v>40.647077146651213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6.083333333333333</v>
      </c>
      <c r="N128" s="14">
        <f>IF('Données projet'!$A$36&gt;35,N127+M128-V127,IF(A128&lt;'Données projet'!$A$36,$K$205^A128,IF(A128='Données projet'!$A$36,'Données projet'!$B$36,N127+M128-V127)))</f>
        <v>312.66666666666669</v>
      </c>
      <c r="O128" s="14">
        <f>N128*VLOOKUP('Données projet'!$B$9,Paramètres!$A$1:$I$89,3,0)*VLOOKUP('Données projet'!$B$9,Paramètres!$A$1:$I$89,5,0)</f>
        <v>273.14560000000006</v>
      </c>
      <c r="P128" s="14">
        <f t="shared" si="87"/>
        <v>65.51639429716046</v>
      </c>
      <c r="Q128" s="22">
        <f t="shared" si="107"/>
        <v>589.83630673422124</v>
      </c>
      <c r="R128" s="62">
        <f t="shared" si="55"/>
        <v>872.88492510318974</v>
      </c>
      <c r="S128" s="62">
        <f ca="1">AVERAGE(OFFSET($R$3,0,0,'Données projet'!$E$9+1,1))-AVERAGE(OFFSET($H$3,0,0,'Données projet'!$E$9+1,1))</f>
        <v>401.34220206028908</v>
      </c>
      <c r="T128" s="62">
        <f t="shared" si="88"/>
        <v>265.33314259106987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57.735552205692365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57.735552205692365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1.7053025658242404E-13</v>
      </c>
      <c r="AJ128" s="14">
        <f>AI128*VLOOKUP('Données projet'!$B$10,Paramètres!$A$1:$I$89,3,0)*VLOOKUP('Données projet'!$B$10,Paramètres!$A$1:$I$89,5,0)</f>
        <v>7.9808160080574461E-14</v>
      </c>
      <c r="AK128" s="14">
        <f t="shared" si="89"/>
        <v>1.2308384591775343E-12</v>
      </c>
      <c r="AL128" s="22">
        <f t="shared" si="58"/>
        <v>2.282709528541206E-12</v>
      </c>
      <c r="AM128" s="62">
        <f t="shared" si="59"/>
        <v>283.04861836897078</v>
      </c>
      <c r="AN128" s="62">
        <f ca="1">AVERAGE(OFFSET($AM$3,0,0,'Données projet'!$E$10+1,1))-AVERAGE(OFFSET($H$3,0,0,'Données projet'!$E$10+1,1))</f>
        <v>253.48761861464732</v>
      </c>
      <c r="AO128" s="62">
        <f t="shared" si="90"/>
        <v>219.50855998133855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77.174927646516082</v>
      </c>
      <c r="AV128" s="23">
        <f>EXP(-LN(2)/25)*AV127+(1-EXP(-LN(2)/25))/(LN(2)/25)*Calculateur!AQ128*Calculateur!AS128*VLOOKUP('Données projet'!$B$10,Paramètres!$A$1:$I$89,3,0)*0.475*44/12</f>
        <v>14.500933239888051</v>
      </c>
      <c r="AW128" s="23">
        <f>EXP(-LN(2)/2)*AW127+(1-EXP(-LN(2)/2))/(LN(2)/2)*AQ128*AT128*VLOOKUP('Données projet'!$B$10,Paramètres!$A$1:$I$89,3,0)*0.475*44/12</f>
        <v>4.1156849793649629E-3</v>
      </c>
      <c r="AX128" s="23">
        <f t="shared" si="60"/>
        <v>91.679976571383506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482.85256243111911</v>
      </c>
      <c r="BJ128" s="62">
        <f t="shared" si="92"/>
        <v>517.78430032567064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32.661102541473539</v>
      </c>
      <c r="BQ128" s="23">
        <f>EXP(-LN(2)/25)*BQ127+(1-EXP(-LN(2)/25))/(LN(2)/25)*Calculateur!BL128*Calculateur!BN128*VLOOKUP('Données projet'!$B$11,Paramètres!$A$1:$I$89,3,0)*0.475*44/12</f>
        <v>4.9676007833427009</v>
      </c>
      <c r="BR128" s="23">
        <f>EXP(-LN(2)/2)*BR127+(1-EXP(-LN(2)/2))/(LN(2)/2)*BL128*BO128*VLOOKUP('Données projet'!$B$11,Paramètres!$A$1:$I$89,3,0)*0.475*44/12</f>
        <v>9.5910203830582851E-9</v>
      </c>
      <c r="BS128" s="24">
        <f t="shared" si="63"/>
        <v>37.628703334407263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>
        <f>BY128*VLOOKUP('Données projet'!$B$12,Paramètres!$A$1:$I$89,3,0)*VLOOKUP('Données projet'!$B$12,Paramètres!$A$1:$I$89,5,0)</f>
        <v>0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275.76900776033335</v>
      </c>
      <c r="CE128" s="62">
        <f t="shared" si="94"/>
        <v>299.36898480605191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31.300223268912148</v>
      </c>
      <c r="CL128" s="23">
        <f>EXP(-LN(2)/25)*CL127+(1-EXP(-LN(2)/25))/(LN(2)/25)*Calculateur!CG128*Calculateur!CI128*VLOOKUP('Données projet'!$B$12,Paramètres!$A$1:$I$89,3,0)*0.475*44/12</f>
        <v>4.7606174173700921</v>
      </c>
      <c r="CM128" s="23">
        <f>EXP(-LN(2)/2)*CM127+(1-EXP(-LN(2)/2))/(LN(2)/2)*CG128*CJ128*VLOOKUP('Données projet'!$B$12,Paramètres!$A$1:$I$89,3,0)*0.475*44/12</f>
        <v>9.1913945337641819E-9</v>
      </c>
      <c r="CN128" s="24">
        <f t="shared" si="66"/>
        <v>36.060840695473637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6.083333333333333</v>
      </c>
      <c r="CT128" s="13">
        <f>IF('Données projet'!$A$140&gt;35,CT127+CS128-DB127,IF(A128&lt;'Données projet'!$A$140,$CQ$205^A128,IF(A128='Données projet'!$A$140,'Données projet'!$B$140,CT127+CS128-DB127)))</f>
        <v>312.66666666666669</v>
      </c>
      <c r="CU128" s="18">
        <f>CT128*VLOOKUP('Données projet'!$B$13,Paramètres!$A$1:$I$89,3,0)*VLOOKUP('Données projet'!$B$13,Paramètres!$A$1:$I$89,5,0)</f>
        <v>341.43200000000002</v>
      </c>
      <c r="CV128" s="14">
        <f t="shared" si="95"/>
        <v>79.795734279039763</v>
      </c>
      <c r="CW128" s="22">
        <f t="shared" si="67"/>
        <v>733.63830386932761</v>
      </c>
      <c r="CX128" s="62">
        <f t="shared" si="68"/>
        <v>1016.6869222382961</v>
      </c>
      <c r="CY128" s="62">
        <f ca="1">AVERAGE(OFFSET($CX$3,0,0,'Données projet'!$E$13+1,1))-AVERAGE(OFFSET($H$3,0,0,'Données projet'!$E$13+1,1))</f>
        <v>482.24068797679558</v>
      </c>
      <c r="CZ128" s="62">
        <f t="shared" si="96"/>
        <v>316.28941055521693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72.169440257115426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72.169440257115426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-1.7053025658242404E-13</v>
      </c>
      <c r="DP128" s="18">
        <f>DO128*VLOOKUP('Données projet'!$B$14,Paramètres!$A$1:$I$89,3,0)*VLOOKUP('Données projet'!$B$14,Paramètres!$A$1:$I$89,5,0)</f>
        <v>-1.383341441396624E-13</v>
      </c>
      <c r="DQ128" s="14" t="e">
        <f t="shared" si="97"/>
        <v>#NUM!</v>
      </c>
      <c r="DR128" s="22" t="e">
        <f t="shared" si="70"/>
        <v>#NUM!</v>
      </c>
      <c r="DS128" s="62" t="e">
        <f t="shared" si="71"/>
        <v>#NUM!</v>
      </c>
      <c r="DT128" s="62">
        <f ca="1">AVERAGE(OFFSET($DS$3,0,0,'Données projet'!$E$14+1,1))-AVERAGE(OFFSET($H$3,0,0,'Données projet'!$E$14+1,1))</f>
        <v>325.58538970226539</v>
      </c>
      <c r="DU128" s="62">
        <f t="shared" si="98"/>
        <v>361.81085660423457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39.098125722940914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39.098125722940914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4.8666666666666698</v>
      </c>
      <c r="EJ128" s="13">
        <f>IF('Données projet'!$A$192&gt;35,EJ127+EI128-ER127,IF(A128&lt;'Données projet'!$A$192,$EG$205^A128,IF(A128='Données projet'!$A$192,'Données projet'!$B$192,EJ127+EI128-ER127)))</f>
        <v>250.13333333333307</v>
      </c>
      <c r="EK128" s="18">
        <f>EJ128*VLOOKUP('Données projet'!$B$15,Paramètres!$A$1:$I$89,3,0)*VLOOKUP('Données projet'!$B$15,Paramètres!$A$1:$I$89,5,0)</f>
        <v>241.92895999999976</v>
      </c>
      <c r="EL128" s="14">
        <f t="shared" si="99"/>
        <v>58.854362063663032</v>
      </c>
      <c r="EM128" s="22">
        <f t="shared" si="73"/>
        <v>523.86428592754601</v>
      </c>
      <c r="EN128" s="62">
        <f t="shared" si="74"/>
        <v>806.91290429651451</v>
      </c>
      <c r="EO128" s="62">
        <f ca="1">AVERAGE(OFFSET($EN$3,0,0,'Données projet'!$E$15+1,1))-AVERAGE(OFFSET($H$3,0,0,'Données projet'!$E$15+1,1))</f>
        <v>364.22267539944085</v>
      </c>
      <c r="EP128" s="62">
        <f t="shared" si="100"/>
        <v>241.947139538615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51.13720338218468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51.13720338218468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-1.7053025658242404E-13</v>
      </c>
      <c r="FF128" s="18">
        <f>FE128*VLOOKUP('Données projet'!$B$16,Paramètres!$A$1:$I$89,3,0)*VLOOKUP('Données projet'!$B$16,Paramètres!$A$1:$I$89,5,0)</f>
        <v>-1.4897523215040567E-13</v>
      </c>
      <c r="FG128" s="14" t="e">
        <f t="shared" si="101"/>
        <v>#NUM!</v>
      </c>
      <c r="FH128" s="22" t="e">
        <f t="shared" si="76"/>
        <v>#NUM!</v>
      </c>
      <c r="FI128" s="62" t="e">
        <f t="shared" si="77"/>
        <v>#NUM!</v>
      </c>
      <c r="FJ128" s="62">
        <f ca="1">AVERAGE(OFFSET($FI$3,0,0,'Données projet'!$E$16+1,1))-AVERAGE(OFFSET($H$3,0,0,'Données projet'!$E$16+1,1))</f>
        <v>286.59837239471312</v>
      </c>
      <c r="FK128" s="62">
        <f t="shared" si="102"/>
        <v>319.26091328564689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33.935637895532409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33.935637895532409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-1.7053025658242404E-13</v>
      </c>
      <c r="GA128" s="18">
        <f>FZ128*VLOOKUP('Données projet'!$B$17,Paramètres!$A$1:$I$89,3,0)*VLOOKUP('Données projet'!$B$17,Paramètres!$A$1:$I$89,5,0)</f>
        <v>-1.1439169611549005E-13</v>
      </c>
      <c r="GB128" s="14" t="e">
        <f t="shared" si="103"/>
        <v>#NUM!</v>
      </c>
      <c r="GC128" s="22" t="e">
        <f t="shared" si="79"/>
        <v>#NUM!</v>
      </c>
      <c r="GD128" s="62" t="e">
        <f t="shared" si="80"/>
        <v>#NUM!</v>
      </c>
      <c r="GE128" s="62">
        <f ca="1">AVERAGE(OFFSET($GD$3,0,0,'Données projet'!$E$17+1,1))-AVERAGE(OFFSET($H$3,0,0,'Données projet'!$E$17+1,1))</f>
        <v>277.37570531842186</v>
      </c>
      <c r="GF128" s="62">
        <f t="shared" si="104"/>
        <v>310.00874200911312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projet'!$B$17,Paramètres!$A$1:$I$89,3,0)*0.475*44/12</f>
        <v>39.850012756074406</v>
      </c>
      <c r="GM128" s="23">
        <f>EXP(-LN(2)/25)*GM127+(1-EXP(-LN(2)/25))/(LN(2)/25)*Calculateur!GH128*Calculateur!GJ128*VLOOKUP('Données projet'!$B$17,Paramètres!$A$1:$I$89,3,0)*0.475*44/12</f>
        <v>0</v>
      </c>
      <c r="GN128" s="23">
        <f>EXP(-LN(2)/2)*GN127+(1-EXP(-LN(2)/2))/(LN(2)/2)*GH128*GK128*VLOOKUP('Données projet'!$B$17,Paramètres!$A$1:$I$89,3,0)*0.475*44/12</f>
        <v>0</v>
      </c>
      <c r="GO128" s="23">
        <f t="shared" si="81"/>
        <v>39.850012756074406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6.083333333333333</v>
      </c>
      <c r="N129" s="14">
        <f>IF('Données projet'!$A$36&gt;35,N128+M129-V128,IF(A129&lt;'Données projet'!$A$36,$K$205^A129,IF(A129='Données projet'!$A$36,'Données projet'!$B$36,N128+M129-V128)))</f>
        <v>318.75</v>
      </c>
      <c r="O129" s="14">
        <f>N129*VLOOKUP('Données projet'!$B$9,Paramètres!$A$1:$I$89,3,0)*VLOOKUP('Données projet'!$B$9,Paramètres!$A$1:$I$89,5,0)</f>
        <v>278.46000000000004</v>
      </c>
      <c r="P129" s="14">
        <f t="shared" si="87"/>
        <v>66.641458222154881</v>
      </c>
      <c r="Q129" s="22">
        <f t="shared" si="107"/>
        <v>601.05170640358642</v>
      </c>
      <c r="R129" s="62">
        <f t="shared" si="55"/>
        <v>884.27874158400869</v>
      </c>
      <c r="S129" s="62">
        <f ca="1">AVERAGE(OFFSET($R$3,0,0,'Données projet'!$E$9+1,1))-AVERAGE(OFFSET($H$3,0,0,'Données projet'!$E$9+1,1))</f>
        <v>401.34220206028908</v>
      </c>
      <c r="T129" s="62">
        <f t="shared" si="88"/>
        <v>265.33314259106987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56.603393242148371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56.603393242148371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1.7053025658242404E-13</v>
      </c>
      <c r="AJ129" s="14">
        <f>AI129*VLOOKUP('Données projet'!$B$10,Paramètres!$A$1:$I$89,3,0)*VLOOKUP('Données projet'!$B$10,Paramètres!$A$1:$I$89,5,0)</f>
        <v>7.9808160080574461E-14</v>
      </c>
      <c r="AK129" s="14">
        <f t="shared" si="89"/>
        <v>1.2308384591775343E-12</v>
      </c>
      <c r="AL129" s="22">
        <f t="shared" si="58"/>
        <v>2.282709528541206E-12</v>
      </c>
      <c r="AM129" s="62">
        <f t="shared" si="59"/>
        <v>283.22703518042448</v>
      </c>
      <c r="AN129" s="62">
        <f ca="1">AVERAGE(OFFSET($AM$3,0,0,'Données projet'!$E$10+1,1))-AVERAGE(OFFSET($H$3,0,0,'Données projet'!$E$10+1,1))</f>
        <v>253.48761861464732</v>
      </c>
      <c r="AO129" s="62">
        <f t="shared" si="90"/>
        <v>219.50855998133855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75.661574387425787</v>
      </c>
      <c r="AV129" s="23">
        <f>EXP(-LN(2)/25)*AV128+(1-EXP(-LN(2)/25))/(LN(2)/25)*Calculateur!AQ129*Calculateur!AS129*VLOOKUP('Données projet'!$B$10,Paramètres!$A$1:$I$89,3,0)*0.475*44/12</f>
        <v>14.104404457872375</v>
      </c>
      <c r="AW129" s="23">
        <f>EXP(-LN(2)/2)*AW128+(1-EXP(-LN(2)/2))/(LN(2)/2)*AQ129*AT129*VLOOKUP('Données projet'!$B$10,Paramètres!$A$1:$I$89,3,0)*0.475*44/12</f>
        <v>2.9102287581365812E-3</v>
      </c>
      <c r="AX129" s="23">
        <f t="shared" si="60"/>
        <v>89.768889074056304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482.85256243111911</v>
      </c>
      <c r="BJ129" s="62">
        <f t="shared" si="92"/>
        <v>517.78430032567064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32.02063824194073</v>
      </c>
      <c r="BQ129" s="23">
        <f>EXP(-LN(2)/25)*BQ128+(1-EXP(-LN(2)/25))/(LN(2)/25)*Calculateur!BL129*Calculateur!BN129*VLOOKUP('Données projet'!$B$11,Paramètres!$A$1:$I$89,3,0)*0.475*44/12</f>
        <v>4.8317614786874232</v>
      </c>
      <c r="BR129" s="23">
        <f>EXP(-LN(2)/2)*BR128+(1-EXP(-LN(2)/2))/(LN(2)/2)*BL129*BO129*VLOOKUP('Données projet'!$B$11,Paramètres!$A$1:$I$89,3,0)*0.475*44/12</f>
        <v>6.7818755513589121E-9</v>
      </c>
      <c r="BS129" s="24">
        <f t="shared" si="63"/>
        <v>36.852399727410031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>
        <f>BY129*VLOOKUP('Données projet'!$B$12,Paramètres!$A$1:$I$89,3,0)*VLOOKUP('Données projet'!$B$12,Paramètres!$A$1:$I$89,5,0)</f>
        <v>0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275.76900776033335</v>
      </c>
      <c r="CE129" s="62">
        <f t="shared" si="94"/>
        <v>299.36898480605191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30.686444981859871</v>
      </c>
      <c r="CL129" s="23">
        <f>EXP(-LN(2)/25)*CL128+(1-EXP(-LN(2)/25))/(LN(2)/25)*Calculateur!CG129*Calculateur!CI129*VLOOKUP('Données projet'!$B$12,Paramètres!$A$1:$I$89,3,0)*0.475*44/12</f>
        <v>4.630438083742118</v>
      </c>
      <c r="CM129" s="23">
        <f>EXP(-LN(2)/2)*CM128+(1-EXP(-LN(2)/2))/(LN(2)/2)*CG129*CJ129*VLOOKUP('Données projet'!$B$12,Paramètres!$A$1:$I$89,3,0)*0.475*44/12</f>
        <v>6.4992974033856185E-9</v>
      </c>
      <c r="CN129" s="24">
        <f t="shared" si="66"/>
        <v>35.316883072101291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6.083333333333333</v>
      </c>
      <c r="CT129" s="13">
        <f>IF('Données projet'!$A$140&gt;35,CT128+CS129-DB128,IF(A129&lt;'Données projet'!$A$140,$CQ$205^A129,IF(A129='Données projet'!$A$140,'Données projet'!$B$140,CT128+CS129-DB128)))</f>
        <v>318.75</v>
      </c>
      <c r="CU129" s="18">
        <f>CT129*VLOOKUP('Données projet'!$B$13,Paramètres!$A$1:$I$89,3,0)*VLOOKUP('Données projet'!$B$13,Paramètres!$A$1:$I$89,5,0)</f>
        <v>348.07499999999999</v>
      </c>
      <c r="CV129" s="14">
        <f t="shared" si="95"/>
        <v>81.166006605056339</v>
      </c>
      <c r="CW129" s="22">
        <f t="shared" si="67"/>
        <v>747.59475317047293</v>
      </c>
      <c r="CX129" s="62">
        <f t="shared" si="68"/>
        <v>1030.8217883508951</v>
      </c>
      <c r="CY129" s="62">
        <f ca="1">AVERAGE(OFFSET($CX$3,0,0,'Données projet'!$E$13+1,1))-AVERAGE(OFFSET($H$3,0,0,'Données projet'!$E$13+1,1))</f>
        <v>482.24068797679558</v>
      </c>
      <c r="CZ129" s="62">
        <f t="shared" si="96"/>
        <v>316.28941055521693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70.754241552685428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70.754241552685428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-1.7053025658242404E-13</v>
      </c>
      <c r="DP129" s="18">
        <f>DO129*VLOOKUP('Données projet'!$B$14,Paramètres!$A$1:$I$89,3,0)*VLOOKUP('Données projet'!$B$14,Paramètres!$A$1:$I$89,5,0)</f>
        <v>-1.383341441396624E-13</v>
      </c>
      <c r="DQ129" s="14" t="e">
        <f t="shared" si="97"/>
        <v>#NUM!</v>
      </c>
      <c r="DR129" s="22" t="e">
        <f t="shared" si="70"/>
        <v>#NUM!</v>
      </c>
      <c r="DS129" s="62" t="e">
        <f t="shared" si="71"/>
        <v>#NUM!</v>
      </c>
      <c r="DT129" s="62">
        <f ca="1">AVERAGE(OFFSET($DS$3,0,0,'Données projet'!$E$14+1,1))-AVERAGE(OFFSET($H$3,0,0,'Données projet'!$E$14+1,1))</f>
        <v>325.58538970226539</v>
      </c>
      <c r="DU129" s="62">
        <f t="shared" si="98"/>
        <v>361.81085660423457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38.331435325015988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38.331435325015988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4.8666666666666698</v>
      </c>
      <c r="EJ129" s="13">
        <f>IF('Données projet'!$A$192&gt;35,EJ128+EI129-ER128,IF(A129&lt;'Données projet'!$A$192,$EG$205^A129,IF(A129='Données projet'!$A$192,'Données projet'!$B$192,EJ128+EI129-ER128)))</f>
        <v>254.99999999999974</v>
      </c>
      <c r="EK129" s="18">
        <f>EJ129*VLOOKUP('Données projet'!$B$15,Paramètres!$A$1:$I$89,3,0)*VLOOKUP('Données projet'!$B$15,Paramètres!$A$1:$I$89,5,0)</f>
        <v>246.63599999999977</v>
      </c>
      <c r="EL129" s="14">
        <f t="shared" si="99"/>
        <v>59.865023903294485</v>
      </c>
      <c r="EM129" s="22">
        <f t="shared" si="73"/>
        <v>533.82261663157078</v>
      </c>
      <c r="EN129" s="62">
        <f t="shared" si="74"/>
        <v>817.04965181199304</v>
      </c>
      <c r="EO129" s="62">
        <f ca="1">AVERAGE(OFFSET($EN$3,0,0,'Données projet'!$E$15+1,1))-AVERAGE(OFFSET($H$3,0,0,'Données projet'!$E$15+1,1))</f>
        <v>364.22267539944085</v>
      </c>
      <c r="EP129" s="62">
        <f t="shared" si="100"/>
        <v>241.947139538615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50.134434014474287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50.134434014474287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-1.7053025658242404E-13</v>
      </c>
      <c r="FF129" s="18">
        <f>FE129*VLOOKUP('Données projet'!$B$16,Paramètres!$A$1:$I$89,3,0)*VLOOKUP('Données projet'!$B$16,Paramètres!$A$1:$I$89,5,0)</f>
        <v>-1.4897523215040567E-13</v>
      </c>
      <c r="FG129" s="14" t="e">
        <f t="shared" si="101"/>
        <v>#NUM!</v>
      </c>
      <c r="FH129" s="22" t="e">
        <f t="shared" si="76"/>
        <v>#NUM!</v>
      </c>
      <c r="FI129" s="62" t="e">
        <f t="shared" si="77"/>
        <v>#NUM!</v>
      </c>
      <c r="FJ129" s="62">
        <f ca="1">AVERAGE(OFFSET($FI$3,0,0,'Données projet'!$E$16+1,1))-AVERAGE(OFFSET($H$3,0,0,'Données projet'!$E$16+1,1))</f>
        <v>286.59837239471312</v>
      </c>
      <c r="FK129" s="62">
        <f t="shared" si="102"/>
        <v>319.26091328564689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33.270180735096311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33.270180735096311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-1.7053025658242404E-13</v>
      </c>
      <c r="GA129" s="18">
        <f>FZ129*VLOOKUP('Données projet'!$B$17,Paramètres!$A$1:$I$89,3,0)*VLOOKUP('Données projet'!$B$17,Paramètres!$A$1:$I$89,5,0)</f>
        <v>-1.1439169611549005E-13</v>
      </c>
      <c r="GB129" s="14" t="e">
        <f t="shared" si="103"/>
        <v>#NUM!</v>
      </c>
      <c r="GC129" s="22" t="e">
        <f t="shared" si="79"/>
        <v>#NUM!</v>
      </c>
      <c r="GD129" s="62" t="e">
        <f t="shared" si="80"/>
        <v>#NUM!</v>
      </c>
      <c r="GE129" s="62">
        <f ca="1">AVERAGE(OFFSET($GD$3,0,0,'Données projet'!$E$17+1,1))-AVERAGE(OFFSET($H$3,0,0,'Données projet'!$E$17+1,1))</f>
        <v>277.37570531842186</v>
      </c>
      <c r="GF129" s="62">
        <f t="shared" si="104"/>
        <v>310.00874200911312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projet'!$B$17,Paramètres!$A$1:$I$89,3,0)*0.475*44/12</f>
        <v>39.068578312035541</v>
      </c>
      <c r="GM129" s="23">
        <f>EXP(-LN(2)/25)*GM128+(1-EXP(-LN(2)/25))/(LN(2)/25)*Calculateur!GH129*Calculateur!GJ129*VLOOKUP('Données projet'!$B$17,Paramètres!$A$1:$I$89,3,0)*0.475*44/12</f>
        <v>0</v>
      </c>
      <c r="GN129" s="23">
        <f>EXP(-LN(2)/2)*GN128+(1-EXP(-LN(2)/2))/(LN(2)/2)*GH129*GK129*VLOOKUP('Données projet'!$B$17,Paramètres!$A$1:$I$89,3,0)*0.475*44/12</f>
        <v>0</v>
      </c>
      <c r="GO129" s="23">
        <f t="shared" si="81"/>
        <v>39.068578312035541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6.083333333333333</v>
      </c>
      <c r="N130" s="14">
        <f>IF('Données projet'!$A$36&gt;35,N129+M130-V129,IF(A130&lt;'Données projet'!$A$36,$K$205^A130,IF(A130='Données projet'!$A$36,'Données projet'!$B$36,N129+M130-V129)))</f>
        <v>324.83333333333331</v>
      </c>
      <c r="O130" s="14">
        <f>N130*VLOOKUP('Données projet'!$B$9,Paramètres!$A$1:$I$89,3,0)*VLOOKUP('Données projet'!$B$9,Paramètres!$A$1:$I$89,5,0)</f>
        <v>283.77440000000001</v>
      </c>
      <c r="P130" s="14">
        <f t="shared" si="87"/>
        <v>67.764025442499047</v>
      </c>
      <c r="Q130" s="22">
        <f t="shared" si="107"/>
        <v>612.26275764568572</v>
      </c>
      <c r="R130" s="62">
        <f t="shared" si="55"/>
        <v>895.6651145047631</v>
      </c>
      <c r="S130" s="62">
        <f ca="1">AVERAGE(OFFSET($R$3,0,0,'Données projet'!$E$9+1,1))-AVERAGE(OFFSET($H$3,0,0,'Données projet'!$E$9+1,1))</f>
        <v>401.34220206028908</v>
      </c>
      <c r="T130" s="62">
        <f t="shared" si="88"/>
        <v>265.33314259106987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55.493435225330693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55.493435225330693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1.7053025658242404E-13</v>
      </c>
      <c r="AJ130" s="14">
        <f>AI130*VLOOKUP('Données projet'!$B$10,Paramètres!$A$1:$I$89,3,0)*VLOOKUP('Données projet'!$B$10,Paramètres!$A$1:$I$89,5,0)</f>
        <v>7.9808160080574461E-14</v>
      </c>
      <c r="AK130" s="14">
        <f t="shared" si="89"/>
        <v>1.2308384591775343E-12</v>
      </c>
      <c r="AL130" s="22">
        <f t="shared" si="58"/>
        <v>2.282709528541206E-12</v>
      </c>
      <c r="AM130" s="62">
        <f t="shared" si="59"/>
        <v>283.4023568590797</v>
      </c>
      <c r="AN130" s="62">
        <f ca="1">AVERAGE(OFFSET($AM$3,0,0,'Données projet'!$E$10+1,1))-AVERAGE(OFFSET($H$3,0,0,'Données projet'!$E$10+1,1))</f>
        <v>253.48761861464732</v>
      </c>
      <c r="AO130" s="62">
        <f t="shared" si="90"/>
        <v>219.50855998133855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74.177897062691912</v>
      </c>
      <c r="AV130" s="23">
        <f>EXP(-LN(2)/25)*AV129+(1-EXP(-LN(2)/25))/(LN(2)/25)*Calculateur!AQ130*Calculateur!AS130*VLOOKUP('Données projet'!$B$10,Paramètres!$A$1:$I$89,3,0)*0.475*44/12</f>
        <v>13.718718776253461</v>
      </c>
      <c r="AW130" s="23">
        <f>EXP(-LN(2)/2)*AW129+(1-EXP(-LN(2)/2))/(LN(2)/2)*AQ130*AT130*VLOOKUP('Données projet'!$B$10,Paramètres!$A$1:$I$89,3,0)*0.475*44/12</f>
        <v>2.0578424896824815E-3</v>
      </c>
      <c r="AX130" s="23">
        <f t="shared" si="60"/>
        <v>87.898673681435042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482.85256243111911</v>
      </c>
      <c r="BJ130" s="62">
        <f t="shared" si="92"/>
        <v>517.78430032567064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31.392733056677109</v>
      </c>
      <c r="BQ130" s="23">
        <f>EXP(-LN(2)/25)*BQ129+(1-EXP(-LN(2)/25))/(LN(2)/25)*Calculateur!BL130*Calculateur!BN130*VLOOKUP('Données projet'!$B$11,Paramètres!$A$1:$I$89,3,0)*0.475*44/12</f>
        <v>4.6996367069614227</v>
      </c>
      <c r="BR130" s="23">
        <f>EXP(-LN(2)/2)*BR129+(1-EXP(-LN(2)/2))/(LN(2)/2)*BL130*BO130*VLOOKUP('Données projet'!$B$11,Paramètres!$A$1:$I$89,3,0)*0.475*44/12</f>
        <v>4.7955101915291426E-9</v>
      </c>
      <c r="BS130" s="24">
        <f t="shared" si="63"/>
        <v>36.09236976843404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>
        <f>BY130*VLOOKUP('Données projet'!$B$12,Paramètres!$A$1:$I$89,3,0)*VLOOKUP('Données projet'!$B$12,Paramètres!$A$1:$I$89,5,0)</f>
        <v>0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275.76900776033335</v>
      </c>
      <c r="CE130" s="62">
        <f t="shared" si="94"/>
        <v>299.36898480605191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30.084702512648899</v>
      </c>
      <c r="CL130" s="23">
        <f>EXP(-LN(2)/25)*CL129+(1-EXP(-LN(2)/25))/(LN(2)/25)*Calculateur!CG130*Calculateur!CI130*VLOOKUP('Données projet'!$B$12,Paramètres!$A$1:$I$89,3,0)*0.475*44/12</f>
        <v>4.503818510838034</v>
      </c>
      <c r="CM130" s="23">
        <f>EXP(-LN(2)/2)*CM129+(1-EXP(-LN(2)/2))/(LN(2)/2)*CG130*CJ130*VLOOKUP('Données projet'!$B$12,Paramètres!$A$1:$I$89,3,0)*0.475*44/12</f>
        <v>4.595697266882091E-9</v>
      </c>
      <c r="CN130" s="24">
        <f t="shared" si="66"/>
        <v>34.588521028082631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6.083333333333333</v>
      </c>
      <c r="CT130" s="13">
        <f>IF('Données projet'!$A$140&gt;35,CT129+CS130-DB129,IF(A130&lt;'Données projet'!$A$140,$CQ$205^A130,IF(A130='Données projet'!$A$140,'Données projet'!$B$140,CT129+CS130-DB129)))</f>
        <v>324.83333333333331</v>
      </c>
      <c r="CU130" s="18">
        <f>CT130*VLOOKUP('Données projet'!$B$13,Paramètres!$A$1:$I$89,3,0)*VLOOKUP('Données projet'!$B$13,Paramètres!$A$1:$I$89,5,0)</f>
        <v>354.71799999999996</v>
      </c>
      <c r="CV130" s="14">
        <f t="shared" si="95"/>
        <v>82.533238068049414</v>
      </c>
      <c r="CW130" s="22">
        <f t="shared" si="67"/>
        <v>761.5459063018526</v>
      </c>
      <c r="CX130" s="62">
        <f t="shared" si="68"/>
        <v>1044.9482631609301</v>
      </c>
      <c r="CY130" s="62">
        <f ca="1">AVERAGE(OFFSET($CX$3,0,0,'Données projet'!$E$13+1,1))-AVERAGE(OFFSET($H$3,0,0,'Données projet'!$E$13+1,1))</f>
        <v>482.24068797679558</v>
      </c>
      <c r="CZ130" s="62">
        <f t="shared" si="96"/>
        <v>316.28941055521693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69.366794031663332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69.366794031663332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-1.7053025658242404E-13</v>
      </c>
      <c r="DP130" s="18">
        <f>DO130*VLOOKUP('Données projet'!$B$14,Paramètres!$A$1:$I$89,3,0)*VLOOKUP('Données projet'!$B$14,Paramètres!$A$1:$I$89,5,0)</f>
        <v>-1.383341441396624E-13</v>
      </c>
      <c r="DQ130" s="14" t="e">
        <f t="shared" si="97"/>
        <v>#NUM!</v>
      </c>
      <c r="DR130" s="22" t="e">
        <f t="shared" si="70"/>
        <v>#NUM!</v>
      </c>
      <c r="DS130" s="62" t="e">
        <f t="shared" si="71"/>
        <v>#NUM!</v>
      </c>
      <c r="DT130" s="62">
        <f ca="1">AVERAGE(OFFSET($DS$3,0,0,'Données projet'!$E$14+1,1))-AVERAGE(OFFSET($H$3,0,0,'Données projet'!$E$14+1,1))</f>
        <v>325.58538970226539</v>
      </c>
      <c r="DU130" s="62">
        <f t="shared" si="98"/>
        <v>361.81085660423457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37.579779258159405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37.579779258159405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4.8666666666666698</v>
      </c>
      <c r="EJ130" s="13">
        <f>IF('Données projet'!$A$192&gt;35,EJ129+EI130-ER129,IF(A130&lt;'Données projet'!$A$192,$EG$205^A130,IF(A130='Données projet'!$A$192,'Données projet'!$B$192,EJ129+EI130-ER129)))</f>
        <v>259.86666666666639</v>
      </c>
      <c r="EK130" s="18">
        <f>EJ130*VLOOKUP('Données projet'!$B$15,Paramètres!$A$1:$I$89,3,0)*VLOOKUP('Données projet'!$B$15,Paramètres!$A$1:$I$89,5,0)</f>
        <v>251.34303999999975</v>
      </c>
      <c r="EL130" s="14">
        <f t="shared" si="99"/>
        <v>60.873442915599597</v>
      </c>
      <c r="EM130" s="22">
        <f t="shared" si="73"/>
        <v>543.77704107800207</v>
      </c>
      <c r="EN130" s="62">
        <f t="shared" si="74"/>
        <v>827.17939793707956</v>
      </c>
      <c r="EO130" s="62">
        <f ca="1">AVERAGE(OFFSET($EN$3,0,0,'Données projet'!$E$15+1,1))-AVERAGE(OFFSET($H$3,0,0,'Données projet'!$E$15+1,1))</f>
        <v>364.22267539944085</v>
      </c>
      <c r="EP130" s="62">
        <f t="shared" si="100"/>
        <v>241.947139538615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49.151328342435768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49.151328342435768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-1.7053025658242404E-13</v>
      </c>
      <c r="FF130" s="18">
        <f>FE130*VLOOKUP('Données projet'!$B$16,Paramètres!$A$1:$I$89,3,0)*VLOOKUP('Données projet'!$B$16,Paramètres!$A$1:$I$89,5,0)</f>
        <v>-1.4897523215040567E-13</v>
      </c>
      <c r="FG130" s="14" t="e">
        <f t="shared" si="101"/>
        <v>#NUM!</v>
      </c>
      <c r="FH130" s="22" t="e">
        <f t="shared" si="76"/>
        <v>#NUM!</v>
      </c>
      <c r="FI130" s="62" t="e">
        <f t="shared" si="77"/>
        <v>#NUM!</v>
      </c>
      <c r="FJ130" s="62">
        <f ca="1">AVERAGE(OFFSET($FI$3,0,0,'Données projet'!$E$16+1,1))-AVERAGE(OFFSET($H$3,0,0,'Données projet'!$E$16+1,1))</f>
        <v>286.59837239471312</v>
      </c>
      <c r="FK130" s="62">
        <f t="shared" si="102"/>
        <v>319.26091328564689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32.61777278368757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32.61777278368757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-1.7053025658242404E-13</v>
      </c>
      <c r="GA130" s="18">
        <f>FZ130*VLOOKUP('Données projet'!$B$17,Paramètres!$A$1:$I$89,3,0)*VLOOKUP('Données projet'!$B$17,Paramètres!$A$1:$I$89,5,0)</f>
        <v>-1.1439169611549005E-13</v>
      </c>
      <c r="GB130" s="14" t="e">
        <f t="shared" si="103"/>
        <v>#NUM!</v>
      </c>
      <c r="GC130" s="22" t="e">
        <f t="shared" si="79"/>
        <v>#NUM!</v>
      </c>
      <c r="GD130" s="62" t="e">
        <f t="shared" si="80"/>
        <v>#NUM!</v>
      </c>
      <c r="GE130" s="62">
        <f ca="1">AVERAGE(OFFSET($GD$3,0,0,'Données projet'!$E$17+1,1))-AVERAGE(OFFSET($H$3,0,0,'Données projet'!$E$17+1,1))</f>
        <v>277.37570531842186</v>
      </c>
      <c r="GF130" s="62">
        <f t="shared" si="104"/>
        <v>310.00874200911312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projet'!$B$17,Paramètres!$A$1:$I$89,3,0)*0.475*44/12</f>
        <v>38.302467320816326</v>
      </c>
      <c r="GM130" s="23">
        <f>EXP(-LN(2)/25)*GM129+(1-EXP(-LN(2)/25))/(LN(2)/25)*Calculateur!GH130*Calculateur!GJ130*VLOOKUP('Données projet'!$B$17,Paramètres!$A$1:$I$89,3,0)*0.475*44/12</f>
        <v>0</v>
      </c>
      <c r="GN130" s="23">
        <f>EXP(-LN(2)/2)*GN129+(1-EXP(-LN(2)/2))/(LN(2)/2)*GH130*GK130*VLOOKUP('Données projet'!$B$17,Paramètres!$A$1:$I$89,3,0)*0.475*44/12</f>
        <v>0</v>
      </c>
      <c r="GO130" s="23">
        <f t="shared" si="81"/>
        <v>38.302467320816326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6.083333333333333</v>
      </c>
      <c r="N131" s="14">
        <f>IF('Données projet'!$A$36&gt;35,N130+M131-V130,IF(A131&lt;'Données projet'!$A$36,$K$205^A131,IF(A131='Données projet'!$A$36,'Données projet'!$B$36,N130+M131-V130)))</f>
        <v>330.91666666666663</v>
      </c>
      <c r="O131" s="14">
        <f>N131*VLOOKUP('Données projet'!$B$9,Paramètres!$A$1:$I$89,3,0)*VLOOKUP('Données projet'!$B$9,Paramètres!$A$1:$I$89,5,0)</f>
        <v>289.08879999999999</v>
      </c>
      <c r="P131" s="14">
        <f t="shared" si="87"/>
        <v>68.884148107190029</v>
      </c>
      <c r="Q131" s="22">
        <f t="shared" ref="Q131:Q153" si="108">(O131+P131)*0.475*44/12</f>
        <v>623.46955128668924</v>
      </c>
      <c r="R131" s="62">
        <f t="shared" ref="R131:R194" si="109">Q131+(I131+J131)*44/12</f>
        <v>907.04418838525771</v>
      </c>
      <c r="S131" s="62">
        <f ca="1">AVERAGE(OFFSET($R$3,0,0,'Données projet'!$E$9+1,1))-AVERAGE(OFFSET($H$3,0,0,'Données projet'!$E$9+1,1))</f>
        <v>401.34220206028908</v>
      </c>
      <c r="T131" s="62">
        <f t="shared" si="88"/>
        <v>265.33314259106987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54.40524280821527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54.40524280821527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1.7053025658242404E-13</v>
      </c>
      <c r="AJ131" s="14">
        <f>AI131*VLOOKUP('Données projet'!$B$10,Paramètres!$A$1:$I$89,3,0)*VLOOKUP('Données projet'!$B$10,Paramètres!$A$1:$I$89,5,0)</f>
        <v>7.9808160080574461E-14</v>
      </c>
      <c r="AK131" s="14">
        <f t="shared" si="89"/>
        <v>1.2308384591775343E-12</v>
      </c>
      <c r="AL131" s="22">
        <f t="shared" si="58"/>
        <v>2.282709528541206E-12</v>
      </c>
      <c r="AM131" s="62">
        <f t="shared" si="59"/>
        <v>283.5746370985708</v>
      </c>
      <c r="AN131" s="62">
        <f ca="1">AVERAGE(OFFSET($AM$3,0,0,'Données projet'!$E$10+1,1))-AVERAGE(OFFSET($H$3,0,0,'Données projet'!$E$10+1,1))</f>
        <v>253.48761861464732</v>
      </c>
      <c r="AO131" s="62">
        <f t="shared" si="90"/>
        <v>219.50855998133855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72.723313745342253</v>
      </c>
      <c r="AV131" s="23">
        <f>EXP(-LN(2)/25)*AV130+(1-EXP(-LN(2)/25))/(LN(2)/25)*Calculateur!AQ131*Calculateur!AS131*VLOOKUP('Données projet'!$B$10,Paramètres!$A$1:$I$89,3,0)*0.475*44/12</f>
        <v>13.343579689880745</v>
      </c>
      <c r="AW131" s="23">
        <f>EXP(-LN(2)/2)*AW130+(1-EXP(-LN(2)/2))/(LN(2)/2)*AQ131*AT131*VLOOKUP('Données projet'!$B$10,Paramètres!$A$1:$I$89,3,0)*0.475*44/12</f>
        <v>1.4551143790682906E-3</v>
      </c>
      <c r="AX131" s="23">
        <f t="shared" si="60"/>
        <v>86.068348549602064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482.85256243111911</v>
      </c>
      <c r="BJ131" s="62">
        <f t="shared" si="92"/>
        <v>517.78430032567064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30.77714070911216</v>
      </c>
      <c r="BQ131" s="23">
        <f>EXP(-LN(2)/25)*BQ130+(1-EXP(-LN(2)/25))/(LN(2)/25)*Calculateur!BL131*Calculateur!BN131*VLOOKUP('Données projet'!$B$11,Paramètres!$A$1:$I$89,3,0)*0.475*44/12</f>
        <v>4.5711248940664095</v>
      </c>
      <c r="BR131" s="23">
        <f>EXP(-LN(2)/2)*BR130+(1-EXP(-LN(2)/2))/(LN(2)/2)*BL131*BO131*VLOOKUP('Données projet'!$B$11,Paramètres!$A$1:$I$89,3,0)*0.475*44/12</f>
        <v>3.3909377756794561E-9</v>
      </c>
      <c r="BS131" s="24">
        <f t="shared" si="63"/>
        <v>35.348265606569505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>
        <f>BY131*VLOOKUP('Données projet'!$B$12,Paramètres!$A$1:$I$89,3,0)*VLOOKUP('Données projet'!$B$12,Paramètres!$A$1:$I$89,5,0)</f>
        <v>0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275.76900776033335</v>
      </c>
      <c r="CE131" s="62">
        <f t="shared" si="94"/>
        <v>299.36898480605191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29.49475984623249</v>
      </c>
      <c r="CL131" s="23">
        <f>EXP(-LN(2)/25)*CL130+(1-EXP(-LN(2)/25))/(LN(2)/25)*Calculateur!CG131*Calculateur!CI131*VLOOKUP('Données projet'!$B$12,Paramètres!$A$1:$I$89,3,0)*0.475*44/12</f>
        <v>4.3806613568136461</v>
      </c>
      <c r="CM131" s="23">
        <f>EXP(-LN(2)/2)*CM130+(1-EXP(-LN(2)/2))/(LN(2)/2)*CG131*CJ131*VLOOKUP('Données projet'!$B$12,Paramètres!$A$1:$I$89,3,0)*0.475*44/12</f>
        <v>3.2496487016928092E-9</v>
      </c>
      <c r="CN131" s="24">
        <f t="shared" si="66"/>
        <v>33.875421206295783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6.083333333333333</v>
      </c>
      <c r="CT131" s="13">
        <f>IF('Données projet'!$A$140&gt;35,CT130+CS131-DB130,IF(A131&lt;'Données projet'!$A$140,$CQ$205^A131,IF(A131='Données projet'!$A$140,'Données projet'!$B$140,CT130+CS131-DB130)))</f>
        <v>330.91666666666663</v>
      </c>
      <c r="CU131" s="18">
        <f>CT131*VLOOKUP('Données projet'!$B$13,Paramètres!$A$1:$I$89,3,0)*VLOOKUP('Données projet'!$B$13,Paramètres!$A$1:$I$89,5,0)</f>
        <v>361.36099999999993</v>
      </c>
      <c r="CV131" s="14">
        <f t="shared" si="95"/>
        <v>83.897492182923529</v>
      </c>
      <c r="CW131" s="22">
        <f t="shared" si="67"/>
        <v>775.49187388525843</v>
      </c>
      <c r="CX131" s="62">
        <f t="shared" si="68"/>
        <v>1059.0665109838269</v>
      </c>
      <c r="CY131" s="62">
        <f ca="1">AVERAGE(OFFSET($CX$3,0,0,'Données projet'!$E$13+1,1))-AVERAGE(OFFSET($H$3,0,0,'Données projet'!$E$13+1,1))</f>
        <v>482.24068797679558</v>
      </c>
      <c r="CZ131" s="62">
        <f t="shared" si="96"/>
        <v>316.28941055521693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68.006553510269057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68.006553510269057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-1.7053025658242404E-13</v>
      </c>
      <c r="DP131" s="18">
        <f>DO131*VLOOKUP('Données projet'!$B$14,Paramètres!$A$1:$I$89,3,0)*VLOOKUP('Données projet'!$B$14,Paramètres!$A$1:$I$89,5,0)</f>
        <v>-1.383341441396624E-13</v>
      </c>
      <c r="DQ131" s="14" t="e">
        <f t="shared" si="97"/>
        <v>#NUM!</v>
      </c>
      <c r="DR131" s="22" t="e">
        <f t="shared" si="70"/>
        <v>#NUM!</v>
      </c>
      <c r="DS131" s="62" t="e">
        <f t="shared" si="71"/>
        <v>#NUM!</v>
      </c>
      <c r="DT131" s="62">
        <f ca="1">AVERAGE(OFFSET($DS$3,0,0,'Données projet'!$E$14+1,1))-AVERAGE(OFFSET($H$3,0,0,'Données projet'!$E$14+1,1))</f>
        <v>325.58538970226539</v>
      </c>
      <c r="DU131" s="62">
        <f t="shared" si="98"/>
        <v>361.81085660423457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36.842862708308949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36.842862708308949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4.8666666666666698</v>
      </c>
      <c r="EJ131" s="13">
        <f>IF('Données projet'!$A$192&gt;35,EJ130+EI131-ER130,IF(A131&lt;'Données projet'!$A$192,$EG$205^A131,IF(A131='Données projet'!$A$192,'Données projet'!$B$192,EJ130+EI131-ER130)))</f>
        <v>264.73333333333306</v>
      </c>
      <c r="EK131" s="18">
        <f>EJ131*VLOOKUP('Données projet'!$B$15,Paramètres!$A$1:$I$89,3,0)*VLOOKUP('Données projet'!$B$15,Paramètres!$A$1:$I$89,5,0)</f>
        <v>256.05007999999975</v>
      </c>
      <c r="EL131" s="14">
        <f t="shared" si="99"/>
        <v>61.879665946806597</v>
      </c>
      <c r="EM131" s="22">
        <f t="shared" si="73"/>
        <v>553.72764085735434</v>
      </c>
      <c r="EN131" s="62">
        <f t="shared" si="74"/>
        <v>837.30227795592282</v>
      </c>
      <c r="EO131" s="62">
        <f ca="1">AVERAGE(OFFSET($EN$3,0,0,'Données projet'!$E$15+1,1))-AVERAGE(OFFSET($H$3,0,0,'Données projet'!$E$15+1,1))</f>
        <v>364.22267539944085</v>
      </c>
      <c r="EP131" s="62">
        <f t="shared" si="100"/>
        <v>241.947139538615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48.187500772990674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48.187500772990674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-1.7053025658242404E-13</v>
      </c>
      <c r="FF131" s="18">
        <f>FE131*VLOOKUP('Données projet'!$B$16,Paramètres!$A$1:$I$89,3,0)*VLOOKUP('Données projet'!$B$16,Paramètres!$A$1:$I$89,5,0)</f>
        <v>-1.4897523215040567E-13</v>
      </c>
      <c r="FG131" s="14" t="e">
        <f t="shared" si="101"/>
        <v>#NUM!</v>
      </c>
      <c r="FH131" s="22" t="e">
        <f t="shared" si="76"/>
        <v>#NUM!</v>
      </c>
      <c r="FI131" s="62" t="e">
        <f t="shared" si="77"/>
        <v>#NUM!</v>
      </c>
      <c r="FJ131" s="62">
        <f ca="1">AVERAGE(OFFSET($FI$3,0,0,'Données projet'!$E$16+1,1))-AVERAGE(OFFSET($H$3,0,0,'Données projet'!$E$16+1,1))</f>
        <v>286.59837239471312</v>
      </c>
      <c r="FK131" s="62">
        <f t="shared" si="102"/>
        <v>319.26091328564689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31.9781581542764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31.9781581542764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-1.7053025658242404E-13</v>
      </c>
      <c r="GA131" s="18">
        <f>FZ131*VLOOKUP('Données projet'!$B$17,Paramètres!$A$1:$I$89,3,0)*VLOOKUP('Données projet'!$B$17,Paramètres!$A$1:$I$89,5,0)</f>
        <v>-1.1439169611549005E-13</v>
      </c>
      <c r="GB131" s="14" t="e">
        <f t="shared" si="103"/>
        <v>#NUM!</v>
      </c>
      <c r="GC131" s="22" t="e">
        <f t="shared" si="79"/>
        <v>#NUM!</v>
      </c>
      <c r="GD131" s="62" t="e">
        <f t="shared" si="80"/>
        <v>#NUM!</v>
      </c>
      <c r="GE131" s="62">
        <f ca="1">AVERAGE(OFFSET($GD$3,0,0,'Données projet'!$E$17+1,1))-AVERAGE(OFFSET($H$3,0,0,'Données projet'!$E$17+1,1))</f>
        <v>277.37570531842186</v>
      </c>
      <c r="GF131" s="62">
        <f t="shared" si="104"/>
        <v>310.00874200911312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projet'!$B$17,Paramètres!$A$1:$I$89,3,0)*0.475*44/12</f>
        <v>37.551379298853355</v>
      </c>
      <c r="GM131" s="23">
        <f>EXP(-LN(2)/25)*GM130+(1-EXP(-LN(2)/25))/(LN(2)/25)*Calculateur!GH131*Calculateur!GJ131*VLOOKUP('Données projet'!$B$17,Paramètres!$A$1:$I$89,3,0)*0.475*44/12</f>
        <v>0</v>
      </c>
      <c r="GN131" s="23">
        <f>EXP(-LN(2)/2)*GN130+(1-EXP(-LN(2)/2))/(LN(2)/2)*GH131*GK131*VLOOKUP('Données projet'!$B$17,Paramètres!$A$1:$I$89,3,0)*0.475*44/12</f>
        <v>0</v>
      </c>
      <c r="GO131" s="23">
        <f t="shared" si="81"/>
        <v>37.551379298853355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>
        <f>VLOOKUP(A132,'Données projet'!$A$35:$I$55,2,0)</f>
        <v>337</v>
      </c>
      <c r="L132" s="13">
        <f>VLOOKUP(A132,'Données projet'!$A$35:$I$55,9,0)</f>
        <v>6.083333333333333</v>
      </c>
      <c r="M132" s="13">
        <f t="array" ref="M132">INDEX(L:L,MIN(IF(ISNUMBER(L132:L328),ROW(L132:L328),"")))</f>
        <v>6.083333333333333</v>
      </c>
      <c r="N132" s="14">
        <f>IF('Données projet'!$A$36&gt;35,N131+M132-V131,IF(A132&lt;'Données projet'!$A$36,$K$205^A132,IF(A132='Données projet'!$A$36,'Données projet'!$B$36,N131+M132-V131)))</f>
        <v>336.99999999999994</v>
      </c>
      <c r="O132" s="14">
        <f>N132*VLOOKUP('Données projet'!$B$9,Paramètres!$A$1:$I$89,3,0)*VLOOKUP('Données projet'!$B$9,Paramètres!$A$1:$I$89,5,0)</f>
        <v>294.40320000000003</v>
      </c>
      <c r="P132" s="14">
        <f t="shared" si="87"/>
        <v>70.001876338124134</v>
      </c>
      <c r="Q132" s="22">
        <f t="shared" si="108"/>
        <v>634.67217462223289</v>
      </c>
      <c r="R132" s="62">
        <f t="shared" si="109"/>
        <v>918.4161032832983</v>
      </c>
      <c r="S132" s="62">
        <f ca="1">AVERAGE(OFFSET($R$3,0,0,'Données projet'!$E$9+1,1))-AVERAGE(OFFSET($H$3,0,0,'Données projet'!$E$9+1,1))</f>
        <v>401.34220206028908</v>
      </c>
      <c r="T132" s="62">
        <f t="shared" si="88"/>
        <v>265.33314259106987</v>
      </c>
      <c r="U132" s="16" t="str">
        <f>IF(ISNA(VLOOKUP(A132,'Données projet'!$A$35:$I$55,3,0)),0,VLOOKUP(A132,'Données projet'!$A$35:$I$55,3,0))</f>
        <v>CR</v>
      </c>
      <c r="V132" s="16">
        <f>IF(ISNA(VLOOKUP(A132,'Données projet'!$A$35:$I$55,4,0)),0,VLOOKUP(A132,'Données projet'!$A$35:$I$55,4,0))</f>
        <v>337</v>
      </c>
      <c r="W132" s="17">
        <f>IF(ISNA(VLOOKUP(A132,'Données projet'!$A$35:$I$55,5,0)),0%,VLOOKUP(A132,'Données projet'!$A$35:$I$55,5,0)*VLOOKUP('Données projet'!$B$9,Paramètres!$A$1:$I$89,7,0))</f>
        <v>0.38700000000000001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179.28909385243739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179.28909385243739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1.7053025658242404E-13</v>
      </c>
      <c r="AJ132" s="14">
        <f>AI132*VLOOKUP('Données projet'!$B$10,Paramètres!$A$1:$I$89,3,0)*VLOOKUP('Données projet'!$B$10,Paramètres!$A$1:$I$89,5,0)</f>
        <v>7.9808160080574461E-14</v>
      </c>
      <c r="AK132" s="14">
        <f t="shared" si="89"/>
        <v>1.2308384591775343E-12</v>
      </c>
      <c r="AL132" s="22">
        <f t="shared" ref="AL132:AL153" si="112">(AJ132+AK132)*0.475*44/12</f>
        <v>2.282709528541206E-12</v>
      </c>
      <c r="AM132" s="62">
        <f t="shared" ref="AM132:AM195" si="113">AL132+(AD132+AE132)*44/12</f>
        <v>283.74392866106763</v>
      </c>
      <c r="AN132" s="62">
        <f ca="1">AVERAGE(OFFSET($AM$3,0,0,'Données projet'!$E$10+1,1))-AVERAGE(OFFSET($H$3,0,0,'Données projet'!$E$10+1,1))</f>
        <v>253.48761861464732</v>
      </c>
      <c r="AO132" s="62">
        <f t="shared" si="90"/>
        <v>219.50855998133855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71.297253919637598</v>
      </c>
      <c r="AV132" s="23">
        <f>EXP(-LN(2)/25)*AV131+(1-EXP(-LN(2)/25))/(LN(2)/25)*Calculateur!AQ132*Calculateur!AS132*VLOOKUP('Données projet'!$B$10,Paramètres!$A$1:$I$89,3,0)*0.475*44/12</f>
        <v>12.978698801552596</v>
      </c>
      <c r="AW132" s="23">
        <f>EXP(-LN(2)/2)*AW131+(1-EXP(-LN(2)/2))/(LN(2)/2)*AQ132*AT132*VLOOKUP('Données projet'!$B$10,Paramètres!$A$1:$I$89,3,0)*0.475*44/12</f>
        <v>1.0289212448412407E-3</v>
      </c>
      <c r="AX132" s="23">
        <f t="shared" ref="AX132:AX153" si="114">SUM(AU132:AW132)</f>
        <v>84.276981642435032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482.85256243111911</v>
      </c>
      <c r="BJ132" s="62">
        <f t="shared" si="92"/>
        <v>517.78430032567064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30.173619752008701</v>
      </c>
      <c r="BQ132" s="23">
        <f>EXP(-LN(2)/25)*BQ131+(1-EXP(-LN(2)/25))/(LN(2)/25)*Calculateur!BL132*Calculateur!BN132*VLOOKUP('Données projet'!$B$11,Paramètres!$A$1:$I$89,3,0)*0.475*44/12</f>
        <v>4.4461272434531525</v>
      </c>
      <c r="BR132" s="23">
        <f>EXP(-LN(2)/2)*BR131+(1-EXP(-LN(2)/2))/(LN(2)/2)*BL132*BO132*VLOOKUP('Données projet'!$B$11,Paramètres!$A$1:$I$89,3,0)*0.475*44/12</f>
        <v>2.3977550957645713E-9</v>
      </c>
      <c r="BS132" s="24">
        <f t="shared" ref="BS132:BS153" si="117">SUM(BP132:BR132)</f>
        <v>34.619746997859608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>
        <f>BY132*VLOOKUP('Données projet'!$B$12,Paramètres!$A$1:$I$89,3,0)*VLOOKUP('Données projet'!$B$12,Paramètres!$A$1:$I$89,5,0)</f>
        <v>0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275.76900776033335</v>
      </c>
      <c r="CE132" s="62">
        <f t="shared" si="94"/>
        <v>299.36898480605191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28.91638559567501</v>
      </c>
      <c r="CL132" s="23">
        <f>EXP(-LN(2)/25)*CL131+(1-EXP(-LN(2)/25))/(LN(2)/25)*Calculateur!CG132*Calculateur!CI132*VLOOKUP('Données projet'!$B$12,Paramètres!$A$1:$I$89,3,0)*0.475*44/12</f>
        <v>4.2608719416426082</v>
      </c>
      <c r="CM132" s="23">
        <f>EXP(-LN(2)/2)*CM131+(1-EXP(-LN(2)/2))/(LN(2)/2)*CG132*CJ132*VLOOKUP('Données projet'!$B$12,Paramètres!$A$1:$I$89,3,0)*0.475*44/12</f>
        <v>2.2978486334410455E-9</v>
      </c>
      <c r="CN132" s="24">
        <f t="shared" ref="CN132:CN153" si="120">SUM(CK132:CM132)</f>
        <v>33.177257539615461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>
        <f>VLOOKUP(A132,'Données projet'!$A$139:$I$159,2,0)</f>
        <v>337</v>
      </c>
      <c r="CR132" s="13">
        <f>VLOOKUP(A132,'Données projet'!$A$139:$I$159,9,0)</f>
        <v>6.083333333333333</v>
      </c>
      <c r="CS132" s="13">
        <f t="array" ref="CS132">INDEX(CR:CR,MIN(IF(ISNUMBER(CR132:CR328),ROW(CR132:CR328),"")))</f>
        <v>6.083333333333333</v>
      </c>
      <c r="CT132" s="13">
        <f>IF('Données projet'!$A$140&gt;35,CT131+CS132-DB131,IF(A132&lt;'Données projet'!$A$140,$CQ$205^A132,IF(A132='Données projet'!$A$140,'Données projet'!$B$140,CT131+CS132-DB131)))</f>
        <v>336.99999999999994</v>
      </c>
      <c r="CU132" s="18">
        <f>CT132*VLOOKUP('Données projet'!$B$13,Paramètres!$A$1:$I$89,3,0)*VLOOKUP('Données projet'!$B$13,Paramètres!$A$1:$I$89,5,0)</f>
        <v>368.00399999999991</v>
      </c>
      <c r="CV132" s="14">
        <f t="shared" si="95"/>
        <v>85.258829995674006</v>
      </c>
      <c r="CW132" s="22">
        <f t="shared" ref="CW132:CW153" si="121">(CU132+CV132)*0.475*44/12</f>
        <v>789.43276224246529</v>
      </c>
      <c r="CX132" s="62">
        <f t="shared" ref="CX132:CX195" si="122">CW132+(CO132+CP132)*44/12</f>
        <v>1073.1766909035307</v>
      </c>
      <c r="CY132" s="62">
        <f ca="1">AVERAGE(OFFSET($CX$3,0,0,'Données projet'!$E$13+1,1))-AVERAGE(OFFSET($H$3,0,0,'Données projet'!$E$13+1,1))</f>
        <v>482.24068797679558</v>
      </c>
      <c r="CZ132" s="62">
        <f t="shared" si="96"/>
        <v>316.28941055521693</v>
      </c>
      <c r="DA132" s="16" t="str">
        <f>IF(ISNA(VLOOKUP(A132,'Données projet'!$A$139:$I$159,3,0)),0,VLOOKUP(A132,'Données projet'!$A$139:$I$159,3,0))</f>
        <v>CR</v>
      </c>
      <c r="DB132" s="16">
        <f>IF(ISNA(VLOOKUP(A132,'Données projet'!$A$139:$I$159,4,0)),0,VLOOKUP(A132,'Données projet'!$A$139:$I$159,4,0))</f>
        <v>337</v>
      </c>
      <c r="DC132" s="17">
        <f>IF(ISNA(VLOOKUP(A132,'Données projet'!$A$139:$I$159,5,0)),0%,VLOOKUP(A132,'Données projet'!$A$139:$I$159,5,0)*VLOOKUP('Données projet'!$B$13,Paramètres!$A$1:$I$89,7,0))</f>
        <v>0.38700000000000001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224.11136731554666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224.11136731554666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-1.7053025658242404E-13</v>
      </c>
      <c r="DP132" s="18">
        <f>DO132*VLOOKUP('Données projet'!$B$14,Paramètres!$A$1:$I$89,3,0)*VLOOKUP('Données projet'!$B$14,Paramètres!$A$1:$I$89,5,0)</f>
        <v>-1.383341441396624E-13</v>
      </c>
      <c r="DQ132" s="14" t="e">
        <f t="shared" si="97"/>
        <v>#NUM!</v>
      </c>
      <c r="DR132" s="22" t="e">
        <f t="shared" ref="DR132:DR153" si="124">(DP132+DQ132)*0.475*44/12</f>
        <v>#NUM!</v>
      </c>
      <c r="DS132" s="62" t="e">
        <f t="shared" ref="DS132:DS195" si="125">DR132+(DJ132+DK132)*44/12</f>
        <v>#NUM!</v>
      </c>
      <c r="DT132" s="62">
        <f ca="1">AVERAGE(OFFSET($DS$3,0,0,'Données projet'!$E$14+1,1))-AVERAGE(OFFSET($H$3,0,0,'Données projet'!$E$14+1,1))</f>
        <v>325.58538970226539</v>
      </c>
      <c r="DU132" s="62">
        <f t="shared" si="98"/>
        <v>361.81085660423457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36.120396642526345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36.120396642526345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>
        <f>VLOOKUP(A132,'Données projet'!$A$191:$I$211,2,0)</f>
        <v>269.60000000000002</v>
      </c>
      <c r="EH132" s="13">
        <f>VLOOKUP(A132,'Données projet'!$A$191:$I$211,9,0)</f>
        <v>4.8666666666666698</v>
      </c>
      <c r="EI132" s="13">
        <f t="array" ref="EI132">INDEX(EH:EH,MIN(IF(ISNUMBER(EH132:EH328),ROW(EH132:EH328),"")))</f>
        <v>4.8666666666666698</v>
      </c>
      <c r="EJ132" s="13">
        <f>IF('Données projet'!$A$192&gt;35,EJ131+EI132-ER131,IF(A132&lt;'Données projet'!$A$192,$EG$205^A132,IF(A132='Données projet'!$A$192,'Données projet'!$B$192,EJ131+EI132-ER131)))</f>
        <v>269.59999999999974</v>
      </c>
      <c r="EK132" s="18">
        <f>EJ132*VLOOKUP('Données projet'!$B$15,Paramètres!$A$1:$I$89,3,0)*VLOOKUP('Données projet'!$B$15,Paramètres!$A$1:$I$89,5,0)</f>
        <v>260.75711999999976</v>
      </c>
      <c r="EL132" s="14">
        <f t="shared" si="99"/>
        <v>62.883738022168366</v>
      </c>
      <c r="EM132" s="22">
        <f t="shared" ref="EM132:EM153" si="127">(EK132+EL132)*0.475*44/12</f>
        <v>563.67449438860933</v>
      </c>
      <c r="EN132" s="62">
        <f t="shared" ref="EN132:EN195" si="128">EM132+(EE132+EF132)*44/12</f>
        <v>847.41842304967463</v>
      </c>
      <c r="EO132" s="62">
        <f ca="1">AVERAGE(OFFSET($EN$3,0,0,'Données projet'!$E$15+1,1))-AVERAGE(OFFSET($H$3,0,0,'Données projet'!$E$15+1,1))</f>
        <v>364.22267539944085</v>
      </c>
      <c r="EP132" s="62">
        <f t="shared" si="100"/>
        <v>241.947139538615</v>
      </c>
      <c r="EQ132" s="16" t="str">
        <f>IF(ISNA(VLOOKUP(A132,'Données projet'!$A$191:$I$211,3,0)),0,VLOOKUP(A132,'Données projet'!$A$191:$I$211,3,0))</f>
        <v>CR</v>
      </c>
      <c r="ER132" s="16">
        <f>IF(ISNA(VLOOKUP(A132,'Données projet'!$A$191:$I$211,4,0)),0,VLOOKUP(A132,'Données projet'!$A$191:$I$211,4,0))</f>
        <v>269.60000000000002</v>
      </c>
      <c r="ES132" s="17">
        <f>IF(ISNA(VLOOKUP(A132,'Données projet'!$A$191:$I$211,5,0)),0%,VLOOKUP(A132,'Données projet'!$A$191:$I$211,5,0)*VLOOKUP('Données projet'!$B$15,Paramètres!$A$1:$I$89,7,0))</f>
        <v>0.38700000000000001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158.79891169787311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158.79891169787311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-1.7053025658242404E-13</v>
      </c>
      <c r="FF132" s="18">
        <f>FE132*VLOOKUP('Données projet'!$B$16,Paramètres!$A$1:$I$89,3,0)*VLOOKUP('Données projet'!$B$16,Paramètres!$A$1:$I$89,5,0)</f>
        <v>-1.4897523215040567E-13</v>
      </c>
      <c r="FG132" s="14" t="e">
        <f t="shared" si="101"/>
        <v>#NUM!</v>
      </c>
      <c r="FH132" s="22" t="e">
        <f t="shared" ref="FH132:FH153" si="130">(FF132+FG132)*0.475*44/12</f>
        <v>#NUM!</v>
      </c>
      <c r="FI132" s="62" t="e">
        <f t="shared" ref="FI132:FI195" si="131">FH132+(EZ132+FA132)*44/12</f>
        <v>#NUM!</v>
      </c>
      <c r="FJ132" s="62">
        <f ca="1">AVERAGE(OFFSET($FI$3,0,0,'Données projet'!$E$16+1,1))-AVERAGE(OFFSET($H$3,0,0,'Données projet'!$E$16+1,1))</f>
        <v>286.59837239471312</v>
      </c>
      <c r="FK132" s="62">
        <f t="shared" si="102"/>
        <v>319.26091328564689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31.35108597762158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31.35108597762158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-1.7053025658242404E-13</v>
      </c>
      <c r="GA132" s="18">
        <f>FZ132*VLOOKUP('Données projet'!$B$17,Paramètres!$A$1:$I$89,3,0)*VLOOKUP('Données projet'!$B$17,Paramètres!$A$1:$I$89,5,0)</f>
        <v>-1.1439169611549005E-13</v>
      </c>
      <c r="GB132" s="14" t="e">
        <f t="shared" si="103"/>
        <v>#NUM!</v>
      </c>
      <c r="GC132" s="22" t="e">
        <f t="shared" ref="GC132:GC153" si="133">(GA132+GB132)*0.475*44/12</f>
        <v>#NUM!</v>
      </c>
      <c r="GD132" s="62" t="e">
        <f t="shared" ref="GD132:GD195" si="134">GC132+(FU132+FV132)*44/12</f>
        <v>#NUM!</v>
      </c>
      <c r="GE132" s="62">
        <f ca="1">AVERAGE(OFFSET($GD$3,0,0,'Données projet'!$E$17+1,1))-AVERAGE(OFFSET($H$3,0,0,'Données projet'!$E$17+1,1))</f>
        <v>277.37570531842186</v>
      </c>
      <c r="GF132" s="62">
        <f t="shared" si="104"/>
        <v>310.00874200911312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projet'!$B$17,Paramètres!$A$1:$I$89,3,0)*0.475*44/12</f>
        <v>36.815019654882626</v>
      </c>
      <c r="GM132" s="23">
        <f>EXP(-LN(2)/25)*GM131+(1-EXP(-LN(2)/25))/(LN(2)/25)*Calculateur!GH132*Calculateur!GJ132*VLOOKUP('Données projet'!$B$17,Paramètres!$A$1:$I$89,3,0)*0.475*44/12</f>
        <v>0</v>
      </c>
      <c r="GN132" s="23">
        <f>EXP(-LN(2)/2)*GN131+(1-EXP(-LN(2)/2))/(LN(2)/2)*GH132*GK132*VLOOKUP('Données projet'!$B$17,Paramètres!$A$1:$I$89,3,0)*0.475*44/12</f>
        <v>0</v>
      </c>
      <c r="GO132" s="23">
        <f t="shared" ref="GO132:GO153" si="135">SUM(GL132:GN132)</f>
        <v>36.815019654882626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-5.6843418860808015E-14</v>
      </c>
      <c r="O133" s="14">
        <f>N133*VLOOKUP('Données projet'!$B$9,Paramètres!$A$1:$I$89,3,0)*VLOOKUP('Données projet'!$B$9,Paramètres!$A$1:$I$89,5,0)</f>
        <v>-4.9658410716801891E-14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401.34220206028908</v>
      </c>
      <c r="T133" s="62">
        <f t="shared" ref="T133:T196" si="142">$T$3</f>
        <v>265.33314259106987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175.77334407754037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175.77334407754037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1.7053025658242404E-13</v>
      </c>
      <c r="AJ133" s="14">
        <f>AI133*VLOOKUP('Données projet'!$B$10,Paramètres!$A$1:$I$89,3,0)*VLOOKUP('Données projet'!$B$10,Paramètres!$A$1:$I$89,5,0)</f>
        <v>7.9808160080574461E-14</v>
      </c>
      <c r="AK133" s="14">
        <f t="shared" ref="AK133:AK153" si="143">EXP(-1.0587+0.8836*LN(AJ133)+0.284)</f>
        <v>1.2308384591775343E-12</v>
      </c>
      <c r="AL133" s="22">
        <f t="shared" si="112"/>
        <v>2.282709528541206E-12</v>
      </c>
      <c r="AM133" s="62">
        <f t="shared" si="113"/>
        <v>283.91028339343438</v>
      </c>
      <c r="AN133" s="62">
        <f ca="1">AVERAGE(OFFSET($AM$3,0,0,'Données projet'!$E$10+1,1))-AVERAGE(OFFSET($H$3,0,0,'Données projet'!$E$10+1,1))</f>
        <v>253.48761861464732</v>
      </c>
      <c r="AO133" s="62">
        <f t="shared" ref="AO133:AO196" si="144">$AO$3</f>
        <v>219.50855998133855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69.899158257304407</v>
      </c>
      <c r="AV133" s="23">
        <f>EXP(-LN(2)/25)*AV132+(1-EXP(-LN(2)/25))/(LN(2)/25)*Calculateur!AQ133*Calculateur!AS133*VLOOKUP('Données projet'!$B$10,Paramètres!$A$1:$I$89,3,0)*0.475*44/12</f>
        <v>12.623795600304033</v>
      </c>
      <c r="AW133" s="23">
        <f>EXP(-LN(2)/2)*AW132+(1-EXP(-LN(2)/2))/(LN(2)/2)*AQ133*AT133*VLOOKUP('Données projet'!$B$10,Paramètres!$A$1:$I$89,3,0)*0.475*44/12</f>
        <v>7.2755718953414531E-4</v>
      </c>
      <c r="AX133" s="23">
        <f t="shared" si="114"/>
        <v>82.523681414797977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482.85256243111911</v>
      </c>
      <c r="BJ133" s="62">
        <f t="shared" ref="BJ133:BJ196" si="146">$BJ$3</f>
        <v>517.78430032567064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29.581933472762607</v>
      </c>
      <c r="BQ133" s="23">
        <f>EXP(-LN(2)/25)*BQ132+(1-EXP(-LN(2)/25))/(LN(2)/25)*Calculateur!BL133*Calculateur!BN133*VLOOKUP('Données projet'!$B$11,Paramètres!$A$1:$I$89,3,0)*0.475*44/12</f>
        <v>4.3245476601692561</v>
      </c>
      <c r="BR133" s="23">
        <f>EXP(-LN(2)/2)*BR132+(1-EXP(-LN(2)/2))/(LN(2)/2)*BL133*BO133*VLOOKUP('Données projet'!$B$11,Paramètres!$A$1:$I$89,3,0)*0.475*44/12</f>
        <v>1.695468887839728E-9</v>
      </c>
      <c r="BS133" s="24">
        <f t="shared" si="117"/>
        <v>33.906481134627334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>
        <f>BY133*VLOOKUP('Données projet'!$B$12,Paramètres!$A$1:$I$89,3,0)*VLOOKUP('Données projet'!$B$12,Paramètres!$A$1:$I$89,5,0)</f>
        <v>0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275.76900776033335</v>
      </c>
      <c r="CE133" s="62">
        <f t="shared" ref="CE133:CE196" si="148">$CE$3</f>
        <v>299.36898480605191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28.349352911397503</v>
      </c>
      <c r="CL133" s="23">
        <f>EXP(-LN(2)/25)*CL132+(1-EXP(-LN(2)/25))/(LN(2)/25)*Calculateur!CG133*Calculateur!CI133*VLOOKUP('Données projet'!$B$12,Paramètres!$A$1:$I$89,3,0)*0.475*44/12</f>
        <v>4.1443581743288744</v>
      </c>
      <c r="CM133" s="23">
        <f>EXP(-LN(2)/2)*CM132+(1-EXP(-LN(2)/2))/(LN(2)/2)*CG133*CJ133*VLOOKUP('Données projet'!$B$12,Paramètres!$A$1:$I$89,3,0)*0.475*44/12</f>
        <v>1.6248243508464046E-9</v>
      </c>
      <c r="CN133" s="24">
        <f t="shared" si="120"/>
        <v>32.493711087351201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-5.6843418860808015E-14</v>
      </c>
      <c r="CU133" s="18">
        <f>CT133*VLOOKUP('Données projet'!$B$13,Paramètres!$A$1:$I$89,3,0)*VLOOKUP('Données projet'!$B$13,Paramètres!$A$1:$I$89,5,0)</f>
        <v>-6.2073013396002344E-14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482.24068797679558</v>
      </c>
      <c r="CZ133" s="62">
        <f t="shared" ref="CZ133:CZ196" si="150">$CZ$3</f>
        <v>316.28941055521693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219.71668009692539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219.71668009692539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-1.7053025658242404E-13</v>
      </c>
      <c r="DP133" s="18">
        <f>DO133*VLOOKUP('Données projet'!$B$14,Paramètres!$A$1:$I$89,3,0)*VLOOKUP('Données projet'!$B$14,Paramètres!$A$1:$I$89,5,0)</f>
        <v>-1.383341441396624E-13</v>
      </c>
      <c r="DQ133" s="14" t="e">
        <f t="shared" ref="DQ133:DQ153" si="151">EXP(-1.0587+0.8836*LN(DP133)+0.284)</f>
        <v>#NUM!</v>
      </c>
      <c r="DR133" s="22" t="e">
        <f t="shared" si="124"/>
        <v>#NUM!</v>
      </c>
      <c r="DS133" s="62" t="e">
        <f t="shared" si="125"/>
        <v>#NUM!</v>
      </c>
      <c r="DT133" s="62">
        <f ca="1">AVERAGE(OFFSET($DS$3,0,0,'Données projet'!$E$14+1,1))-AVERAGE(OFFSET($H$3,0,0,'Données projet'!$E$14+1,1))</f>
        <v>325.58538970226539</v>
      </c>
      <c r="DU133" s="62">
        <f t="shared" ref="DU133:DU196" si="152">$DU$3</f>
        <v>361.81085660423457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35.412097695632951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35.412097695632951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-2.8421709430404007E-13</v>
      </c>
      <c r="EK133" s="18">
        <f>EJ133*VLOOKUP('Données projet'!$B$15,Paramètres!$A$1:$I$89,3,0)*VLOOKUP('Données projet'!$B$15,Paramètres!$A$1:$I$89,5,0)</f>
        <v>-2.7489477361086758E-13</v>
      </c>
      <c r="EL133" s="14" t="e">
        <f t="shared" ref="EL133:EL153" si="153">EXP(-1.0587+0.8836*LN(EK133)+0.284)</f>
        <v>#NUM!</v>
      </c>
      <c r="EM133" s="22" t="e">
        <f t="shared" si="127"/>
        <v>#NUM!</v>
      </c>
      <c r="EN133" s="62" t="e">
        <f t="shared" si="128"/>
        <v>#NUM!</v>
      </c>
      <c r="EO133" s="62">
        <f ca="1">AVERAGE(OFFSET($EN$3,0,0,'Données projet'!$E$15+1,1))-AVERAGE(OFFSET($H$3,0,0,'Données projet'!$E$15+1,1))</f>
        <v>364.22267539944085</v>
      </c>
      <c r="EP133" s="62">
        <f t="shared" ref="EP133:EP196" si="154">$EP$3</f>
        <v>241.947139538615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155.68496189725005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155.68496189725005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-1.7053025658242404E-13</v>
      </c>
      <c r="FF133" s="18">
        <f>FE133*VLOOKUP('Données projet'!$B$16,Paramètres!$A$1:$I$89,3,0)*VLOOKUP('Données projet'!$B$16,Paramètres!$A$1:$I$89,5,0)</f>
        <v>-1.4897523215040567E-13</v>
      </c>
      <c r="FG133" s="14" t="e">
        <f t="shared" ref="FG133:FG153" si="155">EXP(-1.0587+0.8836*LN(FF133)+0.284)</f>
        <v>#NUM!</v>
      </c>
      <c r="FH133" s="22" t="e">
        <f t="shared" si="130"/>
        <v>#NUM!</v>
      </c>
      <c r="FI133" s="62" t="e">
        <f t="shared" si="131"/>
        <v>#NUM!</v>
      </c>
      <c r="FJ133" s="62">
        <f ca="1">AVERAGE(OFFSET($FI$3,0,0,'Données projet'!$E$16+1,1))-AVERAGE(OFFSET($H$3,0,0,'Données projet'!$E$16+1,1))</f>
        <v>286.59837239471312</v>
      </c>
      <c r="FK133" s="62">
        <f t="shared" ref="FK133:FK196" si="156">$FK$3</f>
        <v>319.26091328564689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30.736310303874699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30.736310303874699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-1.7053025658242404E-13</v>
      </c>
      <c r="GA133" s="18">
        <f>FZ133*VLOOKUP('Données projet'!$B$17,Paramètres!$A$1:$I$89,3,0)*VLOOKUP('Données projet'!$B$17,Paramètres!$A$1:$I$89,5,0)</f>
        <v>-1.1439169611549005E-13</v>
      </c>
      <c r="GB133" s="14" t="e">
        <f t="shared" ref="GB133:GB153" si="157">EXP(-1.0587+0.8836*LN(GA133)+0.284)</f>
        <v>#NUM!</v>
      </c>
      <c r="GC133" s="22" t="e">
        <f t="shared" si="133"/>
        <v>#NUM!</v>
      </c>
      <c r="GD133" s="62" t="e">
        <f t="shared" si="134"/>
        <v>#NUM!</v>
      </c>
      <c r="GE133" s="62">
        <f ca="1">AVERAGE(OFFSET($GD$3,0,0,'Données projet'!$E$17+1,1))-AVERAGE(OFFSET($H$3,0,0,'Données projet'!$E$17+1,1))</f>
        <v>277.37570531842186</v>
      </c>
      <c r="GF133" s="62">
        <f t="shared" ref="GF133:GF196" si="158">$GF$3</f>
        <v>310.00874200911312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projet'!$B$17,Paramètres!$A$1:$I$89,3,0)*0.475*44/12</f>
        <v>36.093099574395126</v>
      </c>
      <c r="GM133" s="23">
        <f>EXP(-LN(2)/25)*GM132+(1-EXP(-LN(2)/25))/(LN(2)/25)*Calculateur!GH133*Calculateur!GJ133*VLOOKUP('Données projet'!$B$17,Paramètres!$A$1:$I$89,3,0)*0.475*44/12</f>
        <v>0</v>
      </c>
      <c r="GN133" s="23">
        <f>EXP(-LN(2)/2)*GN132+(1-EXP(-LN(2)/2))/(LN(2)/2)*GH133*GK133*VLOOKUP('Données projet'!$B$17,Paramètres!$A$1:$I$89,3,0)*0.475*44/12</f>
        <v>0</v>
      </c>
      <c r="GO133" s="23">
        <f t="shared" si="135"/>
        <v>36.093099574395126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-5.6843418860808015E-14</v>
      </c>
      <c r="O134" s="14">
        <f>N134*VLOOKUP('Données projet'!$B$9,Paramètres!$A$1:$I$89,3,0)*VLOOKUP('Données projet'!$B$9,Paramètres!$A$1:$I$89,5,0)</f>
        <v>-4.9658410716801891E-14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401.34220206028908</v>
      </c>
      <c r="T134" s="62">
        <f t="shared" si="142"/>
        <v>265.33314259106987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172.32653601133347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172.32653601133347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1.7053025658242404E-13</v>
      </c>
      <c r="AJ134" s="14">
        <f>AI134*VLOOKUP('Données projet'!$B$10,Paramètres!$A$1:$I$89,3,0)*VLOOKUP('Données projet'!$B$10,Paramètres!$A$1:$I$89,5,0)</f>
        <v>7.9808160080574461E-14</v>
      </c>
      <c r="AK134" s="14">
        <f t="shared" si="143"/>
        <v>1.2308384591775343E-12</v>
      </c>
      <c r="AL134" s="22">
        <f t="shared" si="112"/>
        <v>2.282709528541206E-12</v>
      </c>
      <c r="AM134" s="62">
        <f t="shared" si="113"/>
        <v>284.073752243108</v>
      </c>
      <c r="AN134" s="62">
        <f ca="1">AVERAGE(OFFSET($AM$3,0,0,'Données projet'!$E$10+1,1))-AVERAGE(OFFSET($H$3,0,0,'Données projet'!$E$10+1,1))</f>
        <v>253.48761861464732</v>
      </c>
      <c r="AO134" s="62">
        <f t="shared" si="144"/>
        <v>219.50855998133855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68.528478398155414</v>
      </c>
      <c r="AV134" s="23">
        <f>EXP(-LN(2)/25)*AV133+(1-EXP(-LN(2)/25))/(LN(2)/25)*Calculateur!AQ134*Calculateur!AS134*VLOOKUP('Données projet'!$B$10,Paramètres!$A$1:$I$89,3,0)*0.475*44/12</f>
        <v>12.278597245757162</v>
      </c>
      <c r="AW134" s="23">
        <f>EXP(-LN(2)/2)*AW133+(1-EXP(-LN(2)/2))/(LN(2)/2)*AQ134*AT134*VLOOKUP('Données projet'!$B$10,Paramètres!$A$1:$I$89,3,0)*0.475*44/12</f>
        <v>5.1446062242062037E-4</v>
      </c>
      <c r="AX134" s="23">
        <f t="shared" si="114"/>
        <v>80.807590104535009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482.85256243111911</v>
      </c>
      <c r="BJ134" s="62">
        <f t="shared" si="146"/>
        <v>517.78430032567064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29.001849800559533</v>
      </c>
      <c r="BQ134" s="23">
        <f>EXP(-LN(2)/25)*BQ133+(1-EXP(-LN(2)/25))/(LN(2)/25)*Calculateur!BL134*Calculateur!BN134*VLOOKUP('Données projet'!$B$11,Paramètres!$A$1:$I$89,3,0)*0.475*44/12</f>
        <v>4.2062926769838498</v>
      </c>
      <c r="BR134" s="23">
        <f>EXP(-LN(2)/2)*BR133+(1-EXP(-LN(2)/2))/(LN(2)/2)*BL134*BO134*VLOOKUP('Données projet'!$B$11,Paramètres!$A$1:$I$89,3,0)*0.475*44/12</f>
        <v>1.1988775478822856E-9</v>
      </c>
      <c r="BS134" s="24">
        <f t="shared" si="117"/>
        <v>33.208142478742261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>
        <f>BY134*VLOOKUP('Données projet'!$B$12,Paramètres!$A$1:$I$89,3,0)*VLOOKUP('Données projet'!$B$12,Paramètres!$A$1:$I$89,5,0)</f>
        <v>0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275.76900776033335</v>
      </c>
      <c r="CE134" s="62">
        <f t="shared" si="148"/>
        <v>299.36898480605191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27.793439392202892</v>
      </c>
      <c r="CL134" s="23">
        <f>EXP(-LN(2)/25)*CL133+(1-EXP(-LN(2)/25))/(LN(2)/25)*Calculateur!CG134*Calculateur!CI134*VLOOKUP('Données projet'!$B$12,Paramètres!$A$1:$I$89,3,0)*0.475*44/12</f>
        <v>4.0310304821095269</v>
      </c>
      <c r="CM134" s="23">
        <f>EXP(-LN(2)/2)*CM133+(1-EXP(-LN(2)/2))/(LN(2)/2)*CG134*CJ134*VLOOKUP('Données projet'!$B$12,Paramètres!$A$1:$I$89,3,0)*0.475*44/12</f>
        <v>1.1489243167205227E-9</v>
      </c>
      <c r="CN134" s="24">
        <f t="shared" si="120"/>
        <v>31.824469875461343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-5.6843418860808015E-14</v>
      </c>
      <c r="CU134" s="18">
        <f>CT134*VLOOKUP('Données projet'!$B$13,Paramètres!$A$1:$I$89,3,0)*VLOOKUP('Données projet'!$B$13,Paramètres!$A$1:$I$89,5,0)</f>
        <v>-6.2073013396002344E-14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482.24068797679558</v>
      </c>
      <c r="CZ134" s="62">
        <f t="shared" si="150"/>
        <v>316.28941055521693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215.40817001416676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215.40817001416676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-1.7053025658242404E-13</v>
      </c>
      <c r="DP134" s="18">
        <f>DO134*VLOOKUP('Données projet'!$B$14,Paramètres!$A$1:$I$89,3,0)*VLOOKUP('Données projet'!$B$14,Paramètres!$A$1:$I$89,5,0)</f>
        <v>-1.383341441396624E-13</v>
      </c>
      <c r="DQ134" s="14" t="e">
        <f t="shared" si="151"/>
        <v>#NUM!</v>
      </c>
      <c r="DR134" s="22" t="e">
        <f t="shared" si="124"/>
        <v>#NUM!</v>
      </c>
      <c r="DS134" s="62" t="e">
        <f t="shared" si="125"/>
        <v>#NUM!</v>
      </c>
      <c r="DT134" s="62">
        <f ca="1">AVERAGE(OFFSET($DS$3,0,0,'Données projet'!$E$14+1,1))-AVERAGE(OFFSET($H$3,0,0,'Données projet'!$E$14+1,1))</f>
        <v>325.58538970226539</v>
      </c>
      <c r="DU134" s="62">
        <f t="shared" si="152"/>
        <v>361.81085660423457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34.717688059068436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34.717688059068436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-2.8421709430404007E-13</v>
      </c>
      <c r="EK134" s="18">
        <f>EJ134*VLOOKUP('Données projet'!$B$15,Paramètres!$A$1:$I$89,3,0)*VLOOKUP('Données projet'!$B$15,Paramètres!$A$1:$I$89,5,0)</f>
        <v>-2.7489477361086758E-13</v>
      </c>
      <c r="EL134" s="14" t="e">
        <f t="shared" si="153"/>
        <v>#NUM!</v>
      </c>
      <c r="EM134" s="22" t="e">
        <f t="shared" si="127"/>
        <v>#NUM!</v>
      </c>
      <c r="EN134" s="62" t="e">
        <f t="shared" si="128"/>
        <v>#NUM!</v>
      </c>
      <c r="EO134" s="62">
        <f ca="1">AVERAGE(OFFSET($EN$3,0,0,'Données projet'!$E$15+1,1))-AVERAGE(OFFSET($H$3,0,0,'Données projet'!$E$15+1,1))</f>
        <v>364.22267539944085</v>
      </c>
      <c r="EP134" s="62">
        <f t="shared" si="154"/>
        <v>241.947139538615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152.63207475289536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152.63207475289536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-1.7053025658242404E-13</v>
      </c>
      <c r="FF134" s="18">
        <f>FE134*VLOOKUP('Données projet'!$B$16,Paramètres!$A$1:$I$89,3,0)*VLOOKUP('Données projet'!$B$16,Paramètres!$A$1:$I$89,5,0)</f>
        <v>-1.4897523215040567E-13</v>
      </c>
      <c r="FG134" s="14" t="e">
        <f t="shared" si="155"/>
        <v>#NUM!</v>
      </c>
      <c r="FH134" s="22" t="e">
        <f t="shared" si="130"/>
        <v>#NUM!</v>
      </c>
      <c r="FI134" s="62" t="e">
        <f t="shared" si="131"/>
        <v>#NUM!</v>
      </c>
      <c r="FJ134" s="62">
        <f ca="1">AVERAGE(OFFSET($FI$3,0,0,'Données projet'!$E$16+1,1))-AVERAGE(OFFSET($H$3,0,0,'Données projet'!$E$16+1,1))</f>
        <v>286.59837239471312</v>
      </c>
      <c r="FK134" s="62">
        <f t="shared" si="156"/>
        <v>319.26091328564689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30.13359000611386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30.13359000611386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-1.7053025658242404E-13</v>
      </c>
      <c r="GA134" s="18">
        <f>FZ134*VLOOKUP('Données projet'!$B$17,Paramètres!$A$1:$I$89,3,0)*VLOOKUP('Données projet'!$B$17,Paramètres!$A$1:$I$89,5,0)</f>
        <v>-1.1439169611549005E-13</v>
      </c>
      <c r="GB134" s="14" t="e">
        <f t="shared" si="157"/>
        <v>#NUM!</v>
      </c>
      <c r="GC134" s="22" t="e">
        <f t="shared" si="133"/>
        <v>#NUM!</v>
      </c>
      <c r="GD134" s="62" t="e">
        <f t="shared" si="134"/>
        <v>#NUM!</v>
      </c>
      <c r="GE134" s="62">
        <f ca="1">AVERAGE(OFFSET($GD$3,0,0,'Données projet'!$E$17+1,1))-AVERAGE(OFFSET($H$3,0,0,'Données projet'!$E$17+1,1))</f>
        <v>277.37570531842186</v>
      </c>
      <c r="GF134" s="62">
        <f t="shared" si="158"/>
        <v>310.00874200911312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projet'!$B$17,Paramètres!$A$1:$I$89,3,0)*0.475*44/12</f>
        <v>35.385335906358215</v>
      </c>
      <c r="GM134" s="23">
        <f>EXP(-LN(2)/25)*GM133+(1-EXP(-LN(2)/25))/(LN(2)/25)*Calculateur!GH134*Calculateur!GJ134*VLOOKUP('Données projet'!$B$17,Paramètres!$A$1:$I$89,3,0)*0.475*44/12</f>
        <v>0</v>
      </c>
      <c r="GN134" s="23">
        <f>EXP(-LN(2)/2)*GN133+(1-EXP(-LN(2)/2))/(LN(2)/2)*GH134*GK134*VLOOKUP('Données projet'!$B$17,Paramètres!$A$1:$I$89,3,0)*0.475*44/12</f>
        <v>0</v>
      </c>
      <c r="GO134" s="23">
        <f t="shared" si="135"/>
        <v>35.385335906358215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-5.6843418860808015E-14</v>
      </c>
      <c r="O135" s="14">
        <f>N135*VLOOKUP('Données projet'!$B$9,Paramètres!$A$1:$I$89,3,0)*VLOOKUP('Données projet'!$B$9,Paramètres!$A$1:$I$89,5,0)</f>
        <v>-4.9658410716801891E-14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401.34220206028908</v>
      </c>
      <c r="T135" s="62">
        <f t="shared" si="142"/>
        <v>265.33314259106987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168.94731774895956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168.94731774895956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1.7053025658242404E-13</v>
      </c>
      <c r="AJ135" s="14">
        <f>AI135*VLOOKUP('Données projet'!$B$10,Paramètres!$A$1:$I$89,3,0)*VLOOKUP('Données projet'!$B$10,Paramètres!$A$1:$I$89,5,0)</f>
        <v>7.9808160080574461E-14</v>
      </c>
      <c r="AK135" s="14">
        <f t="shared" si="143"/>
        <v>1.2308384591775343E-12</v>
      </c>
      <c r="AL135" s="22">
        <f t="shared" si="112"/>
        <v>2.282709528541206E-12</v>
      </c>
      <c r="AM135" s="62">
        <f t="shared" si="113"/>
        <v>284.23438527370143</v>
      </c>
      <c r="AN135" s="62">
        <f ca="1">AVERAGE(OFFSET($AM$3,0,0,'Données projet'!$E$10+1,1))-AVERAGE(OFFSET($H$3,0,0,'Données projet'!$E$10+1,1))</f>
        <v>253.48761861464732</v>
      </c>
      <c r="AO135" s="62">
        <f t="shared" si="144"/>
        <v>219.50855998133855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67.184676735012175</v>
      </c>
      <c r="AV135" s="23">
        <f>EXP(-LN(2)/25)*AV134+(1-EXP(-LN(2)/25))/(LN(2)/25)*Calculateur!AQ135*Calculateur!AS135*VLOOKUP('Données projet'!$B$10,Paramètres!$A$1:$I$89,3,0)*0.475*44/12</f>
        <v>11.942838358368567</v>
      </c>
      <c r="AW135" s="23">
        <f>EXP(-LN(2)/2)*AW134+(1-EXP(-LN(2)/2))/(LN(2)/2)*AQ135*AT135*VLOOKUP('Données projet'!$B$10,Paramètres!$A$1:$I$89,3,0)*0.475*44/12</f>
        <v>3.6377859476707265E-4</v>
      </c>
      <c r="AX135" s="23">
        <f t="shared" si="114"/>
        <v>79.127878871975497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482.85256243111911</v>
      </c>
      <c r="BJ135" s="62">
        <f t="shared" si="146"/>
        <v>517.78430032567064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28.433141215352258</v>
      </c>
      <c r="BQ135" s="23">
        <f>EXP(-LN(2)/25)*BQ134+(1-EXP(-LN(2)/25))/(LN(2)/25)*Calculateur!BL135*Calculateur!BN135*VLOOKUP('Données projet'!$B$11,Paramètres!$A$1:$I$89,3,0)*0.475*44/12</f>
        <v>4.0912713825324083</v>
      </c>
      <c r="BR135" s="23">
        <f>EXP(-LN(2)/2)*BR134+(1-EXP(-LN(2)/2))/(LN(2)/2)*BL135*BO135*VLOOKUP('Données projet'!$B$11,Paramètres!$A$1:$I$89,3,0)*0.475*44/12</f>
        <v>8.4773444391986402E-10</v>
      </c>
      <c r="BS135" s="24">
        <f t="shared" si="117"/>
        <v>32.524412598732397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>
        <f>BY135*VLOOKUP('Données projet'!$B$12,Paramètres!$A$1:$I$89,3,0)*VLOOKUP('Données projet'!$B$12,Paramètres!$A$1:$I$89,5,0)</f>
        <v>0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275.76900776033335</v>
      </c>
      <c r="CE135" s="62">
        <f t="shared" si="148"/>
        <v>299.36898480605191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27.248426998045918</v>
      </c>
      <c r="CL135" s="23">
        <f>EXP(-LN(2)/25)*CL134+(1-EXP(-LN(2)/25))/(LN(2)/25)*Calculateur!CG135*Calculateur!CI135*VLOOKUP('Données projet'!$B$12,Paramètres!$A$1:$I$89,3,0)*0.475*44/12</f>
        <v>3.9208017415935617</v>
      </c>
      <c r="CM135" s="23">
        <f>EXP(-LN(2)/2)*CM134+(1-EXP(-LN(2)/2))/(LN(2)/2)*CG135*CJ135*VLOOKUP('Données projet'!$B$12,Paramètres!$A$1:$I$89,3,0)*0.475*44/12</f>
        <v>8.1241217542320231E-10</v>
      </c>
      <c r="CN135" s="24">
        <f t="shared" si="120"/>
        <v>31.169228740451892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-5.6843418860808015E-14</v>
      </c>
      <c r="CU135" s="18">
        <f>CT135*VLOOKUP('Données projet'!$B$13,Paramètres!$A$1:$I$89,3,0)*VLOOKUP('Données projet'!$B$13,Paramètres!$A$1:$I$89,5,0)</f>
        <v>-6.2073013396002344E-14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482.24068797679558</v>
      </c>
      <c r="CZ135" s="62">
        <f t="shared" si="150"/>
        <v>316.28941055521693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211.18414718619937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211.18414718619937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-1.7053025658242404E-13</v>
      </c>
      <c r="DP135" s="18">
        <f>DO135*VLOOKUP('Données projet'!$B$14,Paramètres!$A$1:$I$89,3,0)*VLOOKUP('Données projet'!$B$14,Paramètres!$A$1:$I$89,5,0)</f>
        <v>-1.383341441396624E-13</v>
      </c>
      <c r="DQ135" s="14" t="e">
        <f t="shared" si="151"/>
        <v>#NUM!</v>
      </c>
      <c r="DR135" s="22" t="e">
        <f t="shared" si="124"/>
        <v>#NUM!</v>
      </c>
      <c r="DS135" s="62" t="e">
        <f t="shared" si="125"/>
        <v>#NUM!</v>
      </c>
      <c r="DT135" s="62">
        <f ca="1">AVERAGE(OFFSET($DS$3,0,0,'Données projet'!$E$14+1,1))-AVERAGE(OFFSET($H$3,0,0,'Données projet'!$E$14+1,1))</f>
        <v>325.58538970226539</v>
      </c>
      <c r="DU135" s="62">
        <f t="shared" si="152"/>
        <v>361.81085660423457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34.036895371928892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34.036895371928892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-2.8421709430404007E-13</v>
      </c>
      <c r="EK135" s="18">
        <f>EJ135*VLOOKUP('Données projet'!$B$15,Paramètres!$A$1:$I$89,3,0)*VLOOKUP('Données projet'!$B$15,Paramètres!$A$1:$I$89,5,0)</f>
        <v>-2.7489477361086758E-13</v>
      </c>
      <c r="EL135" s="14" t="e">
        <f t="shared" si="153"/>
        <v>#NUM!</v>
      </c>
      <c r="EM135" s="22" t="e">
        <f t="shared" si="127"/>
        <v>#NUM!</v>
      </c>
      <c r="EN135" s="62" t="e">
        <f t="shared" si="128"/>
        <v>#NUM!</v>
      </c>
      <c r="EO135" s="62">
        <f ca="1">AVERAGE(OFFSET($EN$3,0,0,'Données projet'!$E$15+1,1))-AVERAGE(OFFSET($H$3,0,0,'Données projet'!$E$15+1,1))</f>
        <v>364.22267539944085</v>
      </c>
      <c r="EP135" s="62">
        <f t="shared" si="154"/>
        <v>241.947139538615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149.63905286336418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149.63905286336418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-1.7053025658242404E-13</v>
      </c>
      <c r="FF135" s="18">
        <f>FE135*VLOOKUP('Données projet'!$B$16,Paramètres!$A$1:$I$89,3,0)*VLOOKUP('Données projet'!$B$16,Paramètres!$A$1:$I$89,5,0)</f>
        <v>-1.4897523215040567E-13</v>
      </c>
      <c r="FG135" s="14" t="e">
        <f t="shared" si="155"/>
        <v>#NUM!</v>
      </c>
      <c r="FH135" s="22" t="e">
        <f t="shared" si="130"/>
        <v>#NUM!</v>
      </c>
      <c r="FI135" s="62" t="e">
        <f t="shared" si="131"/>
        <v>#NUM!</v>
      </c>
      <c r="FJ135" s="62">
        <f ca="1">AVERAGE(OFFSET($FI$3,0,0,'Données projet'!$E$16+1,1))-AVERAGE(OFFSET($H$3,0,0,'Données projet'!$E$16+1,1))</f>
        <v>286.59837239471312</v>
      </c>
      <c r="FK135" s="62">
        <f t="shared" si="156"/>
        <v>319.26091328564689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29.542688685769029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29.542688685769029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-1.7053025658242404E-13</v>
      </c>
      <c r="GA135" s="18">
        <f>FZ135*VLOOKUP('Données projet'!$B$17,Paramètres!$A$1:$I$89,3,0)*VLOOKUP('Données projet'!$B$17,Paramètres!$A$1:$I$89,5,0)</f>
        <v>-1.1439169611549005E-13</v>
      </c>
      <c r="GB135" s="14" t="e">
        <f t="shared" si="157"/>
        <v>#NUM!</v>
      </c>
      <c r="GC135" s="22" t="e">
        <f t="shared" si="133"/>
        <v>#NUM!</v>
      </c>
      <c r="GD135" s="62" t="e">
        <f t="shared" si="134"/>
        <v>#NUM!</v>
      </c>
      <c r="GE135" s="62">
        <f ca="1">AVERAGE(OFFSET($GD$3,0,0,'Données projet'!$E$17+1,1))-AVERAGE(OFFSET($H$3,0,0,'Données projet'!$E$17+1,1))</f>
        <v>277.37570531842186</v>
      </c>
      <c r="GF135" s="62">
        <f t="shared" si="158"/>
        <v>310.00874200911312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projet'!$B$17,Paramètres!$A$1:$I$89,3,0)*0.475*44/12</f>
        <v>34.6914510521583</v>
      </c>
      <c r="GM135" s="23">
        <f>EXP(-LN(2)/25)*GM134+(1-EXP(-LN(2)/25))/(LN(2)/25)*Calculateur!GH135*Calculateur!GJ135*VLOOKUP('Données projet'!$B$17,Paramètres!$A$1:$I$89,3,0)*0.475*44/12</f>
        <v>0</v>
      </c>
      <c r="GN135" s="23">
        <f>EXP(-LN(2)/2)*GN134+(1-EXP(-LN(2)/2))/(LN(2)/2)*GH135*GK135*VLOOKUP('Données projet'!$B$17,Paramètres!$A$1:$I$89,3,0)*0.475*44/12</f>
        <v>0</v>
      </c>
      <c r="GO135" s="23">
        <f t="shared" si="135"/>
        <v>34.6914510521583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-5.6843418860808015E-14</v>
      </c>
      <c r="O136" s="14">
        <f>N136*VLOOKUP('Données projet'!$B$9,Paramètres!$A$1:$I$89,3,0)*VLOOKUP('Données projet'!$B$9,Paramètres!$A$1:$I$89,5,0)</f>
        <v>-4.9658410716801891E-14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401.34220206028908</v>
      </c>
      <c r="T136" s="62">
        <f t="shared" si="142"/>
        <v>265.33314259106987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165.63436389559118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165.63436389559118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1.7053025658242404E-13</v>
      </c>
      <c r="AJ136" s="14">
        <f>AI136*VLOOKUP('Données projet'!$B$10,Paramètres!$A$1:$I$89,3,0)*VLOOKUP('Données projet'!$B$10,Paramètres!$A$1:$I$89,5,0)</f>
        <v>7.9808160080574461E-14</v>
      </c>
      <c r="AK136" s="14">
        <f t="shared" si="143"/>
        <v>1.2308384591775343E-12</v>
      </c>
      <c r="AL136" s="22">
        <f t="shared" si="112"/>
        <v>2.282709528541206E-12</v>
      </c>
      <c r="AM136" s="62">
        <f t="shared" si="113"/>
        <v>284.39223168033567</v>
      </c>
      <c r="AN136" s="62">
        <f ca="1">AVERAGE(OFFSET($AM$3,0,0,'Données projet'!$E$10+1,1))-AVERAGE(OFFSET($H$3,0,0,'Données projet'!$E$10+1,1))</f>
        <v>253.48761861464732</v>
      </c>
      <c r="AO136" s="62">
        <f t="shared" si="144"/>
        <v>219.50855998133855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65.867226202845089</v>
      </c>
      <c r="AV136" s="23">
        <f>EXP(-LN(2)/25)*AV135+(1-EXP(-LN(2)/25))/(LN(2)/25)*Calculateur!AQ136*Calculateur!AS136*VLOOKUP('Données projet'!$B$10,Paramètres!$A$1:$I$89,3,0)*0.475*44/12</f>
        <v>11.616260815412405</v>
      </c>
      <c r="AW136" s="23">
        <f>EXP(-LN(2)/2)*AW135+(1-EXP(-LN(2)/2))/(LN(2)/2)*AQ136*AT136*VLOOKUP('Données projet'!$B$10,Paramètres!$A$1:$I$89,3,0)*0.475*44/12</f>
        <v>2.5723031121031018E-4</v>
      </c>
      <c r="AX136" s="23">
        <f t="shared" si="114"/>
        <v>77.483744248568698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482.85256243111911</v>
      </c>
      <c r="BJ136" s="62">
        <f t="shared" si="146"/>
        <v>517.78430032567064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27.875584658622913</v>
      </c>
      <c r="BQ136" s="23">
        <f>EXP(-LN(2)/25)*BQ135+(1-EXP(-LN(2)/25))/(LN(2)/25)*Calculateur!BL136*Calculateur!BN136*VLOOKUP('Données projet'!$B$11,Paramètres!$A$1:$I$89,3,0)*0.475*44/12</f>
        <v>3.9793953514264482</v>
      </c>
      <c r="BR136" s="23">
        <f>EXP(-LN(2)/2)*BR135+(1-EXP(-LN(2)/2))/(LN(2)/2)*BL136*BO136*VLOOKUP('Données projet'!$B$11,Paramètres!$A$1:$I$89,3,0)*0.475*44/12</f>
        <v>5.9943877394114282E-10</v>
      </c>
      <c r="BS136" s="24">
        <f t="shared" si="117"/>
        <v>31.854980010648799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>
        <f>BY136*VLOOKUP('Données projet'!$B$12,Paramètres!$A$1:$I$89,3,0)*VLOOKUP('Données projet'!$B$12,Paramètres!$A$1:$I$89,5,0)</f>
        <v>0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275.76900776033335</v>
      </c>
      <c r="CE136" s="62">
        <f t="shared" si="148"/>
        <v>299.36898480605191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26.714101964513628</v>
      </c>
      <c r="CL136" s="23">
        <f>EXP(-LN(2)/25)*CL135+(1-EXP(-LN(2)/25))/(LN(2)/25)*Calculateur!CG136*Calculateur!CI136*VLOOKUP('Données projet'!$B$12,Paramètres!$A$1:$I$89,3,0)*0.475*44/12</f>
        <v>3.8135872117836831</v>
      </c>
      <c r="CM136" s="23">
        <f>EXP(-LN(2)/2)*CM135+(1-EXP(-LN(2)/2))/(LN(2)/2)*CG136*CJ136*VLOOKUP('Données projet'!$B$12,Paramètres!$A$1:$I$89,3,0)*0.475*44/12</f>
        <v>5.7446215836026137E-10</v>
      </c>
      <c r="CN136" s="24">
        <f t="shared" si="120"/>
        <v>30.527689176871775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-5.6843418860808015E-14</v>
      </c>
      <c r="CU136" s="18">
        <f>CT136*VLOOKUP('Données projet'!$B$13,Paramètres!$A$1:$I$89,3,0)*VLOOKUP('Données projet'!$B$13,Paramètres!$A$1:$I$89,5,0)</f>
        <v>-6.2073013396002344E-14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482.24068797679558</v>
      </c>
      <c r="CZ136" s="62">
        <f t="shared" si="150"/>
        <v>316.28941055521693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207.04295486948888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207.04295486948888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-1.7053025658242404E-13</v>
      </c>
      <c r="DP136" s="18">
        <f>DO136*VLOOKUP('Données projet'!$B$14,Paramètres!$A$1:$I$89,3,0)*VLOOKUP('Données projet'!$B$14,Paramètres!$A$1:$I$89,5,0)</f>
        <v>-1.383341441396624E-13</v>
      </c>
      <c r="DQ136" s="14" t="e">
        <f t="shared" si="151"/>
        <v>#NUM!</v>
      </c>
      <c r="DR136" s="22" t="e">
        <f t="shared" si="124"/>
        <v>#NUM!</v>
      </c>
      <c r="DS136" s="62" t="e">
        <f t="shared" si="125"/>
        <v>#NUM!</v>
      </c>
      <c r="DT136" s="62">
        <f ca="1">AVERAGE(OFFSET($DS$3,0,0,'Données projet'!$E$14+1,1))-AVERAGE(OFFSET($H$3,0,0,'Données projet'!$E$14+1,1))</f>
        <v>325.58538970226539</v>
      </c>
      <c r="DU136" s="62">
        <f t="shared" si="152"/>
        <v>361.81085660423457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33.369452614141622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33.369452614141622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-2.8421709430404007E-13</v>
      </c>
      <c r="EK136" s="18">
        <f>EJ136*VLOOKUP('Données projet'!$B$15,Paramètres!$A$1:$I$89,3,0)*VLOOKUP('Données projet'!$B$15,Paramètres!$A$1:$I$89,5,0)</f>
        <v>-2.7489477361086758E-13</v>
      </c>
      <c r="EL136" s="14" t="e">
        <f t="shared" si="153"/>
        <v>#NUM!</v>
      </c>
      <c r="EM136" s="22" t="e">
        <f t="shared" si="127"/>
        <v>#NUM!</v>
      </c>
      <c r="EN136" s="62" t="e">
        <f t="shared" si="128"/>
        <v>#NUM!</v>
      </c>
      <c r="EO136" s="62">
        <f ca="1">AVERAGE(OFFSET($EN$3,0,0,'Données projet'!$E$15+1,1))-AVERAGE(OFFSET($H$3,0,0,'Données projet'!$E$15+1,1))</f>
        <v>364.22267539944085</v>
      </c>
      <c r="EP136" s="62">
        <f t="shared" si="154"/>
        <v>241.947139538615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146.70472230752361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146.70472230752361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-1.7053025658242404E-13</v>
      </c>
      <c r="FF136" s="18">
        <f>FE136*VLOOKUP('Données projet'!$B$16,Paramètres!$A$1:$I$89,3,0)*VLOOKUP('Données projet'!$B$16,Paramètres!$A$1:$I$89,5,0)</f>
        <v>-1.4897523215040567E-13</v>
      </c>
      <c r="FG136" s="14" t="e">
        <f t="shared" si="155"/>
        <v>#NUM!</v>
      </c>
      <c r="FH136" s="22" t="e">
        <f t="shared" si="130"/>
        <v>#NUM!</v>
      </c>
      <c r="FI136" s="62" t="e">
        <f t="shared" si="131"/>
        <v>#NUM!</v>
      </c>
      <c r="FJ136" s="62">
        <f ca="1">AVERAGE(OFFSET($FI$3,0,0,'Données projet'!$E$16+1,1))-AVERAGE(OFFSET($H$3,0,0,'Données projet'!$E$16+1,1))</f>
        <v>286.59837239471312</v>
      </c>
      <c r="FK136" s="62">
        <f t="shared" si="156"/>
        <v>319.26091328564689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28.963374579901942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28.963374579901942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-1.7053025658242404E-13</v>
      </c>
      <c r="GA136" s="18">
        <f>FZ136*VLOOKUP('Données projet'!$B$17,Paramètres!$A$1:$I$89,3,0)*VLOOKUP('Données projet'!$B$17,Paramètres!$A$1:$I$89,5,0)</f>
        <v>-1.1439169611549005E-13</v>
      </c>
      <c r="GB136" s="14" t="e">
        <f t="shared" si="157"/>
        <v>#NUM!</v>
      </c>
      <c r="GC136" s="22" t="e">
        <f t="shared" si="133"/>
        <v>#NUM!</v>
      </c>
      <c r="GD136" s="62" t="e">
        <f t="shared" si="134"/>
        <v>#NUM!</v>
      </c>
      <c r="GE136" s="62">
        <f ca="1">AVERAGE(OFFSET($GD$3,0,0,'Données projet'!$E$17+1,1))-AVERAGE(OFFSET($H$3,0,0,'Données projet'!$E$17+1,1))</f>
        <v>277.37570531842186</v>
      </c>
      <c r="GF136" s="62">
        <f t="shared" si="158"/>
        <v>310.00874200911312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projet'!$B$17,Paramètres!$A$1:$I$89,3,0)*0.475*44/12</f>
        <v>34.011172856721274</v>
      </c>
      <c r="GM136" s="23">
        <f>EXP(-LN(2)/25)*GM135+(1-EXP(-LN(2)/25))/(LN(2)/25)*Calculateur!GH136*Calculateur!GJ136*VLOOKUP('Données projet'!$B$17,Paramètres!$A$1:$I$89,3,0)*0.475*44/12</f>
        <v>0</v>
      </c>
      <c r="GN136" s="23">
        <f>EXP(-LN(2)/2)*GN135+(1-EXP(-LN(2)/2))/(LN(2)/2)*GH136*GK136*VLOOKUP('Données projet'!$B$17,Paramètres!$A$1:$I$89,3,0)*0.475*44/12</f>
        <v>0</v>
      </c>
      <c r="GO136" s="23">
        <f t="shared" si="135"/>
        <v>34.011172856721274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-5.6843418860808015E-14</v>
      </c>
      <c r="O137" s="14">
        <f>N137*VLOOKUP('Données projet'!$B$9,Paramètres!$A$1:$I$89,3,0)*VLOOKUP('Données projet'!$B$9,Paramètres!$A$1:$I$89,5,0)</f>
        <v>-4.9658410716801891E-14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401.34220206028908</v>
      </c>
      <c r="T137" s="62">
        <f t="shared" si="142"/>
        <v>265.33314259106987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162.38637504658502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162.38637504658502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1.7053025658242404E-13</v>
      </c>
      <c r="AJ137" s="14">
        <f>AI137*VLOOKUP('Données projet'!$B$10,Paramètres!$A$1:$I$89,3,0)*VLOOKUP('Données projet'!$B$10,Paramètres!$A$1:$I$89,5,0)</f>
        <v>7.9808160080574461E-14</v>
      </c>
      <c r="AK137" s="14">
        <f t="shared" si="143"/>
        <v>1.2308384591775343E-12</v>
      </c>
      <c r="AL137" s="22">
        <f t="shared" si="112"/>
        <v>2.282709528541206E-12</v>
      </c>
      <c r="AM137" s="62">
        <f t="shared" si="113"/>
        <v>284.54733980470655</v>
      </c>
      <c r="AN137" s="62">
        <f ca="1">AVERAGE(OFFSET($AM$3,0,0,'Données projet'!$E$10+1,1))-AVERAGE(OFFSET($H$3,0,0,'Données projet'!$E$10+1,1))</f>
        <v>253.48761861464732</v>
      </c>
      <c r="AO137" s="62">
        <f t="shared" si="144"/>
        <v>219.50855998133855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64.57561007204832</v>
      </c>
      <c r="AV137" s="23">
        <f>EXP(-LN(2)/25)*AV136+(1-EXP(-LN(2)/25))/(LN(2)/25)*Calculateur!AQ137*Calculateur!AS137*VLOOKUP('Données projet'!$B$10,Paramètres!$A$1:$I$89,3,0)*0.475*44/12</f>
        <v>11.298613552542346</v>
      </c>
      <c r="AW137" s="23">
        <f>EXP(-LN(2)/2)*AW136+(1-EXP(-LN(2)/2))/(LN(2)/2)*AQ137*AT137*VLOOKUP('Données projet'!$B$10,Paramètres!$A$1:$I$89,3,0)*0.475*44/12</f>
        <v>1.8188929738353633E-4</v>
      </c>
      <c r="AX137" s="23">
        <f t="shared" si="114"/>
        <v>75.87440551388805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482.85256243111911</v>
      </c>
      <c r="BJ137" s="62">
        <f t="shared" si="146"/>
        <v>517.78430032567064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27.328961445895107</v>
      </c>
      <c r="BQ137" s="23">
        <f>EXP(-LN(2)/25)*BQ136+(1-EXP(-LN(2)/25))/(LN(2)/25)*Calculateur!BL137*Calculateur!BN137*VLOOKUP('Données projet'!$B$11,Paramètres!$A$1:$I$89,3,0)*0.475*44/12</f>
        <v>3.8705785762743856</v>
      </c>
      <c r="BR137" s="23">
        <f>EXP(-LN(2)/2)*BR136+(1-EXP(-LN(2)/2))/(LN(2)/2)*BL137*BO137*VLOOKUP('Données projet'!$B$11,Paramètres!$A$1:$I$89,3,0)*0.475*44/12</f>
        <v>4.2386722195993201E-10</v>
      </c>
      <c r="BS137" s="24">
        <f t="shared" si="117"/>
        <v>31.199540022593361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>
        <f>BY137*VLOOKUP('Données projet'!$B$12,Paramètres!$A$1:$I$89,3,0)*VLOOKUP('Données projet'!$B$12,Paramètres!$A$1:$I$89,5,0)</f>
        <v>0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275.76900776033335</v>
      </c>
      <c r="CE137" s="62">
        <f t="shared" si="148"/>
        <v>299.36898480605191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26.190254718982814</v>
      </c>
      <c r="CL137" s="23">
        <f>EXP(-LN(2)/25)*CL136+(1-EXP(-LN(2)/25))/(LN(2)/25)*Calculateur!CG137*Calculateur!CI137*VLOOKUP('Données projet'!$B$12,Paramètres!$A$1:$I$89,3,0)*0.475*44/12</f>
        <v>3.7093044689296231</v>
      </c>
      <c r="CM137" s="23">
        <f>EXP(-LN(2)/2)*CM136+(1-EXP(-LN(2)/2))/(LN(2)/2)*CG137*CJ137*VLOOKUP('Données projet'!$B$12,Paramètres!$A$1:$I$89,3,0)*0.475*44/12</f>
        <v>4.0620608771160116E-10</v>
      </c>
      <c r="CN137" s="24">
        <f t="shared" si="120"/>
        <v>29.899559188318644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-5.6843418860808015E-14</v>
      </c>
      <c r="CU137" s="18">
        <f>CT137*VLOOKUP('Données projet'!$B$13,Paramètres!$A$1:$I$89,3,0)*VLOOKUP('Données projet'!$B$13,Paramètres!$A$1:$I$89,5,0)</f>
        <v>-6.2073013396002344E-14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482.24068797679558</v>
      </c>
      <c r="CZ137" s="62">
        <f t="shared" si="150"/>
        <v>316.28941055521693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202.98296880823119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202.98296880823119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-1.7053025658242404E-13</v>
      </c>
      <c r="DP137" s="18">
        <f>DO137*VLOOKUP('Données projet'!$B$14,Paramètres!$A$1:$I$89,3,0)*VLOOKUP('Données projet'!$B$14,Paramètres!$A$1:$I$89,5,0)</f>
        <v>-1.383341441396624E-13</v>
      </c>
      <c r="DQ137" s="14" t="e">
        <f t="shared" si="151"/>
        <v>#NUM!</v>
      </c>
      <c r="DR137" s="22" t="e">
        <f t="shared" si="124"/>
        <v>#NUM!</v>
      </c>
      <c r="DS137" s="62" t="e">
        <f t="shared" si="125"/>
        <v>#NUM!</v>
      </c>
      <c r="DT137" s="62">
        <f ca="1">AVERAGE(OFFSET($DS$3,0,0,'Données projet'!$E$14+1,1))-AVERAGE(OFFSET($H$3,0,0,'Données projet'!$E$14+1,1))</f>
        <v>325.58538970226539</v>
      </c>
      <c r="DU137" s="62">
        <f t="shared" si="152"/>
        <v>361.81085660423457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32.715098001734674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32.715098001734674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-2.8421709430404007E-13</v>
      </c>
      <c r="EK137" s="18">
        <f>EJ137*VLOOKUP('Données projet'!$B$15,Paramètres!$A$1:$I$89,3,0)*VLOOKUP('Données projet'!$B$15,Paramètres!$A$1:$I$89,5,0)</f>
        <v>-2.7489477361086758E-13</v>
      </c>
      <c r="EL137" s="14" t="e">
        <f t="shared" si="153"/>
        <v>#NUM!</v>
      </c>
      <c r="EM137" s="22" t="e">
        <f t="shared" si="127"/>
        <v>#NUM!</v>
      </c>
      <c r="EN137" s="62" t="e">
        <f t="shared" si="128"/>
        <v>#NUM!</v>
      </c>
      <c r="EO137" s="62">
        <f ca="1">AVERAGE(OFFSET($EN$3,0,0,'Données projet'!$E$15+1,1))-AVERAGE(OFFSET($H$3,0,0,'Données projet'!$E$15+1,1))</f>
        <v>364.22267539944085</v>
      </c>
      <c r="EP137" s="62">
        <f t="shared" si="154"/>
        <v>241.947139538615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143.82793218411817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143.82793218411817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-1.7053025658242404E-13</v>
      </c>
      <c r="FF137" s="18">
        <f>FE137*VLOOKUP('Données projet'!$B$16,Paramètres!$A$1:$I$89,3,0)*VLOOKUP('Données projet'!$B$16,Paramètres!$A$1:$I$89,5,0)</f>
        <v>-1.4897523215040567E-13</v>
      </c>
      <c r="FG137" s="14" t="e">
        <f t="shared" si="155"/>
        <v>#NUM!</v>
      </c>
      <c r="FH137" s="22" t="e">
        <f t="shared" si="130"/>
        <v>#NUM!</v>
      </c>
      <c r="FI137" s="62" t="e">
        <f t="shared" si="131"/>
        <v>#NUM!</v>
      </c>
      <c r="FJ137" s="62">
        <f ca="1">AVERAGE(OFFSET($FI$3,0,0,'Données projet'!$E$16+1,1))-AVERAGE(OFFSET($H$3,0,0,'Données projet'!$E$16+1,1))</f>
        <v>286.59837239471312</v>
      </c>
      <c r="FK137" s="62">
        <f t="shared" si="156"/>
        <v>319.26091328564689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28.395420470304195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28.395420470304195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-1.7053025658242404E-13</v>
      </c>
      <c r="GA137" s="18">
        <f>FZ137*VLOOKUP('Données projet'!$B$17,Paramètres!$A$1:$I$89,3,0)*VLOOKUP('Données projet'!$B$17,Paramètres!$A$1:$I$89,5,0)</f>
        <v>-1.1439169611549005E-13</v>
      </c>
      <c r="GB137" s="14" t="e">
        <f t="shared" si="157"/>
        <v>#NUM!</v>
      </c>
      <c r="GC137" s="22" t="e">
        <f t="shared" si="133"/>
        <v>#NUM!</v>
      </c>
      <c r="GD137" s="62" t="e">
        <f t="shared" si="134"/>
        <v>#NUM!</v>
      </c>
      <c r="GE137" s="62">
        <f ca="1">AVERAGE(OFFSET($GD$3,0,0,'Données projet'!$E$17+1,1))-AVERAGE(OFFSET($H$3,0,0,'Données projet'!$E$17+1,1))</f>
        <v>277.37570531842186</v>
      </c>
      <c r="GF137" s="62">
        <f t="shared" si="158"/>
        <v>310.00874200911312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projet'!$B$17,Paramètres!$A$1:$I$89,3,0)*0.475*44/12</f>
        <v>33.344234501768035</v>
      </c>
      <c r="GM137" s="23">
        <f>EXP(-LN(2)/25)*GM136+(1-EXP(-LN(2)/25))/(LN(2)/25)*Calculateur!GH137*Calculateur!GJ137*VLOOKUP('Données projet'!$B$17,Paramètres!$A$1:$I$89,3,0)*0.475*44/12</f>
        <v>0</v>
      </c>
      <c r="GN137" s="23">
        <f>EXP(-LN(2)/2)*GN136+(1-EXP(-LN(2)/2))/(LN(2)/2)*GH137*GK137*VLOOKUP('Données projet'!$B$17,Paramètres!$A$1:$I$89,3,0)*0.475*44/12</f>
        <v>0</v>
      </c>
      <c r="GO137" s="23">
        <f t="shared" si="135"/>
        <v>33.344234501768035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-5.6843418860808015E-14</v>
      </c>
      <c r="O138" s="14">
        <f>N138*VLOOKUP('Données projet'!$B$9,Paramètres!$A$1:$I$89,3,0)*VLOOKUP('Données projet'!$B$9,Paramètres!$A$1:$I$89,5,0)</f>
        <v>-4.9658410716801891E-14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401.34220206028908</v>
      </c>
      <c r="T138" s="62">
        <f t="shared" si="142"/>
        <v>265.33314259106987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159.20207727783028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159.20207727783028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1.7053025658242404E-13</v>
      </c>
      <c r="AJ138" s="14">
        <f>AI138*VLOOKUP('Données projet'!$B$10,Paramètres!$A$1:$I$89,3,0)*VLOOKUP('Données projet'!$B$10,Paramètres!$A$1:$I$89,5,0)</f>
        <v>7.9808160080574461E-14</v>
      </c>
      <c r="AK138" s="14">
        <f t="shared" si="143"/>
        <v>1.2308384591775343E-12</v>
      </c>
      <c r="AL138" s="22">
        <f t="shared" si="112"/>
        <v>2.282709528541206E-12</v>
      </c>
      <c r="AM138" s="62">
        <f t="shared" si="113"/>
        <v>284.69975714988942</v>
      </c>
      <c r="AN138" s="62">
        <f ca="1">AVERAGE(OFFSET($AM$3,0,0,'Données projet'!$E$10+1,1))-AVERAGE(OFFSET($H$3,0,0,'Données projet'!$E$10+1,1))</f>
        <v>253.48761861464732</v>
      </c>
      <c r="AO138" s="62">
        <f t="shared" si="144"/>
        <v>219.50855998133855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63.309321745768429</v>
      </c>
      <c r="AV138" s="23">
        <f>EXP(-LN(2)/25)*AV137+(1-EXP(-LN(2)/25))/(LN(2)/25)*Calculateur!AQ138*Calculateur!AS138*VLOOKUP('Données projet'!$B$10,Paramètres!$A$1:$I$89,3,0)*0.475*44/12</f>
        <v>10.989652370779812</v>
      </c>
      <c r="AW138" s="23">
        <f>EXP(-LN(2)/2)*AW137+(1-EXP(-LN(2)/2))/(LN(2)/2)*AQ138*AT138*VLOOKUP('Données projet'!$B$10,Paramètres!$A$1:$I$89,3,0)*0.475*44/12</f>
        <v>1.2861515560515509E-4</v>
      </c>
      <c r="AX138" s="23">
        <f t="shared" si="114"/>
        <v>74.29910273170384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482.85256243111911</v>
      </c>
      <c r="BJ138" s="62">
        <f t="shared" si="146"/>
        <v>517.78430032567064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26.793057180961657</v>
      </c>
      <c r="BQ138" s="23">
        <f>EXP(-LN(2)/25)*BQ137+(1-EXP(-LN(2)/25))/(LN(2)/25)*Calculateur!BL138*Calculateur!BN138*VLOOKUP('Données projet'!$B$11,Paramètres!$A$1:$I$89,3,0)*0.475*44/12</f>
        <v>3.7647374015612813</v>
      </c>
      <c r="BR138" s="23">
        <f>EXP(-LN(2)/2)*BR137+(1-EXP(-LN(2)/2))/(LN(2)/2)*BL138*BO138*VLOOKUP('Données projet'!$B$11,Paramètres!$A$1:$I$89,3,0)*0.475*44/12</f>
        <v>2.9971938697057141E-10</v>
      </c>
      <c r="BS138" s="24">
        <f t="shared" si="117"/>
        <v>30.557794582822659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>
        <f>BY138*VLOOKUP('Données projet'!$B$12,Paramètres!$A$1:$I$89,3,0)*VLOOKUP('Données projet'!$B$12,Paramètres!$A$1:$I$89,5,0)</f>
        <v>0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275.76900776033335</v>
      </c>
      <c r="CE138" s="62">
        <f t="shared" si="148"/>
        <v>299.36898480605191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25.676679798421592</v>
      </c>
      <c r="CL138" s="23">
        <f>EXP(-LN(2)/25)*CL137+(1-EXP(-LN(2)/25))/(LN(2)/25)*Calculateur!CG138*Calculateur!CI138*VLOOKUP('Données projet'!$B$12,Paramètres!$A$1:$I$89,3,0)*0.475*44/12</f>
        <v>3.6078733431628982</v>
      </c>
      <c r="CM138" s="23">
        <f>EXP(-LN(2)/2)*CM137+(1-EXP(-LN(2)/2))/(LN(2)/2)*CG138*CJ138*VLOOKUP('Données projet'!$B$12,Paramètres!$A$1:$I$89,3,0)*0.475*44/12</f>
        <v>2.8723107918013068E-10</v>
      </c>
      <c r="CN138" s="24">
        <f t="shared" si="120"/>
        <v>29.284553141871719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-5.6843418860808015E-14</v>
      </c>
      <c r="CU138" s="18">
        <f>CT138*VLOOKUP('Données projet'!$B$13,Paramètres!$A$1:$I$89,3,0)*VLOOKUP('Données projet'!$B$13,Paramètres!$A$1:$I$89,5,0)</f>
        <v>-6.2073013396002344E-14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482.24068797679558</v>
      </c>
      <c r="CZ138" s="62">
        <f t="shared" si="150"/>
        <v>316.28941055521693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199.00259659728778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199.00259659728778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-1.7053025658242404E-13</v>
      </c>
      <c r="DP138" s="18">
        <f>DO138*VLOOKUP('Données projet'!$B$14,Paramètres!$A$1:$I$89,3,0)*VLOOKUP('Données projet'!$B$14,Paramètres!$A$1:$I$89,5,0)</f>
        <v>-1.383341441396624E-13</v>
      </c>
      <c r="DQ138" s="14" t="e">
        <f t="shared" si="151"/>
        <v>#NUM!</v>
      </c>
      <c r="DR138" s="22" t="e">
        <f t="shared" si="124"/>
        <v>#NUM!</v>
      </c>
      <c r="DS138" s="62" t="e">
        <f t="shared" si="125"/>
        <v>#NUM!</v>
      </c>
      <c r="DT138" s="62">
        <f ca="1">AVERAGE(OFFSET($DS$3,0,0,'Données projet'!$E$14+1,1))-AVERAGE(OFFSET($H$3,0,0,'Données projet'!$E$14+1,1))</f>
        <v>325.58538970226539</v>
      </c>
      <c r="DU138" s="62">
        <f t="shared" si="152"/>
        <v>361.81085660423457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32.073574884160124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32.073574884160124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-2.8421709430404007E-13</v>
      </c>
      <c r="EK138" s="18">
        <f>EJ138*VLOOKUP('Données projet'!$B$15,Paramètres!$A$1:$I$89,3,0)*VLOOKUP('Données projet'!$B$15,Paramètres!$A$1:$I$89,5,0)</f>
        <v>-2.7489477361086758E-13</v>
      </c>
      <c r="EL138" s="14" t="e">
        <f t="shared" si="153"/>
        <v>#NUM!</v>
      </c>
      <c r="EM138" s="22" t="e">
        <f t="shared" si="127"/>
        <v>#NUM!</v>
      </c>
      <c r="EN138" s="62" t="e">
        <f t="shared" si="128"/>
        <v>#NUM!</v>
      </c>
      <c r="EO138" s="62">
        <f ca="1">AVERAGE(OFFSET($EN$3,0,0,'Données projet'!$E$15+1,1))-AVERAGE(OFFSET($H$3,0,0,'Données projet'!$E$15+1,1))</f>
        <v>364.22267539944085</v>
      </c>
      <c r="EP138" s="62">
        <f t="shared" si="154"/>
        <v>241.947139538615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141.00755416036398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141.00755416036398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-1.7053025658242404E-13</v>
      </c>
      <c r="FF138" s="18">
        <f>FE138*VLOOKUP('Données projet'!$B$16,Paramètres!$A$1:$I$89,3,0)*VLOOKUP('Données projet'!$B$16,Paramètres!$A$1:$I$89,5,0)</f>
        <v>-1.4897523215040567E-13</v>
      </c>
      <c r="FG138" s="14" t="e">
        <f t="shared" si="155"/>
        <v>#NUM!</v>
      </c>
      <c r="FH138" s="22" t="e">
        <f t="shared" si="130"/>
        <v>#NUM!</v>
      </c>
      <c r="FI138" s="62" t="e">
        <f t="shared" si="131"/>
        <v>#NUM!</v>
      </c>
      <c r="FJ138" s="62">
        <f ca="1">AVERAGE(OFFSET($FI$3,0,0,'Données projet'!$E$16+1,1))-AVERAGE(OFFSET($H$3,0,0,'Données projet'!$E$16+1,1))</f>
        <v>286.59837239471312</v>
      </c>
      <c r="FK138" s="62">
        <f t="shared" si="156"/>
        <v>319.26091328564689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27.838603594377858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27.838603594377858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-1.7053025658242404E-13</v>
      </c>
      <c r="GA138" s="18">
        <f>FZ138*VLOOKUP('Données projet'!$B$17,Paramètres!$A$1:$I$89,3,0)*VLOOKUP('Données projet'!$B$17,Paramètres!$A$1:$I$89,5,0)</f>
        <v>-1.1439169611549005E-13</v>
      </c>
      <c r="GB138" s="14" t="e">
        <f t="shared" si="157"/>
        <v>#NUM!</v>
      </c>
      <c r="GC138" s="22" t="e">
        <f t="shared" si="133"/>
        <v>#NUM!</v>
      </c>
      <c r="GD138" s="62" t="e">
        <f t="shared" si="134"/>
        <v>#NUM!</v>
      </c>
      <c r="GE138" s="62">
        <f ca="1">AVERAGE(OFFSET($GD$3,0,0,'Données projet'!$E$17+1,1))-AVERAGE(OFFSET($H$3,0,0,'Données projet'!$E$17+1,1))</f>
        <v>277.37570531842186</v>
      </c>
      <c r="GF138" s="62">
        <f t="shared" si="158"/>
        <v>310.00874200911312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projet'!$B$17,Paramètres!$A$1:$I$89,3,0)*0.475*44/12</f>
        <v>32.690374401163204</v>
      </c>
      <c r="GM138" s="23">
        <f>EXP(-LN(2)/25)*GM137+(1-EXP(-LN(2)/25))/(LN(2)/25)*Calculateur!GH138*Calculateur!GJ138*VLOOKUP('Données projet'!$B$17,Paramètres!$A$1:$I$89,3,0)*0.475*44/12</f>
        <v>0</v>
      </c>
      <c r="GN138" s="23">
        <f>EXP(-LN(2)/2)*GN137+(1-EXP(-LN(2)/2))/(LN(2)/2)*GH138*GK138*VLOOKUP('Données projet'!$B$17,Paramètres!$A$1:$I$89,3,0)*0.475*44/12</f>
        <v>0</v>
      </c>
      <c r="GO138" s="23">
        <f t="shared" si="135"/>
        <v>32.690374401163204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-5.6843418860808015E-14</v>
      </c>
      <c r="O139" s="14">
        <f>N139*VLOOKUP('Données projet'!$B$9,Paramètres!$A$1:$I$89,3,0)*VLOOKUP('Données projet'!$B$9,Paramètres!$A$1:$I$89,5,0)</f>
        <v>-4.9658410716801891E-14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401.34220206028908</v>
      </c>
      <c r="T139" s="62">
        <f t="shared" si="142"/>
        <v>265.33314259106987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156.08022164609099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156.08022164609099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1.7053025658242404E-13</v>
      </c>
      <c r="AJ139" s="14">
        <f>AI139*VLOOKUP('Données projet'!$B$10,Paramètres!$A$1:$I$89,3,0)*VLOOKUP('Données projet'!$B$10,Paramètres!$A$1:$I$89,5,0)</f>
        <v>7.9808160080574461E-14</v>
      </c>
      <c r="AK139" s="14">
        <f t="shared" si="143"/>
        <v>1.2308384591775343E-12</v>
      </c>
      <c r="AL139" s="22">
        <f t="shared" si="112"/>
        <v>2.282709528541206E-12</v>
      </c>
      <c r="AM139" s="62">
        <f t="shared" si="113"/>
        <v>284.84953039488749</v>
      </c>
      <c r="AN139" s="62">
        <f ca="1">AVERAGE(OFFSET($AM$3,0,0,'Données projet'!$E$10+1,1))-AVERAGE(OFFSET($H$3,0,0,'Données projet'!$E$10+1,1))</f>
        <v>253.48761861464732</v>
      </c>
      <c r="AO139" s="62">
        <f t="shared" si="144"/>
        <v>219.50855998133855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62.067864561207273</v>
      </c>
      <c r="AV139" s="23">
        <f>EXP(-LN(2)/25)*AV138+(1-EXP(-LN(2)/25))/(LN(2)/25)*Calculateur!AQ139*Calculateur!AS139*VLOOKUP('Données projet'!$B$10,Paramètres!$A$1:$I$89,3,0)*0.475*44/12</f>
        <v>10.689139748780137</v>
      </c>
      <c r="AW139" s="23">
        <f>EXP(-LN(2)/2)*AW138+(1-EXP(-LN(2)/2))/(LN(2)/2)*AQ139*AT139*VLOOKUP('Données projet'!$B$10,Paramètres!$A$1:$I$89,3,0)*0.475*44/12</f>
        <v>9.0944648691768164E-5</v>
      </c>
      <c r="AX139" s="23">
        <f t="shared" si="114"/>
        <v>72.757095254636099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482.85256243111911</v>
      </c>
      <c r="BJ139" s="62">
        <f t="shared" si="146"/>
        <v>517.78430032567064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26.267661671794226</v>
      </c>
      <c r="BQ139" s="23">
        <f>EXP(-LN(2)/25)*BQ138+(1-EXP(-LN(2)/25))/(LN(2)/25)*Calculateur!BL139*Calculateur!BN139*VLOOKUP('Données projet'!$B$11,Paramètres!$A$1:$I$89,3,0)*0.475*44/12</f>
        <v>3.6617904593366526</v>
      </c>
      <c r="BR139" s="23">
        <f>EXP(-LN(2)/2)*BR138+(1-EXP(-LN(2)/2))/(LN(2)/2)*BL139*BO139*VLOOKUP('Données projet'!$B$11,Paramètres!$A$1:$I$89,3,0)*0.475*44/12</f>
        <v>2.11933610979966E-10</v>
      </c>
      <c r="BS139" s="24">
        <f t="shared" si="117"/>
        <v>29.929452131342813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>
        <f>BY139*VLOOKUP('Données projet'!$B$12,Paramètres!$A$1:$I$89,3,0)*VLOOKUP('Données projet'!$B$12,Paramètres!$A$1:$I$89,5,0)</f>
        <v>0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275.76900776033335</v>
      </c>
      <c r="CE139" s="62">
        <f t="shared" si="148"/>
        <v>299.36898480605191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25.173175768802803</v>
      </c>
      <c r="CL139" s="23">
        <f>EXP(-LN(2)/25)*CL138+(1-EXP(-LN(2)/25))/(LN(2)/25)*Calculateur!CG139*Calculateur!CI139*VLOOKUP('Données projet'!$B$12,Paramètres!$A$1:$I$89,3,0)*0.475*44/12</f>
        <v>3.5092158568642957</v>
      </c>
      <c r="CM139" s="23">
        <f>EXP(-LN(2)/2)*CM138+(1-EXP(-LN(2)/2))/(LN(2)/2)*CG139*CJ139*VLOOKUP('Données projet'!$B$12,Paramètres!$A$1:$I$89,3,0)*0.475*44/12</f>
        <v>2.0310304385580058E-10</v>
      </c>
      <c r="CN139" s="24">
        <f t="shared" si="120"/>
        <v>28.682391625870199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-5.6843418860808015E-14</v>
      </c>
      <c r="CU139" s="18">
        <f>CT139*VLOOKUP('Données projet'!$B$13,Paramètres!$A$1:$I$89,3,0)*VLOOKUP('Données projet'!$B$13,Paramètres!$A$1:$I$89,5,0)</f>
        <v>-6.2073013396002344E-14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482.24068797679558</v>
      </c>
      <c r="CZ139" s="62">
        <f t="shared" si="150"/>
        <v>316.28941055521693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195.10027705761365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195.10027705761365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-1.7053025658242404E-13</v>
      </c>
      <c r="DP139" s="18">
        <f>DO139*VLOOKUP('Données projet'!$B$14,Paramètres!$A$1:$I$89,3,0)*VLOOKUP('Données projet'!$B$14,Paramètres!$A$1:$I$89,5,0)</f>
        <v>-1.383341441396624E-13</v>
      </c>
      <c r="DQ139" s="14" t="e">
        <f t="shared" si="151"/>
        <v>#NUM!</v>
      </c>
      <c r="DR139" s="22" t="e">
        <f t="shared" si="124"/>
        <v>#NUM!</v>
      </c>
      <c r="DS139" s="62" t="e">
        <f t="shared" si="125"/>
        <v>#NUM!</v>
      </c>
      <c r="DT139" s="62">
        <f ca="1">AVERAGE(OFFSET($DS$3,0,0,'Données projet'!$E$14+1,1))-AVERAGE(OFFSET($H$3,0,0,'Données projet'!$E$14+1,1))</f>
        <v>325.58538970226539</v>
      </c>
      <c r="DU139" s="62">
        <f t="shared" si="152"/>
        <v>361.81085660423457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31.444631643630743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31.444631643630743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-2.8421709430404007E-13</v>
      </c>
      <c r="EK139" s="18">
        <f>EJ139*VLOOKUP('Données projet'!$B$15,Paramètres!$A$1:$I$89,3,0)*VLOOKUP('Données projet'!$B$15,Paramètres!$A$1:$I$89,5,0)</f>
        <v>-2.7489477361086758E-13</v>
      </c>
      <c r="EL139" s="14" t="e">
        <f t="shared" si="153"/>
        <v>#NUM!</v>
      </c>
      <c r="EM139" s="22" t="e">
        <f t="shared" si="127"/>
        <v>#NUM!</v>
      </c>
      <c r="EN139" s="62" t="e">
        <f t="shared" si="128"/>
        <v>#NUM!</v>
      </c>
      <c r="EO139" s="62">
        <f ca="1">AVERAGE(OFFSET($EN$3,0,0,'Données projet'!$E$15+1,1))-AVERAGE(OFFSET($H$3,0,0,'Données projet'!$E$15+1,1))</f>
        <v>364.22267539944085</v>
      </c>
      <c r="EP139" s="62">
        <f t="shared" si="154"/>
        <v>241.947139538615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138.24248202939489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138.24248202939489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-1.7053025658242404E-13</v>
      </c>
      <c r="FF139" s="18">
        <f>FE139*VLOOKUP('Données projet'!$B$16,Paramètres!$A$1:$I$89,3,0)*VLOOKUP('Données projet'!$B$16,Paramètres!$A$1:$I$89,5,0)</f>
        <v>-1.4897523215040567E-13</v>
      </c>
      <c r="FG139" s="14" t="e">
        <f t="shared" si="155"/>
        <v>#NUM!</v>
      </c>
      <c r="FH139" s="22" t="e">
        <f t="shared" si="130"/>
        <v>#NUM!</v>
      </c>
      <c r="FI139" s="62" t="e">
        <f t="shared" si="131"/>
        <v>#NUM!</v>
      </c>
      <c r="FJ139" s="62">
        <f ca="1">AVERAGE(OFFSET($FI$3,0,0,'Données projet'!$E$16+1,1))-AVERAGE(OFFSET($H$3,0,0,'Données projet'!$E$16+1,1))</f>
        <v>286.59837239471312</v>
      </c>
      <c r="FK139" s="62">
        <f t="shared" si="156"/>
        <v>319.26091328564689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27.292705557763679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27.292705557763679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-1.7053025658242404E-13</v>
      </c>
      <c r="GA139" s="18">
        <f>FZ139*VLOOKUP('Données projet'!$B$17,Paramètres!$A$1:$I$89,3,0)*VLOOKUP('Données projet'!$B$17,Paramètres!$A$1:$I$89,5,0)</f>
        <v>-1.1439169611549005E-13</v>
      </c>
      <c r="GB139" s="14" t="e">
        <f t="shared" si="157"/>
        <v>#NUM!</v>
      </c>
      <c r="GC139" s="22" t="e">
        <f t="shared" si="133"/>
        <v>#NUM!</v>
      </c>
      <c r="GD139" s="62" t="e">
        <f t="shared" si="134"/>
        <v>#NUM!</v>
      </c>
      <c r="GE139" s="62">
        <f ca="1">AVERAGE(OFFSET($GD$3,0,0,'Données projet'!$E$17+1,1))-AVERAGE(OFFSET($H$3,0,0,'Données projet'!$E$17+1,1))</f>
        <v>277.37570531842186</v>
      </c>
      <c r="GF139" s="62">
        <f t="shared" si="158"/>
        <v>310.00874200911312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projet'!$B$17,Paramètres!$A$1:$I$89,3,0)*0.475*44/12</f>
        <v>32.049336098315948</v>
      </c>
      <c r="GM139" s="23">
        <f>EXP(-LN(2)/25)*GM138+(1-EXP(-LN(2)/25))/(LN(2)/25)*Calculateur!GH139*Calculateur!GJ139*VLOOKUP('Données projet'!$B$17,Paramètres!$A$1:$I$89,3,0)*0.475*44/12</f>
        <v>0</v>
      </c>
      <c r="GN139" s="23">
        <f>EXP(-LN(2)/2)*GN138+(1-EXP(-LN(2)/2))/(LN(2)/2)*GH139*GK139*VLOOKUP('Données projet'!$B$17,Paramètres!$A$1:$I$89,3,0)*0.475*44/12</f>
        <v>0</v>
      </c>
      <c r="GO139" s="23">
        <f t="shared" si="135"/>
        <v>32.049336098315948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-5.6843418860808015E-14</v>
      </c>
      <c r="O140" s="14">
        <f>N140*VLOOKUP('Données projet'!$B$9,Paramètres!$A$1:$I$89,3,0)*VLOOKUP('Données projet'!$B$9,Paramètres!$A$1:$I$89,5,0)</f>
        <v>-4.9658410716801891E-14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401.34220206028908</v>
      </c>
      <c r="T140" s="62">
        <f t="shared" si="142"/>
        <v>265.33314259106987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153.01958369914618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153.01958369914618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1.7053025658242404E-13</v>
      </c>
      <c r="AJ140" s="14">
        <f>AI140*VLOOKUP('Données projet'!$B$10,Paramètres!$A$1:$I$89,3,0)*VLOOKUP('Données projet'!$B$10,Paramètres!$A$1:$I$89,5,0)</f>
        <v>7.9808160080574461E-14</v>
      </c>
      <c r="AK140" s="14">
        <f t="shared" si="143"/>
        <v>1.2308384591775343E-12</v>
      </c>
      <c r="AL140" s="22">
        <f t="shared" si="112"/>
        <v>2.282709528541206E-12</v>
      </c>
      <c r="AM140" s="62">
        <f t="shared" si="113"/>
        <v>284.99670540892765</v>
      </c>
      <c r="AN140" s="62">
        <f ca="1">AVERAGE(OFFSET($AM$3,0,0,'Données projet'!$E$10+1,1))-AVERAGE(OFFSET($H$3,0,0,'Données projet'!$E$10+1,1))</f>
        <v>253.48761861464732</v>
      </c>
      <c r="AO140" s="62">
        <f t="shared" si="144"/>
        <v>219.50855998133855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60.850751594821247</v>
      </c>
      <c r="AV140" s="23">
        <f>EXP(-LN(2)/25)*AV139+(1-EXP(-LN(2)/25))/(LN(2)/25)*Calculateur!AQ140*Calculateur!AS140*VLOOKUP('Données projet'!$B$10,Paramètres!$A$1:$I$89,3,0)*0.475*44/12</f>
        <v>10.396844660232315</v>
      </c>
      <c r="AW140" s="23">
        <f>EXP(-LN(2)/2)*AW139+(1-EXP(-LN(2)/2))/(LN(2)/2)*AQ140*AT140*VLOOKUP('Données projet'!$B$10,Paramètres!$A$1:$I$89,3,0)*0.475*44/12</f>
        <v>6.4307577802577546E-5</v>
      </c>
      <c r="AX140" s="23">
        <f t="shared" si="114"/>
        <v>71.247660562631367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482.85256243111911</v>
      </c>
      <c r="BJ140" s="62">
        <f t="shared" si="146"/>
        <v>517.78430032567064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25.752568848101951</v>
      </c>
      <c r="BQ140" s="23">
        <f>EXP(-LN(2)/25)*BQ139+(1-EXP(-LN(2)/25))/(LN(2)/25)*Calculateur!BL140*Calculateur!BN140*VLOOKUP('Données projet'!$B$11,Paramètres!$A$1:$I$89,3,0)*0.475*44/12</f>
        <v>3.5616586066609006</v>
      </c>
      <c r="BR140" s="23">
        <f>EXP(-LN(2)/2)*BR139+(1-EXP(-LN(2)/2))/(LN(2)/2)*BL140*BO140*VLOOKUP('Données projet'!$B$11,Paramètres!$A$1:$I$89,3,0)*0.475*44/12</f>
        <v>1.498596934852857E-10</v>
      </c>
      <c r="BS140" s="24">
        <f t="shared" si="117"/>
        <v>29.314227454912711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>
        <f>BY140*VLOOKUP('Données projet'!$B$12,Paramètres!$A$1:$I$89,3,0)*VLOOKUP('Données projet'!$B$12,Paramètres!$A$1:$I$89,5,0)</f>
        <v>0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275.76900776033335</v>
      </c>
      <c r="CE140" s="62">
        <f t="shared" si="148"/>
        <v>299.36898480605191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24.679545146097706</v>
      </c>
      <c r="CL140" s="23">
        <f>EXP(-LN(2)/25)*CL139+(1-EXP(-LN(2)/25))/(LN(2)/25)*Calculateur!CG140*Calculateur!CI140*VLOOKUP('Données projet'!$B$12,Paramètres!$A$1:$I$89,3,0)*0.475*44/12</f>
        <v>3.4132561647166999</v>
      </c>
      <c r="CM140" s="23">
        <f>EXP(-LN(2)/2)*CM139+(1-EXP(-LN(2)/2))/(LN(2)/2)*CG140*CJ140*VLOOKUP('Données projet'!$B$12,Paramètres!$A$1:$I$89,3,0)*0.475*44/12</f>
        <v>1.4361553959006534E-10</v>
      </c>
      <c r="CN140" s="24">
        <f t="shared" si="120"/>
        <v>28.09280131095802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-5.6843418860808015E-14</v>
      </c>
      <c r="CU140" s="18">
        <f>CT140*VLOOKUP('Données projet'!$B$13,Paramètres!$A$1:$I$89,3,0)*VLOOKUP('Données projet'!$B$13,Paramètres!$A$1:$I$89,5,0)</f>
        <v>-6.2073013396002344E-14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482.24068797679558</v>
      </c>
      <c r="CZ140" s="62">
        <f t="shared" si="150"/>
        <v>316.28941055521693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191.27447962393265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191.27447962393265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-1.7053025658242404E-13</v>
      </c>
      <c r="DP140" s="18">
        <f>DO140*VLOOKUP('Données projet'!$B$14,Paramètres!$A$1:$I$89,3,0)*VLOOKUP('Données projet'!$B$14,Paramètres!$A$1:$I$89,5,0)</f>
        <v>-1.383341441396624E-13</v>
      </c>
      <c r="DQ140" s="14" t="e">
        <f t="shared" si="151"/>
        <v>#NUM!</v>
      </c>
      <c r="DR140" s="22" t="e">
        <f t="shared" si="124"/>
        <v>#NUM!</v>
      </c>
      <c r="DS140" s="62" t="e">
        <f t="shared" si="125"/>
        <v>#NUM!</v>
      </c>
      <c r="DT140" s="62">
        <f ca="1">AVERAGE(OFFSET($DS$3,0,0,'Données projet'!$E$14+1,1))-AVERAGE(OFFSET($H$3,0,0,'Données projet'!$E$14+1,1))</f>
        <v>325.58538970226539</v>
      </c>
      <c r="DU140" s="62">
        <f t="shared" si="152"/>
        <v>361.81085660423457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30.828021596430645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30.828021596430645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-2.8421709430404007E-13</v>
      </c>
      <c r="EK140" s="18">
        <f>EJ140*VLOOKUP('Données projet'!$B$15,Paramètres!$A$1:$I$89,3,0)*VLOOKUP('Données projet'!$B$15,Paramètres!$A$1:$I$89,5,0)</f>
        <v>-2.7489477361086758E-13</v>
      </c>
      <c r="EL140" s="14" t="e">
        <f t="shared" si="153"/>
        <v>#NUM!</v>
      </c>
      <c r="EM140" s="22" t="e">
        <f t="shared" si="127"/>
        <v>#NUM!</v>
      </c>
      <c r="EN140" s="62" t="e">
        <f t="shared" si="128"/>
        <v>#NUM!</v>
      </c>
      <c r="EO140" s="62">
        <f ca="1">AVERAGE(OFFSET($EN$3,0,0,'Données projet'!$E$15+1,1))-AVERAGE(OFFSET($H$3,0,0,'Données projet'!$E$15+1,1))</f>
        <v>364.22267539944085</v>
      </c>
      <c r="EP140" s="62">
        <f t="shared" si="154"/>
        <v>241.947139538615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135.53163127638663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135.53163127638663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-1.7053025658242404E-13</v>
      </c>
      <c r="FF140" s="18">
        <f>FE140*VLOOKUP('Données projet'!$B$16,Paramètres!$A$1:$I$89,3,0)*VLOOKUP('Données projet'!$B$16,Paramètres!$A$1:$I$89,5,0)</f>
        <v>-1.4897523215040567E-13</v>
      </c>
      <c r="FG140" s="14" t="e">
        <f t="shared" si="155"/>
        <v>#NUM!</v>
      </c>
      <c r="FH140" s="22" t="e">
        <f t="shared" si="130"/>
        <v>#NUM!</v>
      </c>
      <c r="FI140" s="62" t="e">
        <f t="shared" si="131"/>
        <v>#NUM!</v>
      </c>
      <c r="FJ140" s="62">
        <f ca="1">AVERAGE(OFFSET($FI$3,0,0,'Données projet'!$E$16+1,1))-AVERAGE(OFFSET($H$3,0,0,'Données projet'!$E$16+1,1))</f>
        <v>286.59837239471312</v>
      </c>
      <c r="FK140" s="62">
        <f t="shared" si="156"/>
        <v>319.26091328564689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26.757512248682577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26.757512248682577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-1.7053025658242404E-13</v>
      </c>
      <c r="GA140" s="18">
        <f>FZ140*VLOOKUP('Données projet'!$B$17,Paramètres!$A$1:$I$89,3,0)*VLOOKUP('Données projet'!$B$17,Paramètres!$A$1:$I$89,5,0)</f>
        <v>-1.1439169611549005E-13</v>
      </c>
      <c r="GB140" s="14" t="e">
        <f t="shared" si="157"/>
        <v>#NUM!</v>
      </c>
      <c r="GC140" s="22" t="e">
        <f t="shared" si="133"/>
        <v>#NUM!</v>
      </c>
      <c r="GD140" s="62" t="e">
        <f t="shared" si="134"/>
        <v>#NUM!</v>
      </c>
      <c r="GE140" s="62">
        <f ca="1">AVERAGE(OFFSET($GD$3,0,0,'Données projet'!$E$17+1,1))-AVERAGE(OFFSET($H$3,0,0,'Données projet'!$E$17+1,1))</f>
        <v>277.37570531842186</v>
      </c>
      <c r="GF140" s="62">
        <f t="shared" si="158"/>
        <v>310.00874200911312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projet'!$B$17,Paramètres!$A$1:$I$89,3,0)*0.475*44/12</f>
        <v>31.420868165592772</v>
      </c>
      <c r="GM140" s="23">
        <f>EXP(-LN(2)/25)*GM139+(1-EXP(-LN(2)/25))/(LN(2)/25)*Calculateur!GH140*Calculateur!GJ140*VLOOKUP('Données projet'!$B$17,Paramètres!$A$1:$I$89,3,0)*0.475*44/12</f>
        <v>0</v>
      </c>
      <c r="GN140" s="23">
        <f>EXP(-LN(2)/2)*GN139+(1-EXP(-LN(2)/2))/(LN(2)/2)*GH140*GK140*VLOOKUP('Données projet'!$B$17,Paramètres!$A$1:$I$89,3,0)*0.475*44/12</f>
        <v>0</v>
      </c>
      <c r="GO140" s="23">
        <f t="shared" si="135"/>
        <v>31.420868165592772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-5.6843418860808015E-14</v>
      </c>
      <c r="O141" s="14">
        <f>N141*VLOOKUP('Données projet'!$B$9,Paramètres!$A$1:$I$89,3,0)*VLOOKUP('Données projet'!$B$9,Paramètres!$A$1:$I$89,5,0)</f>
        <v>-4.9658410716801891E-14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401.34220206028908</v>
      </c>
      <c r="T141" s="62">
        <f t="shared" si="142"/>
        <v>265.33314259106987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150.01896299553613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150.01896299553613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1.7053025658242404E-13</v>
      </c>
      <c r="AJ141" s="14">
        <f>AI141*VLOOKUP('Données projet'!$B$10,Paramètres!$A$1:$I$89,3,0)*VLOOKUP('Données projet'!$B$10,Paramètres!$A$1:$I$89,5,0)</f>
        <v>7.9808160080574461E-14</v>
      </c>
      <c r="AK141" s="14">
        <f t="shared" si="143"/>
        <v>1.2308384591775343E-12</v>
      </c>
      <c r="AL141" s="22">
        <f t="shared" si="112"/>
        <v>2.282709528541206E-12</v>
      </c>
      <c r="AM141" s="62">
        <f t="shared" si="113"/>
        <v>285.14132726550821</v>
      </c>
      <c r="AN141" s="62">
        <f ca="1">AVERAGE(OFFSET($AM$3,0,0,'Données projet'!$E$10+1,1))-AVERAGE(OFFSET($H$3,0,0,'Données projet'!$E$10+1,1))</f>
        <v>253.48761861464732</v>
      </c>
      <c r="AO141" s="62">
        <f t="shared" si="144"/>
        <v>219.50855998133855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59.657505471340443</v>
      </c>
      <c r="AV141" s="23">
        <f>EXP(-LN(2)/25)*AV140+(1-EXP(-LN(2)/25))/(LN(2)/25)*Calculateur!AQ141*Calculateur!AS141*VLOOKUP('Données projet'!$B$10,Paramètres!$A$1:$I$89,3,0)*0.475*44/12</f>
        <v>10.112542396251964</v>
      </c>
      <c r="AW141" s="23">
        <f>EXP(-LN(2)/2)*AW140+(1-EXP(-LN(2)/2))/(LN(2)/2)*AQ141*AT141*VLOOKUP('Données projet'!$B$10,Paramètres!$A$1:$I$89,3,0)*0.475*44/12</f>
        <v>4.5472324345884082E-5</v>
      </c>
      <c r="AX141" s="23">
        <f t="shared" si="114"/>
        <v>69.770093339916755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482.85256243111911</v>
      </c>
      <c r="BJ141" s="62">
        <f t="shared" si="146"/>
        <v>517.78430032567064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25.247576680506683</v>
      </c>
      <c r="BQ141" s="23">
        <f>EXP(-LN(2)/25)*BQ140+(1-EXP(-LN(2)/25))/(LN(2)/25)*Calculateur!BL141*Calculateur!BN141*VLOOKUP('Données projet'!$B$11,Paramètres!$A$1:$I$89,3,0)*0.475*44/12</f>
        <v>3.4642648647622725</v>
      </c>
      <c r="BR141" s="23">
        <f>EXP(-LN(2)/2)*BR140+(1-EXP(-LN(2)/2))/(LN(2)/2)*BL141*BO141*VLOOKUP('Données projet'!$B$11,Paramètres!$A$1:$I$89,3,0)*0.475*44/12</f>
        <v>1.05966805489983E-10</v>
      </c>
      <c r="BS141" s="24">
        <f t="shared" si="117"/>
        <v>28.71184154537492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>
        <f>BY141*VLOOKUP('Données projet'!$B$12,Paramètres!$A$1:$I$89,3,0)*VLOOKUP('Données projet'!$B$12,Paramètres!$A$1:$I$89,5,0)</f>
        <v>0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275.76900776033335</v>
      </c>
      <c r="CE141" s="62">
        <f t="shared" si="148"/>
        <v>299.36898480605191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24.195594318818905</v>
      </c>
      <c r="CL141" s="23">
        <f>EXP(-LN(2)/25)*CL140+(1-EXP(-LN(2)/25))/(LN(2)/25)*Calculateur!CG141*Calculateur!CI141*VLOOKUP('Données projet'!$B$12,Paramètres!$A$1:$I$89,3,0)*0.475*44/12</f>
        <v>3.3199204953971813</v>
      </c>
      <c r="CM141" s="23">
        <f>EXP(-LN(2)/2)*CM140+(1-EXP(-LN(2)/2))/(LN(2)/2)*CG141*CJ141*VLOOKUP('Données projet'!$B$12,Paramètres!$A$1:$I$89,3,0)*0.475*44/12</f>
        <v>1.0155152192790029E-10</v>
      </c>
      <c r="CN141" s="24">
        <f t="shared" si="120"/>
        <v>27.515514814317637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-5.6843418860808015E-14</v>
      </c>
      <c r="CU141" s="18">
        <f>CT141*VLOOKUP('Données projet'!$B$13,Paramètres!$A$1:$I$89,3,0)*VLOOKUP('Données projet'!$B$13,Paramètres!$A$1:$I$89,5,0)</f>
        <v>-6.2073013396002344E-14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482.24068797679558</v>
      </c>
      <c r="CZ141" s="62">
        <f t="shared" si="150"/>
        <v>316.28941055521693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187.52370374442009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187.52370374442009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-1.7053025658242404E-13</v>
      </c>
      <c r="DP141" s="18">
        <f>DO141*VLOOKUP('Données projet'!$B$14,Paramètres!$A$1:$I$89,3,0)*VLOOKUP('Données projet'!$B$14,Paramètres!$A$1:$I$89,5,0)</f>
        <v>-1.383341441396624E-13</v>
      </c>
      <c r="DQ141" s="14" t="e">
        <f t="shared" si="151"/>
        <v>#NUM!</v>
      </c>
      <c r="DR141" s="22" t="e">
        <f t="shared" si="124"/>
        <v>#NUM!</v>
      </c>
      <c r="DS141" s="62" t="e">
        <f t="shared" si="125"/>
        <v>#NUM!</v>
      </c>
      <c r="DT141" s="62">
        <f ca="1">AVERAGE(OFFSET($DS$3,0,0,'Données projet'!$E$14+1,1))-AVERAGE(OFFSET($H$3,0,0,'Données projet'!$E$14+1,1))</f>
        <v>325.58538970226539</v>
      </c>
      <c r="DU141" s="62">
        <f t="shared" si="152"/>
        <v>361.81085660423457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30.223502896161147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30.223502896161147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-2.8421709430404007E-13</v>
      </c>
      <c r="EK141" s="18">
        <f>EJ141*VLOOKUP('Données projet'!$B$15,Paramètres!$A$1:$I$89,3,0)*VLOOKUP('Données projet'!$B$15,Paramètres!$A$1:$I$89,5,0)</f>
        <v>-2.7489477361086758E-13</v>
      </c>
      <c r="EL141" s="14" t="e">
        <f t="shared" si="153"/>
        <v>#NUM!</v>
      </c>
      <c r="EM141" s="22" t="e">
        <f t="shared" si="127"/>
        <v>#NUM!</v>
      </c>
      <c r="EN141" s="62" t="e">
        <f t="shared" si="128"/>
        <v>#NUM!</v>
      </c>
      <c r="EO141" s="62">
        <f ca="1">AVERAGE(OFFSET($EN$3,0,0,'Données projet'!$E$15+1,1))-AVERAGE(OFFSET($H$3,0,0,'Données projet'!$E$15+1,1))</f>
        <v>364.22267539944085</v>
      </c>
      <c r="EP141" s="62">
        <f t="shared" si="154"/>
        <v>241.947139538615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132.87393865318916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132.87393865318916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-1.7053025658242404E-13</v>
      </c>
      <c r="FF141" s="18">
        <f>FE141*VLOOKUP('Données projet'!$B$16,Paramètres!$A$1:$I$89,3,0)*VLOOKUP('Données projet'!$B$16,Paramètres!$A$1:$I$89,5,0)</f>
        <v>-1.4897523215040567E-13</v>
      </c>
      <c r="FG141" s="14" t="e">
        <f t="shared" si="155"/>
        <v>#NUM!</v>
      </c>
      <c r="FH141" s="22" t="e">
        <f t="shared" si="130"/>
        <v>#NUM!</v>
      </c>
      <c r="FI141" s="62" t="e">
        <f t="shared" si="131"/>
        <v>#NUM!</v>
      </c>
      <c r="FJ141" s="62">
        <f ca="1">AVERAGE(OFFSET($FI$3,0,0,'Données projet'!$E$16+1,1))-AVERAGE(OFFSET($H$3,0,0,'Données projet'!$E$16+1,1))</f>
        <v>286.59837239471312</v>
      </c>
      <c r="FK141" s="62">
        <f t="shared" si="156"/>
        <v>319.26091328564689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26.232813753956872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26.232813753956872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-1.7053025658242404E-13</v>
      </c>
      <c r="GA141" s="18">
        <f>FZ141*VLOOKUP('Données projet'!$B$17,Paramètres!$A$1:$I$89,3,0)*VLOOKUP('Données projet'!$B$17,Paramètres!$A$1:$I$89,5,0)</f>
        <v>-1.1439169611549005E-13</v>
      </c>
      <c r="GB141" s="14" t="e">
        <f t="shared" si="157"/>
        <v>#NUM!</v>
      </c>
      <c r="GC141" s="22" t="e">
        <f t="shared" si="133"/>
        <v>#NUM!</v>
      </c>
      <c r="GD141" s="62" t="e">
        <f t="shared" si="134"/>
        <v>#NUM!</v>
      </c>
      <c r="GE141" s="62">
        <f ca="1">AVERAGE(OFFSET($GD$3,0,0,'Données projet'!$E$17+1,1))-AVERAGE(OFFSET($H$3,0,0,'Données projet'!$E$17+1,1))</f>
        <v>277.37570531842186</v>
      </c>
      <c r="GF141" s="62">
        <f t="shared" si="158"/>
        <v>310.00874200911312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projet'!$B$17,Paramètres!$A$1:$I$89,3,0)*0.475*44/12</f>
        <v>30.804724105702707</v>
      </c>
      <c r="GM141" s="23">
        <f>EXP(-LN(2)/25)*GM140+(1-EXP(-LN(2)/25))/(LN(2)/25)*Calculateur!GH141*Calculateur!GJ141*VLOOKUP('Données projet'!$B$17,Paramètres!$A$1:$I$89,3,0)*0.475*44/12</f>
        <v>0</v>
      </c>
      <c r="GN141" s="23">
        <f>EXP(-LN(2)/2)*GN140+(1-EXP(-LN(2)/2))/(LN(2)/2)*GH141*GK141*VLOOKUP('Données projet'!$B$17,Paramètres!$A$1:$I$89,3,0)*0.475*44/12</f>
        <v>0</v>
      </c>
      <c r="GO141" s="23">
        <f t="shared" si="135"/>
        <v>30.804724105702707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-5.6843418860808015E-14</v>
      </c>
      <c r="O142" s="14">
        <f>N142*VLOOKUP('Données projet'!$B$9,Paramètres!$A$1:$I$89,3,0)*VLOOKUP('Données projet'!$B$9,Paramètres!$A$1:$I$89,5,0)</f>
        <v>-4.9658410716801891E-14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401.34220206028908</v>
      </c>
      <c r="T142" s="62">
        <f t="shared" si="142"/>
        <v>265.33314259106987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147.07718263372595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147.07718263372595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1.7053025658242404E-13</v>
      </c>
      <c r="AJ142" s="14">
        <f>AI142*VLOOKUP('Données projet'!$B$10,Paramètres!$A$1:$I$89,3,0)*VLOOKUP('Données projet'!$B$10,Paramètres!$A$1:$I$89,5,0)</f>
        <v>7.9808160080574461E-14</v>
      </c>
      <c r="AK142" s="14">
        <f t="shared" si="143"/>
        <v>1.2308384591775343E-12</v>
      </c>
      <c r="AL142" s="22">
        <f t="shared" si="112"/>
        <v>2.282709528541206E-12</v>
      </c>
      <c r="AM142" s="62">
        <f t="shared" si="113"/>
        <v>285.28344025620316</v>
      </c>
      <c r="AN142" s="62">
        <f ca="1">AVERAGE(OFFSET($AM$3,0,0,'Données projet'!$E$10+1,1))-AVERAGE(OFFSET($H$3,0,0,'Données projet'!$E$10+1,1))</f>
        <v>253.48761861464732</v>
      </c>
      <c r="AO142" s="62">
        <f t="shared" si="144"/>
        <v>219.50855998133855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58.487658176532825</v>
      </c>
      <c r="AV142" s="23">
        <f>EXP(-LN(2)/25)*AV141+(1-EXP(-LN(2)/25))/(LN(2)/25)*Calculateur!AQ142*Calculateur!AS142*VLOOKUP('Données projet'!$B$10,Paramètres!$A$1:$I$89,3,0)*0.475*44/12</f>
        <v>9.8360143926309629</v>
      </c>
      <c r="AW142" s="23">
        <f>EXP(-LN(2)/2)*AW141+(1-EXP(-LN(2)/2))/(LN(2)/2)*AQ142*AT142*VLOOKUP('Données projet'!$B$10,Paramètres!$A$1:$I$89,3,0)*0.475*44/12</f>
        <v>3.2153788901288773E-5</v>
      </c>
      <c r="AX142" s="23">
        <f t="shared" si="114"/>
        <v>68.323704722952698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482.85256243111911</v>
      </c>
      <c r="BJ142" s="62">
        <f t="shared" si="146"/>
        <v>517.78430032567064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24.752487101303146</v>
      </c>
      <c r="BQ142" s="23">
        <f>EXP(-LN(2)/25)*BQ141+(1-EXP(-LN(2)/25))/(LN(2)/25)*Calculateur!BL142*Calculateur!BN142*VLOOKUP('Données projet'!$B$11,Paramètres!$A$1:$I$89,3,0)*0.475*44/12</f>
        <v>3.3695343598575764</v>
      </c>
      <c r="BR142" s="23">
        <f>EXP(-LN(2)/2)*BR141+(1-EXP(-LN(2)/2))/(LN(2)/2)*BL142*BO142*VLOOKUP('Données projet'!$B$11,Paramètres!$A$1:$I$89,3,0)*0.475*44/12</f>
        <v>7.4929846742642852E-11</v>
      </c>
      <c r="BS142" s="24">
        <f t="shared" si="117"/>
        <v>28.122021461235651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>
        <f>BY142*VLOOKUP('Données projet'!$B$12,Paramètres!$A$1:$I$89,3,0)*VLOOKUP('Données projet'!$B$12,Paramètres!$A$1:$I$89,5,0)</f>
        <v>0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275.76900776033335</v>
      </c>
      <c r="CE142" s="62">
        <f t="shared" si="148"/>
        <v>299.36898480605191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23.721133472082183</v>
      </c>
      <c r="CL142" s="23">
        <f>EXP(-LN(2)/25)*CL141+(1-EXP(-LN(2)/25))/(LN(2)/25)*Calculateur!CG142*Calculateur!CI142*VLOOKUP('Données projet'!$B$12,Paramètres!$A$1:$I$89,3,0)*0.475*44/12</f>
        <v>3.2291370948635141</v>
      </c>
      <c r="CM142" s="23">
        <f>EXP(-LN(2)/2)*CM141+(1-EXP(-LN(2)/2))/(LN(2)/2)*CG142*CJ142*VLOOKUP('Données projet'!$B$12,Paramètres!$A$1:$I$89,3,0)*0.475*44/12</f>
        <v>7.1807769795032671E-11</v>
      </c>
      <c r="CN142" s="24">
        <f t="shared" si="120"/>
        <v>26.950270567017505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-5.6843418860808015E-14</v>
      </c>
      <c r="CU142" s="18">
        <f>CT142*VLOOKUP('Données projet'!$B$13,Paramètres!$A$1:$I$89,3,0)*VLOOKUP('Données projet'!$B$13,Paramètres!$A$1:$I$89,5,0)</f>
        <v>-6.2073013396002344E-14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482.24068797679558</v>
      </c>
      <c r="CZ142" s="62">
        <f t="shared" si="150"/>
        <v>316.28941055521693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183.8464782921574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183.8464782921574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-1.7053025658242404E-13</v>
      </c>
      <c r="DP142" s="18">
        <f>DO142*VLOOKUP('Données projet'!$B$14,Paramètres!$A$1:$I$89,3,0)*VLOOKUP('Données projet'!$B$14,Paramètres!$A$1:$I$89,5,0)</f>
        <v>-1.383341441396624E-13</v>
      </c>
      <c r="DQ142" s="14" t="e">
        <f t="shared" si="151"/>
        <v>#NUM!</v>
      </c>
      <c r="DR142" s="22" t="e">
        <f t="shared" si="124"/>
        <v>#NUM!</v>
      </c>
      <c r="DS142" s="62" t="e">
        <f t="shared" si="125"/>
        <v>#NUM!</v>
      </c>
      <c r="DT142" s="62">
        <f ca="1">AVERAGE(OFFSET($DS$3,0,0,'Données projet'!$E$14+1,1))-AVERAGE(OFFSET($H$3,0,0,'Données projet'!$E$14+1,1))</f>
        <v>325.58538970226539</v>
      </c>
      <c r="DU142" s="62">
        <f t="shared" si="152"/>
        <v>361.81085660423457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29.630838438883938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29.630838438883938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-2.8421709430404007E-13</v>
      </c>
      <c r="EK142" s="18">
        <f>EJ142*VLOOKUP('Données projet'!$B$15,Paramètres!$A$1:$I$89,3,0)*VLOOKUP('Données projet'!$B$15,Paramètres!$A$1:$I$89,5,0)</f>
        <v>-2.7489477361086758E-13</v>
      </c>
      <c r="EL142" s="14" t="e">
        <f t="shared" si="153"/>
        <v>#NUM!</v>
      </c>
      <c r="EM142" s="22" t="e">
        <f t="shared" si="127"/>
        <v>#NUM!</v>
      </c>
      <c r="EN142" s="62" t="e">
        <f t="shared" si="128"/>
        <v>#NUM!</v>
      </c>
      <c r="EO142" s="62">
        <f ca="1">AVERAGE(OFFSET($EN$3,0,0,'Données projet'!$E$15+1,1))-AVERAGE(OFFSET($H$3,0,0,'Données projet'!$E$15+1,1))</f>
        <v>364.22267539944085</v>
      </c>
      <c r="EP142" s="62">
        <f t="shared" si="154"/>
        <v>241.947139538615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130.26836176130016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130.26836176130016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-1.7053025658242404E-13</v>
      </c>
      <c r="FF142" s="18">
        <f>FE142*VLOOKUP('Données projet'!$B$16,Paramètres!$A$1:$I$89,3,0)*VLOOKUP('Données projet'!$B$16,Paramètres!$A$1:$I$89,5,0)</f>
        <v>-1.4897523215040567E-13</v>
      </c>
      <c r="FG142" s="14" t="e">
        <f t="shared" si="155"/>
        <v>#NUM!</v>
      </c>
      <c r="FH142" s="22" t="e">
        <f t="shared" si="130"/>
        <v>#NUM!</v>
      </c>
      <c r="FI142" s="62" t="e">
        <f t="shared" si="131"/>
        <v>#NUM!</v>
      </c>
      <c r="FJ142" s="62">
        <f ca="1">AVERAGE(OFFSET($FI$3,0,0,'Données projet'!$E$16+1,1))-AVERAGE(OFFSET($H$3,0,0,'Données projet'!$E$16+1,1))</f>
        <v>286.59837239471312</v>
      </c>
      <c r="FK142" s="62">
        <f t="shared" si="156"/>
        <v>319.26091328564689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25.718404276678257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25.718404276678257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-1.7053025658242404E-13</v>
      </c>
      <c r="GA142" s="18">
        <f>FZ142*VLOOKUP('Données projet'!$B$17,Paramètres!$A$1:$I$89,3,0)*VLOOKUP('Données projet'!$B$17,Paramètres!$A$1:$I$89,5,0)</f>
        <v>-1.1439169611549005E-13</v>
      </c>
      <c r="GB142" s="14" t="e">
        <f t="shared" si="157"/>
        <v>#NUM!</v>
      </c>
      <c r="GC142" s="22" t="e">
        <f t="shared" si="133"/>
        <v>#NUM!</v>
      </c>
      <c r="GD142" s="62" t="e">
        <f t="shared" si="134"/>
        <v>#NUM!</v>
      </c>
      <c r="GE142" s="62">
        <f ca="1">AVERAGE(OFFSET($GD$3,0,0,'Données projet'!$E$17+1,1))-AVERAGE(OFFSET($H$3,0,0,'Données projet'!$E$17+1,1))</f>
        <v>277.37570531842186</v>
      </c>
      <c r="GF142" s="62">
        <f t="shared" si="158"/>
        <v>310.00874200911312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projet'!$B$17,Paramètres!$A$1:$I$89,3,0)*0.475*44/12</f>
        <v>30.200662255016319</v>
      </c>
      <c r="GM142" s="23">
        <f>EXP(-LN(2)/25)*GM141+(1-EXP(-LN(2)/25))/(LN(2)/25)*Calculateur!GH142*Calculateur!GJ142*VLOOKUP('Données projet'!$B$17,Paramètres!$A$1:$I$89,3,0)*0.475*44/12</f>
        <v>0</v>
      </c>
      <c r="GN142" s="23">
        <f>EXP(-LN(2)/2)*GN141+(1-EXP(-LN(2)/2))/(LN(2)/2)*GH142*GK142*VLOOKUP('Données projet'!$B$17,Paramètres!$A$1:$I$89,3,0)*0.475*44/12</f>
        <v>0</v>
      </c>
      <c r="GO142" s="23">
        <f t="shared" si="135"/>
        <v>30.200662255016319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-5.6843418860808015E-14</v>
      </c>
      <c r="O143" s="14">
        <f>N143*VLOOKUP('Données projet'!$B$9,Paramètres!$A$1:$I$89,3,0)*VLOOKUP('Données projet'!$B$9,Paramètres!$A$1:$I$89,5,0)</f>
        <v>-4.9658410716801891E-14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401.34220206028908</v>
      </c>
      <c r="T143" s="62">
        <f t="shared" si="142"/>
        <v>265.33314259106987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144.19308879050203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144.19308879050203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1.7053025658242404E-13</v>
      </c>
      <c r="AJ143" s="14">
        <f>AI143*VLOOKUP('Données projet'!$B$10,Paramètres!$A$1:$I$89,3,0)*VLOOKUP('Données projet'!$B$10,Paramètres!$A$1:$I$89,5,0)</f>
        <v>7.9808160080574461E-14</v>
      </c>
      <c r="AK143" s="14">
        <f t="shared" si="143"/>
        <v>1.2308384591775343E-12</v>
      </c>
      <c r="AL143" s="22">
        <f t="shared" si="112"/>
        <v>2.282709528541206E-12</v>
      </c>
      <c r="AM143" s="62">
        <f t="shared" si="113"/>
        <v>285.42308790422663</v>
      </c>
      <c r="AN143" s="62">
        <f ca="1">AVERAGE(OFFSET($AM$3,0,0,'Données projet'!$E$10+1,1))-AVERAGE(OFFSET($H$3,0,0,'Données projet'!$E$10+1,1))</f>
        <v>253.48761861464732</v>
      </c>
      <c r="AO143" s="62">
        <f t="shared" si="144"/>
        <v>219.50855998133855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57.340750873639998</v>
      </c>
      <c r="AV143" s="23">
        <f>EXP(-LN(2)/25)*AV142+(1-EXP(-LN(2)/25))/(LN(2)/25)*Calculateur!AQ143*Calculateur!AS143*VLOOKUP('Données projet'!$B$10,Paramètres!$A$1:$I$89,3,0)*0.475*44/12</f>
        <v>9.5670480618109526</v>
      </c>
      <c r="AW143" s="23">
        <f>EXP(-LN(2)/2)*AW142+(1-EXP(-LN(2)/2))/(LN(2)/2)*AQ143*AT143*VLOOKUP('Données projet'!$B$10,Paramètres!$A$1:$I$89,3,0)*0.475*44/12</f>
        <v>2.2736162172942041E-5</v>
      </c>
      <c r="AX143" s="23">
        <f t="shared" si="114"/>
        <v>66.907821671613135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482.85256243111911</v>
      </c>
      <c r="BJ143" s="62">
        <f t="shared" si="146"/>
        <v>517.78430032567064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24.267105926772967</v>
      </c>
      <c r="BQ143" s="23">
        <f>EXP(-LN(2)/25)*BQ142+(1-EXP(-LN(2)/25))/(LN(2)/25)*Calculateur!BL143*Calculateur!BN143*VLOOKUP('Données projet'!$B$11,Paramètres!$A$1:$I$89,3,0)*0.475*44/12</f>
        <v>3.2773942655911603</v>
      </c>
      <c r="BR143" s="23">
        <f>EXP(-LN(2)/2)*BR142+(1-EXP(-LN(2)/2))/(LN(2)/2)*BL143*BO143*VLOOKUP('Données projet'!$B$11,Paramètres!$A$1:$I$89,3,0)*0.475*44/12</f>
        <v>5.2983402744991501E-11</v>
      </c>
      <c r="BS143" s="24">
        <f t="shared" si="117"/>
        <v>27.544500192417111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>
        <f>BY143*VLOOKUP('Données projet'!$B$12,Paramètres!$A$1:$I$89,3,0)*VLOOKUP('Données projet'!$B$12,Paramètres!$A$1:$I$89,5,0)</f>
        <v>0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275.76900776033335</v>
      </c>
      <c r="CE143" s="62">
        <f t="shared" si="148"/>
        <v>299.36898480605191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23.255976513157428</v>
      </c>
      <c r="CL143" s="23">
        <f>EXP(-LN(2)/25)*CL142+(1-EXP(-LN(2)/25))/(LN(2)/25)*Calculateur!CG143*Calculateur!CI143*VLOOKUP('Données projet'!$B$12,Paramètres!$A$1:$I$89,3,0)*0.475*44/12</f>
        <v>3.1408361711915318</v>
      </c>
      <c r="CM143" s="23">
        <f>EXP(-LN(2)/2)*CM142+(1-EXP(-LN(2)/2))/(LN(2)/2)*CG143*CJ143*VLOOKUP('Données projet'!$B$12,Paramètres!$A$1:$I$89,3,0)*0.475*44/12</f>
        <v>5.0775760963950144E-11</v>
      </c>
      <c r="CN143" s="24">
        <f t="shared" si="120"/>
        <v>26.396812684399734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-5.6843418860808015E-14</v>
      </c>
      <c r="CU143" s="18">
        <f>CT143*VLOOKUP('Données projet'!$B$13,Paramètres!$A$1:$I$89,3,0)*VLOOKUP('Données projet'!$B$13,Paramètres!$A$1:$I$89,5,0)</f>
        <v>-6.2073013396002344E-14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482.24068797679558</v>
      </c>
      <c r="CZ143" s="62">
        <f t="shared" si="150"/>
        <v>316.28941055521693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180.24136098812752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180.24136098812752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-1.7053025658242404E-13</v>
      </c>
      <c r="DP143" s="18">
        <f>DO143*VLOOKUP('Données projet'!$B$14,Paramètres!$A$1:$I$89,3,0)*VLOOKUP('Données projet'!$B$14,Paramètres!$A$1:$I$89,5,0)</f>
        <v>-1.383341441396624E-13</v>
      </c>
      <c r="DQ143" s="14" t="e">
        <f t="shared" si="151"/>
        <v>#NUM!</v>
      </c>
      <c r="DR143" s="22" t="e">
        <f t="shared" si="124"/>
        <v>#NUM!</v>
      </c>
      <c r="DS143" s="62" t="e">
        <f t="shared" si="125"/>
        <v>#NUM!</v>
      </c>
      <c r="DT143" s="62">
        <f ca="1">AVERAGE(OFFSET($DS$3,0,0,'Données projet'!$E$14+1,1))-AVERAGE(OFFSET($H$3,0,0,'Données projet'!$E$14+1,1))</f>
        <v>325.58538970226539</v>
      </c>
      <c r="DU143" s="62">
        <f t="shared" si="152"/>
        <v>361.81085660423457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29.049795770124309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29.049795770124309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-2.8421709430404007E-13</v>
      </c>
      <c r="EK143" s="18">
        <f>EJ143*VLOOKUP('Données projet'!$B$15,Paramètres!$A$1:$I$89,3,0)*VLOOKUP('Données projet'!$B$15,Paramètres!$A$1:$I$89,5,0)</f>
        <v>-2.7489477361086758E-13</v>
      </c>
      <c r="EL143" s="14" t="e">
        <f t="shared" si="153"/>
        <v>#NUM!</v>
      </c>
      <c r="EM143" s="22" t="e">
        <f t="shared" si="127"/>
        <v>#NUM!</v>
      </c>
      <c r="EN143" s="62" t="e">
        <f t="shared" si="128"/>
        <v>#NUM!</v>
      </c>
      <c r="EO143" s="62">
        <f ca="1">AVERAGE(OFFSET($EN$3,0,0,'Données projet'!$E$15+1,1))-AVERAGE(OFFSET($H$3,0,0,'Données projet'!$E$15+1,1))</f>
        <v>364.22267539944085</v>
      </c>
      <c r="EP143" s="62">
        <f t="shared" si="154"/>
        <v>241.947139538615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127.71387864301612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127.71387864301612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-1.7053025658242404E-13</v>
      </c>
      <c r="FF143" s="18">
        <f>FE143*VLOOKUP('Données projet'!$B$16,Paramètres!$A$1:$I$89,3,0)*VLOOKUP('Données projet'!$B$16,Paramètres!$A$1:$I$89,5,0)</f>
        <v>-1.4897523215040567E-13</v>
      </c>
      <c r="FG143" s="14" t="e">
        <f t="shared" si="155"/>
        <v>#NUM!</v>
      </c>
      <c r="FH143" s="22" t="e">
        <f t="shared" si="130"/>
        <v>#NUM!</v>
      </c>
      <c r="FI143" s="62" t="e">
        <f t="shared" si="131"/>
        <v>#NUM!</v>
      </c>
      <c r="FJ143" s="62">
        <f ca="1">AVERAGE(OFFSET($FI$3,0,0,'Données projet'!$E$16+1,1))-AVERAGE(OFFSET($H$3,0,0,'Données projet'!$E$16+1,1))</f>
        <v>286.59837239471312</v>
      </c>
      <c r="FK143" s="62">
        <f t="shared" si="156"/>
        <v>319.26091328564689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25.214082055490273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25.214082055490273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-1.7053025658242404E-13</v>
      </c>
      <c r="GA143" s="18">
        <f>FZ143*VLOOKUP('Données projet'!$B$17,Paramètres!$A$1:$I$89,3,0)*VLOOKUP('Données projet'!$B$17,Paramètres!$A$1:$I$89,5,0)</f>
        <v>-1.1439169611549005E-13</v>
      </c>
      <c r="GB143" s="14" t="e">
        <f t="shared" si="157"/>
        <v>#NUM!</v>
      </c>
      <c r="GC143" s="22" t="e">
        <f t="shared" si="133"/>
        <v>#NUM!</v>
      </c>
      <c r="GD143" s="62" t="e">
        <f t="shared" si="134"/>
        <v>#NUM!</v>
      </c>
      <c r="GE143" s="62">
        <f ca="1">AVERAGE(OFFSET($GD$3,0,0,'Données projet'!$E$17+1,1))-AVERAGE(OFFSET($H$3,0,0,'Données projet'!$E$17+1,1))</f>
        <v>277.37570531842186</v>
      </c>
      <c r="GF143" s="62">
        <f t="shared" si="158"/>
        <v>310.00874200911312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projet'!$B$17,Paramètres!$A$1:$I$89,3,0)*0.475*44/12</f>
        <v>29.608445688780542</v>
      </c>
      <c r="GM143" s="23">
        <f>EXP(-LN(2)/25)*GM142+(1-EXP(-LN(2)/25))/(LN(2)/25)*Calculateur!GH143*Calculateur!GJ143*VLOOKUP('Données projet'!$B$17,Paramètres!$A$1:$I$89,3,0)*0.475*44/12</f>
        <v>0</v>
      </c>
      <c r="GN143" s="23">
        <f>EXP(-LN(2)/2)*GN142+(1-EXP(-LN(2)/2))/(LN(2)/2)*GH143*GK143*VLOOKUP('Données projet'!$B$17,Paramètres!$A$1:$I$89,3,0)*0.475*44/12</f>
        <v>0</v>
      </c>
      <c r="GO143" s="23">
        <f t="shared" si="135"/>
        <v>29.608445688780542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-5.6843418860808015E-14</v>
      </c>
      <c r="O144" s="14">
        <f>N144*VLOOKUP('Données projet'!$B$9,Paramètres!$A$1:$I$89,3,0)*VLOOKUP('Données projet'!$B$9,Paramètres!$A$1:$I$89,5,0)</f>
        <v>-4.9658410716801891E-14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401.34220206028908</v>
      </c>
      <c r="T144" s="62">
        <f t="shared" si="142"/>
        <v>265.33314259106987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141.36555026842021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141.36555026842021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1.7053025658242404E-13</v>
      </c>
      <c r="AJ144" s="14">
        <f>AI144*VLOOKUP('Données projet'!$B$10,Paramètres!$A$1:$I$89,3,0)*VLOOKUP('Données projet'!$B$10,Paramètres!$A$1:$I$89,5,0)</f>
        <v>7.9808160080574461E-14</v>
      </c>
      <c r="AK144" s="14">
        <f t="shared" si="143"/>
        <v>1.2308384591775343E-12</v>
      </c>
      <c r="AL144" s="22">
        <f t="shared" si="112"/>
        <v>2.282709528541206E-12</v>
      </c>
      <c r="AM144" s="62">
        <f t="shared" si="113"/>
        <v>285.56031297776229</v>
      </c>
      <c r="AN144" s="62">
        <f ca="1">AVERAGE(OFFSET($AM$3,0,0,'Données projet'!$E$10+1,1))-AVERAGE(OFFSET($H$3,0,0,'Données projet'!$E$10+1,1))</f>
        <v>253.48761861464732</v>
      </c>
      <c r="AO144" s="62">
        <f t="shared" si="144"/>
        <v>219.50855998133855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56.216333723412518</v>
      </c>
      <c r="AV144" s="23">
        <f>EXP(-LN(2)/25)*AV143+(1-EXP(-LN(2)/25))/(LN(2)/25)*Calculateur!AQ144*Calculateur!AS144*VLOOKUP('Données projet'!$B$10,Paramètres!$A$1:$I$89,3,0)*0.475*44/12</f>
        <v>9.30543662945154</v>
      </c>
      <c r="AW144" s="23">
        <f>EXP(-LN(2)/2)*AW143+(1-EXP(-LN(2)/2))/(LN(2)/2)*AQ144*AT144*VLOOKUP('Données projet'!$B$10,Paramètres!$A$1:$I$89,3,0)*0.475*44/12</f>
        <v>1.6076894450644386E-5</v>
      </c>
      <c r="AX144" s="23">
        <f t="shared" si="114"/>
        <v>65.521786429758507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482.85256243111911</v>
      </c>
      <c r="BJ144" s="62">
        <f t="shared" si="146"/>
        <v>517.78430032567064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23.791242781022039</v>
      </c>
      <c r="BQ144" s="23">
        <f>EXP(-LN(2)/25)*BQ143+(1-EXP(-LN(2)/25))/(LN(2)/25)*Calculateur!BL144*Calculateur!BN144*VLOOKUP('Données projet'!$B$11,Paramètres!$A$1:$I$89,3,0)*0.475*44/12</f>
        <v>3.1877737470478964</v>
      </c>
      <c r="BR144" s="23">
        <f>EXP(-LN(2)/2)*BR143+(1-EXP(-LN(2)/2))/(LN(2)/2)*BL144*BO144*VLOOKUP('Données projet'!$B$11,Paramètres!$A$1:$I$89,3,0)*0.475*44/12</f>
        <v>3.7464923371321426E-11</v>
      </c>
      <c r="BS144" s="24">
        <f t="shared" si="117"/>
        <v>26.979016528107397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>
        <f>BY144*VLOOKUP('Données projet'!$B$12,Paramètres!$A$1:$I$89,3,0)*VLOOKUP('Données projet'!$B$12,Paramètres!$A$1:$I$89,5,0)</f>
        <v>0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275.76900776033335</v>
      </c>
      <c r="CE144" s="62">
        <f t="shared" si="148"/>
        <v>299.36898480605191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22.799940998479457</v>
      </c>
      <c r="CL144" s="23">
        <f>EXP(-LN(2)/25)*CL143+(1-EXP(-LN(2)/25))/(LN(2)/25)*Calculateur!CG144*Calculateur!CI144*VLOOKUP('Données projet'!$B$12,Paramètres!$A$1:$I$89,3,0)*0.475*44/12</f>
        <v>3.0549498409209037</v>
      </c>
      <c r="CM144" s="23">
        <f>EXP(-LN(2)/2)*CM143+(1-EXP(-LN(2)/2))/(LN(2)/2)*CG144*CJ144*VLOOKUP('Données projet'!$B$12,Paramètres!$A$1:$I$89,3,0)*0.475*44/12</f>
        <v>3.5903884897516336E-11</v>
      </c>
      <c r="CN144" s="24">
        <f t="shared" si="120"/>
        <v>25.854890839436266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-5.6843418860808015E-14</v>
      </c>
      <c r="CU144" s="18">
        <f>CT144*VLOOKUP('Données projet'!$B$13,Paramètres!$A$1:$I$89,3,0)*VLOOKUP('Données projet'!$B$13,Paramètres!$A$1:$I$89,5,0)</f>
        <v>-6.2073013396002344E-14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482.24068797679558</v>
      </c>
      <c r="CZ144" s="62">
        <f t="shared" si="150"/>
        <v>316.28941055521693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176.70693783552522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176.70693783552522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-1.7053025658242404E-13</v>
      </c>
      <c r="DP144" s="18">
        <f>DO144*VLOOKUP('Données projet'!$B$14,Paramètres!$A$1:$I$89,3,0)*VLOOKUP('Données projet'!$B$14,Paramètres!$A$1:$I$89,5,0)</f>
        <v>-1.383341441396624E-13</v>
      </c>
      <c r="DQ144" s="14" t="e">
        <f t="shared" si="151"/>
        <v>#NUM!</v>
      </c>
      <c r="DR144" s="22" t="e">
        <f t="shared" si="124"/>
        <v>#NUM!</v>
      </c>
      <c r="DS144" s="62" t="e">
        <f t="shared" si="125"/>
        <v>#NUM!</v>
      </c>
      <c r="DT144" s="62">
        <f ca="1">AVERAGE(OFFSET($DS$3,0,0,'Données projet'!$E$14+1,1))-AVERAGE(OFFSET($H$3,0,0,'Données projet'!$E$14+1,1))</f>
        <v>325.58538970226539</v>
      </c>
      <c r="DU144" s="62">
        <f t="shared" si="152"/>
        <v>361.81085660423457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28.480146993698021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28.480146993698021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-2.8421709430404007E-13</v>
      </c>
      <c r="EK144" s="18">
        <f>EJ144*VLOOKUP('Données projet'!$B$15,Paramètres!$A$1:$I$89,3,0)*VLOOKUP('Données projet'!$B$15,Paramètres!$A$1:$I$89,5,0)</f>
        <v>-2.7489477361086758E-13</v>
      </c>
      <c r="EL144" s="14" t="e">
        <f t="shared" si="153"/>
        <v>#NUM!</v>
      </c>
      <c r="EM144" s="22" t="e">
        <f t="shared" si="127"/>
        <v>#NUM!</v>
      </c>
      <c r="EN144" s="62" t="e">
        <f t="shared" si="128"/>
        <v>#NUM!</v>
      </c>
      <c r="EO144" s="62">
        <f ca="1">AVERAGE(OFFSET($EN$3,0,0,'Données projet'!$E$15+1,1))-AVERAGE(OFFSET($H$3,0,0,'Données projet'!$E$15+1,1))</f>
        <v>364.22267539944085</v>
      </c>
      <c r="EP144" s="62">
        <f t="shared" si="154"/>
        <v>241.947139538615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125.20948738060078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125.20948738060078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-1.7053025658242404E-13</v>
      </c>
      <c r="FF144" s="18">
        <f>FE144*VLOOKUP('Données projet'!$B$16,Paramètres!$A$1:$I$89,3,0)*VLOOKUP('Données projet'!$B$16,Paramètres!$A$1:$I$89,5,0)</f>
        <v>-1.4897523215040567E-13</v>
      </c>
      <c r="FG144" s="14" t="e">
        <f t="shared" si="155"/>
        <v>#NUM!</v>
      </c>
      <c r="FH144" s="22" t="e">
        <f t="shared" si="130"/>
        <v>#NUM!</v>
      </c>
      <c r="FI144" s="62" t="e">
        <f t="shared" si="131"/>
        <v>#NUM!</v>
      </c>
      <c r="FJ144" s="62">
        <f ca="1">AVERAGE(OFFSET($FI$3,0,0,'Données projet'!$E$16+1,1))-AVERAGE(OFFSET($H$3,0,0,'Données projet'!$E$16+1,1))</f>
        <v>286.59837239471312</v>
      </c>
      <c r="FK144" s="62">
        <f t="shared" si="156"/>
        <v>319.26091328564689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24.719649285453606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24.719649285453606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-1.7053025658242404E-13</v>
      </c>
      <c r="GA144" s="18">
        <f>FZ144*VLOOKUP('Données projet'!$B$17,Paramètres!$A$1:$I$89,3,0)*VLOOKUP('Données projet'!$B$17,Paramètres!$A$1:$I$89,5,0)</f>
        <v>-1.1439169611549005E-13</v>
      </c>
      <c r="GB144" s="14" t="e">
        <f t="shared" si="157"/>
        <v>#NUM!</v>
      </c>
      <c r="GC144" s="22" t="e">
        <f t="shared" si="133"/>
        <v>#NUM!</v>
      </c>
      <c r="GD144" s="62" t="e">
        <f t="shared" si="134"/>
        <v>#NUM!</v>
      </c>
      <c r="GE144" s="62">
        <f ca="1">AVERAGE(OFFSET($GD$3,0,0,'Données projet'!$E$17+1,1))-AVERAGE(OFFSET($H$3,0,0,'Données projet'!$E$17+1,1))</f>
        <v>277.37570531842186</v>
      </c>
      <c r="GF144" s="62">
        <f t="shared" si="158"/>
        <v>310.00874200911312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projet'!$B$17,Paramètres!$A$1:$I$89,3,0)*0.475*44/12</f>
        <v>29.027842128192212</v>
      </c>
      <c r="GM144" s="23">
        <f>EXP(-LN(2)/25)*GM143+(1-EXP(-LN(2)/25))/(LN(2)/25)*Calculateur!GH144*Calculateur!GJ144*VLOOKUP('Données projet'!$B$17,Paramètres!$A$1:$I$89,3,0)*0.475*44/12</f>
        <v>0</v>
      </c>
      <c r="GN144" s="23">
        <f>EXP(-LN(2)/2)*GN143+(1-EXP(-LN(2)/2))/(LN(2)/2)*GH144*GK144*VLOOKUP('Données projet'!$B$17,Paramètres!$A$1:$I$89,3,0)*0.475*44/12</f>
        <v>0</v>
      </c>
      <c r="GO144" s="23">
        <f t="shared" si="135"/>
        <v>29.027842128192212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-5.6843418860808015E-14</v>
      </c>
      <c r="O145" s="14">
        <f>N145*VLOOKUP('Données projet'!$B$9,Paramètres!$A$1:$I$89,3,0)*VLOOKUP('Données projet'!$B$9,Paramètres!$A$1:$I$89,5,0)</f>
        <v>-4.9658410716801891E-14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401.34220206028908</v>
      </c>
      <c r="T145" s="62">
        <f t="shared" si="142"/>
        <v>265.33314259106987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138.5934580521282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138.5934580521282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1.7053025658242404E-13</v>
      </c>
      <c r="AJ145" s="14">
        <f>AI145*VLOOKUP('Données projet'!$B$10,Paramètres!$A$1:$I$89,3,0)*VLOOKUP('Données projet'!$B$10,Paramètres!$A$1:$I$89,5,0)</f>
        <v>7.9808160080574461E-14</v>
      </c>
      <c r="AK145" s="14">
        <f t="shared" si="143"/>
        <v>1.2308384591775343E-12</v>
      </c>
      <c r="AL145" s="22">
        <f t="shared" si="112"/>
        <v>2.282709528541206E-12</v>
      </c>
      <c r="AM145" s="62">
        <f t="shared" si="113"/>
        <v>285.69515750306135</v>
      </c>
      <c r="AN145" s="62">
        <f ca="1">AVERAGE(OFFSET($AM$3,0,0,'Données projet'!$E$10+1,1))-AVERAGE(OFFSET($H$3,0,0,'Données projet'!$E$10+1,1))</f>
        <v>253.48761861464732</v>
      </c>
      <c r="AO145" s="62">
        <f t="shared" si="144"/>
        <v>219.50855998133855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55.113965707674254</v>
      </c>
      <c r="AV145" s="23">
        <f>EXP(-LN(2)/25)*AV144+(1-EXP(-LN(2)/25))/(LN(2)/25)*Calculateur!AQ145*Calculateur!AS145*VLOOKUP('Données projet'!$B$10,Paramètres!$A$1:$I$89,3,0)*0.475*44/12</f>
        <v>9.0509789754675438</v>
      </c>
      <c r="AW145" s="23">
        <f>EXP(-LN(2)/2)*AW144+(1-EXP(-LN(2)/2))/(LN(2)/2)*AQ145*AT145*VLOOKUP('Données projet'!$B$10,Paramètres!$A$1:$I$89,3,0)*0.475*44/12</f>
        <v>1.136808108647102E-5</v>
      </c>
      <c r="AX145" s="23">
        <f t="shared" si="114"/>
        <v>64.164956051222887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482.85256243111911</v>
      </c>
      <c r="BJ145" s="62">
        <f t="shared" si="146"/>
        <v>517.78430032567064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23.32471102131143</v>
      </c>
      <c r="BQ145" s="23">
        <f>EXP(-LN(2)/25)*BQ144+(1-EXP(-LN(2)/25))/(LN(2)/25)*Calculateur!BL145*Calculateur!BN145*VLOOKUP('Données projet'!$B$11,Paramètres!$A$1:$I$89,3,0)*0.475*44/12</f>
        <v>3.100603906297136</v>
      </c>
      <c r="BR145" s="23">
        <f>EXP(-LN(2)/2)*BR144+(1-EXP(-LN(2)/2))/(LN(2)/2)*BL145*BO145*VLOOKUP('Données projet'!$B$11,Paramètres!$A$1:$I$89,3,0)*0.475*44/12</f>
        <v>2.6491701372495751E-11</v>
      </c>
      <c r="BS145" s="24">
        <f t="shared" si="117"/>
        <v>26.425314927635057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>
        <f>BY145*VLOOKUP('Données projet'!$B$12,Paramètres!$A$1:$I$89,3,0)*VLOOKUP('Données projet'!$B$12,Paramètres!$A$1:$I$89,5,0)</f>
        <v>0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275.76900776033335</v>
      </c>
      <c r="CE145" s="62">
        <f t="shared" si="148"/>
        <v>299.36898480605191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22.352848062090121</v>
      </c>
      <c r="CL145" s="23">
        <f>EXP(-LN(2)/25)*CL144+(1-EXP(-LN(2)/25))/(LN(2)/25)*Calculateur!CG145*Calculateur!CI145*VLOOKUP('Données projet'!$B$12,Paramètres!$A$1:$I$89,3,0)*0.475*44/12</f>
        <v>2.9714120768680918</v>
      </c>
      <c r="CM145" s="23">
        <f>EXP(-LN(2)/2)*CM144+(1-EXP(-LN(2)/2))/(LN(2)/2)*CG145*CJ145*VLOOKUP('Données projet'!$B$12,Paramètres!$A$1:$I$89,3,0)*0.475*44/12</f>
        <v>2.5387880481975072E-11</v>
      </c>
      <c r="CN145" s="24">
        <f t="shared" si="120"/>
        <v>25.3242601389836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-5.6843418860808015E-14</v>
      </c>
      <c r="CU145" s="18">
        <f>CT145*VLOOKUP('Données projet'!$B$13,Paramètres!$A$1:$I$89,3,0)*VLOOKUP('Données projet'!$B$13,Paramètres!$A$1:$I$89,5,0)</f>
        <v>-6.2073013396002344E-14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482.24068797679558</v>
      </c>
      <c r="CZ145" s="62">
        <f t="shared" si="150"/>
        <v>316.28941055521693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173.24182256516019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173.24182256516019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-1.7053025658242404E-13</v>
      </c>
      <c r="DP145" s="18">
        <f>DO145*VLOOKUP('Données projet'!$B$14,Paramètres!$A$1:$I$89,3,0)*VLOOKUP('Données projet'!$B$14,Paramètres!$A$1:$I$89,5,0)</f>
        <v>-1.383341441396624E-13</v>
      </c>
      <c r="DQ145" s="14" t="e">
        <f t="shared" si="151"/>
        <v>#NUM!</v>
      </c>
      <c r="DR145" s="22" t="e">
        <f t="shared" si="124"/>
        <v>#NUM!</v>
      </c>
      <c r="DS145" s="62" t="e">
        <f t="shared" si="125"/>
        <v>#NUM!</v>
      </c>
      <c r="DT145" s="62">
        <f ca="1">AVERAGE(OFFSET($DS$3,0,0,'Données projet'!$E$14+1,1))-AVERAGE(OFFSET($H$3,0,0,'Données projet'!$E$14+1,1))</f>
        <v>325.58538970226539</v>
      </c>
      <c r="DU145" s="62">
        <f t="shared" si="152"/>
        <v>361.81085660423457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27.921668682326008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27.921668682326008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-2.8421709430404007E-13</v>
      </c>
      <c r="EK145" s="18">
        <f>EJ145*VLOOKUP('Données projet'!$B$15,Paramètres!$A$1:$I$89,3,0)*VLOOKUP('Données projet'!$B$15,Paramètres!$A$1:$I$89,5,0)</f>
        <v>-2.7489477361086758E-13</v>
      </c>
      <c r="EL145" s="14" t="e">
        <f t="shared" si="153"/>
        <v>#NUM!</v>
      </c>
      <c r="EM145" s="22" t="e">
        <f t="shared" si="127"/>
        <v>#NUM!</v>
      </c>
      <c r="EN145" s="62" t="e">
        <f t="shared" si="128"/>
        <v>#NUM!</v>
      </c>
      <c r="EO145" s="62">
        <f ca="1">AVERAGE(OFFSET($EN$3,0,0,'Données projet'!$E$15+1,1))-AVERAGE(OFFSET($H$3,0,0,'Données projet'!$E$15+1,1))</f>
        <v>364.22267539944085</v>
      </c>
      <c r="EP145" s="62">
        <f t="shared" si="154"/>
        <v>241.947139538615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122.75420570331356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122.75420570331356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-1.7053025658242404E-13</v>
      </c>
      <c r="FF145" s="18">
        <f>FE145*VLOOKUP('Données projet'!$B$16,Paramètres!$A$1:$I$89,3,0)*VLOOKUP('Données projet'!$B$16,Paramètres!$A$1:$I$89,5,0)</f>
        <v>-1.4897523215040567E-13</v>
      </c>
      <c r="FG145" s="14" t="e">
        <f t="shared" si="155"/>
        <v>#NUM!</v>
      </c>
      <c r="FH145" s="22" t="e">
        <f t="shared" si="130"/>
        <v>#NUM!</v>
      </c>
      <c r="FI145" s="62" t="e">
        <f t="shared" si="131"/>
        <v>#NUM!</v>
      </c>
      <c r="FJ145" s="62">
        <f ca="1">AVERAGE(OFFSET($FI$3,0,0,'Données projet'!$E$16+1,1))-AVERAGE(OFFSET($H$3,0,0,'Données projet'!$E$16+1,1))</f>
        <v>286.59837239471312</v>
      </c>
      <c r="FK145" s="62">
        <f t="shared" si="156"/>
        <v>319.26091328564689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24.234912040463147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24.234912040463147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-1.7053025658242404E-13</v>
      </c>
      <c r="GA145" s="18">
        <f>FZ145*VLOOKUP('Données projet'!$B$17,Paramètres!$A$1:$I$89,3,0)*VLOOKUP('Données projet'!$B$17,Paramètres!$A$1:$I$89,5,0)</f>
        <v>-1.1439169611549005E-13</v>
      </c>
      <c r="GB145" s="14" t="e">
        <f t="shared" si="157"/>
        <v>#NUM!</v>
      </c>
      <c r="GC145" s="22" t="e">
        <f t="shared" si="133"/>
        <v>#NUM!</v>
      </c>
      <c r="GD145" s="62" t="e">
        <f t="shared" si="134"/>
        <v>#NUM!</v>
      </c>
      <c r="GE145" s="62">
        <f ca="1">AVERAGE(OFFSET($GD$3,0,0,'Données projet'!$E$17+1,1))-AVERAGE(OFFSET($H$3,0,0,'Données projet'!$E$17+1,1))</f>
        <v>277.37570531842186</v>
      </c>
      <c r="GF145" s="62">
        <f t="shared" si="158"/>
        <v>310.00874200911312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projet'!$B$17,Paramètres!$A$1:$I$89,3,0)*0.475*44/12</f>
        <v>28.458623849293815</v>
      </c>
      <c r="GM145" s="23">
        <f>EXP(-LN(2)/25)*GM144+(1-EXP(-LN(2)/25))/(LN(2)/25)*Calculateur!GH145*Calculateur!GJ145*VLOOKUP('Données projet'!$B$17,Paramètres!$A$1:$I$89,3,0)*0.475*44/12</f>
        <v>0</v>
      </c>
      <c r="GN145" s="23">
        <f>EXP(-LN(2)/2)*GN144+(1-EXP(-LN(2)/2))/(LN(2)/2)*GH145*GK145*VLOOKUP('Données projet'!$B$17,Paramètres!$A$1:$I$89,3,0)*0.475*44/12</f>
        <v>0</v>
      </c>
      <c r="GO145" s="23">
        <f t="shared" si="135"/>
        <v>28.458623849293815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-5.6843418860808015E-14</v>
      </c>
      <c r="O146" s="14">
        <f>N146*VLOOKUP('Données projet'!$B$9,Paramètres!$A$1:$I$89,3,0)*VLOOKUP('Données projet'!$B$9,Paramètres!$A$1:$I$89,5,0)</f>
        <v>-4.9658410716801891E-14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401.34220206028908</v>
      </c>
      <c r="T146" s="62">
        <f t="shared" si="142"/>
        <v>265.33314259106987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135.87572487338838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135.87572487338838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1.7053025658242404E-13</v>
      </c>
      <c r="AJ146" s="14">
        <f>AI146*VLOOKUP('Données projet'!$B$10,Paramètres!$A$1:$I$89,3,0)*VLOOKUP('Données projet'!$B$10,Paramètres!$A$1:$I$89,5,0)</f>
        <v>7.9808160080574461E-14</v>
      </c>
      <c r="AK146" s="14">
        <f t="shared" si="143"/>
        <v>1.2308384591775343E-12</v>
      </c>
      <c r="AL146" s="22">
        <f t="shared" si="112"/>
        <v>2.282709528541206E-12</v>
      </c>
      <c r="AM146" s="62">
        <f t="shared" si="113"/>
        <v>285.82766277731372</v>
      </c>
      <c r="AN146" s="62">
        <f ca="1">AVERAGE(OFFSET($AM$3,0,0,'Données projet'!$E$10+1,1))-AVERAGE(OFFSET($H$3,0,0,'Données projet'!$E$10+1,1))</f>
        <v>253.48761861464732</v>
      </c>
      <c r="AO146" s="62">
        <f t="shared" si="144"/>
        <v>219.50855998133855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54.033214456346521</v>
      </c>
      <c r="AV146" s="23">
        <f>EXP(-LN(2)/25)*AV145+(1-EXP(-LN(2)/25))/(LN(2)/25)*Calculateur!AQ146*Calculateur!AS146*VLOOKUP('Données projet'!$B$10,Paramètres!$A$1:$I$89,3,0)*0.475*44/12</f>
        <v>8.8034794794130864</v>
      </c>
      <c r="AW146" s="23">
        <f>EXP(-LN(2)/2)*AW145+(1-EXP(-LN(2)/2))/(LN(2)/2)*AQ146*AT146*VLOOKUP('Données projet'!$B$10,Paramètres!$A$1:$I$89,3,0)*0.475*44/12</f>
        <v>8.0384472253221932E-6</v>
      </c>
      <c r="AX146" s="23">
        <f t="shared" si="114"/>
        <v>62.836701974206832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482.85256243111911</v>
      </c>
      <c r="BJ146" s="62">
        <f t="shared" si="146"/>
        <v>517.78430032567064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22.867327664852468</v>
      </c>
      <c r="BQ146" s="23">
        <f>EXP(-LN(2)/25)*BQ145+(1-EXP(-LN(2)/25))/(LN(2)/25)*Calculateur!BL146*Calculateur!BN146*VLOOKUP('Données projet'!$B$11,Paramètres!$A$1:$I$89,3,0)*0.475*44/12</f>
        <v>3.015817729425768</v>
      </c>
      <c r="BR146" s="23">
        <f>EXP(-LN(2)/2)*BR145+(1-EXP(-LN(2)/2))/(LN(2)/2)*BL146*BO146*VLOOKUP('Données projet'!$B$11,Paramètres!$A$1:$I$89,3,0)*0.475*44/12</f>
        <v>1.8732461685660713E-11</v>
      </c>
      <c r="BS146" s="24">
        <f t="shared" si="117"/>
        <v>25.883145394296971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>
        <f>BY146*VLOOKUP('Données projet'!$B$12,Paramètres!$A$1:$I$89,3,0)*VLOOKUP('Données projet'!$B$12,Paramètres!$A$1:$I$89,5,0)</f>
        <v>0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275.76900776033335</v>
      </c>
      <c r="CE146" s="62">
        <f t="shared" si="148"/>
        <v>299.36898480605191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21.914522345483618</v>
      </c>
      <c r="CL146" s="23">
        <f>EXP(-LN(2)/25)*CL145+(1-EXP(-LN(2)/25))/(LN(2)/25)*Calculateur!CG146*Calculateur!CI146*VLOOKUP('Données projet'!$B$12,Paramètres!$A$1:$I$89,3,0)*0.475*44/12</f>
        <v>2.890158657366364</v>
      </c>
      <c r="CM146" s="23">
        <f>EXP(-LN(2)/2)*CM145+(1-EXP(-LN(2)/2))/(LN(2)/2)*CG146*CJ146*VLOOKUP('Données projet'!$B$12,Paramètres!$A$1:$I$89,3,0)*0.475*44/12</f>
        <v>1.7951942448758168E-11</v>
      </c>
      <c r="CN146" s="24">
        <f t="shared" si="120"/>
        <v>24.804681002867934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-5.6843418860808015E-14</v>
      </c>
      <c r="CU146" s="18">
        <f>CT146*VLOOKUP('Données projet'!$B$13,Paramètres!$A$1:$I$89,3,0)*VLOOKUP('Données projet'!$B$13,Paramètres!$A$1:$I$89,5,0)</f>
        <v>-6.2073013396002344E-14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482.24068797679558</v>
      </c>
      <c r="CZ146" s="62">
        <f t="shared" si="150"/>
        <v>316.28941055521693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169.8446560917354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169.8446560917354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-1.7053025658242404E-13</v>
      </c>
      <c r="DP146" s="18">
        <f>DO146*VLOOKUP('Données projet'!$B$14,Paramètres!$A$1:$I$89,3,0)*VLOOKUP('Données projet'!$B$14,Paramètres!$A$1:$I$89,5,0)</f>
        <v>-1.383341441396624E-13</v>
      </c>
      <c r="DQ146" s="14" t="e">
        <f t="shared" si="151"/>
        <v>#NUM!</v>
      </c>
      <c r="DR146" s="22" t="e">
        <f t="shared" si="124"/>
        <v>#NUM!</v>
      </c>
      <c r="DS146" s="62" t="e">
        <f t="shared" si="125"/>
        <v>#NUM!</v>
      </c>
      <c r="DT146" s="62">
        <f ca="1">AVERAGE(OFFSET($DS$3,0,0,'Données projet'!$E$14+1,1))-AVERAGE(OFFSET($H$3,0,0,'Données projet'!$E$14+1,1))</f>
        <v>325.58538970226539</v>
      </c>
      <c r="DU146" s="62">
        <f t="shared" si="152"/>
        <v>361.81085660423457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27.374141790001865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27.374141790001865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-2.8421709430404007E-13</v>
      </c>
      <c r="EK146" s="18">
        <f>EJ146*VLOOKUP('Données projet'!$B$15,Paramètres!$A$1:$I$89,3,0)*VLOOKUP('Données projet'!$B$15,Paramètres!$A$1:$I$89,5,0)</f>
        <v>-2.7489477361086758E-13</v>
      </c>
      <c r="EL146" s="14" t="e">
        <f t="shared" si="153"/>
        <v>#NUM!</v>
      </c>
      <c r="EM146" s="22" t="e">
        <f t="shared" si="127"/>
        <v>#NUM!</v>
      </c>
      <c r="EN146" s="62" t="e">
        <f t="shared" si="128"/>
        <v>#NUM!</v>
      </c>
      <c r="EO146" s="62">
        <f ca="1">AVERAGE(OFFSET($EN$3,0,0,'Données projet'!$E$15+1,1))-AVERAGE(OFFSET($H$3,0,0,'Données projet'!$E$15+1,1))</f>
        <v>364.22267539944085</v>
      </c>
      <c r="EP146" s="62">
        <f t="shared" si="154"/>
        <v>241.947139538615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120.347070602144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120.347070602144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-1.7053025658242404E-13</v>
      </c>
      <c r="FF146" s="18">
        <f>FE146*VLOOKUP('Données projet'!$B$16,Paramètres!$A$1:$I$89,3,0)*VLOOKUP('Données projet'!$B$16,Paramètres!$A$1:$I$89,5,0)</f>
        <v>-1.4897523215040567E-13</v>
      </c>
      <c r="FG146" s="14" t="e">
        <f t="shared" si="155"/>
        <v>#NUM!</v>
      </c>
      <c r="FH146" s="22" t="e">
        <f t="shared" si="130"/>
        <v>#NUM!</v>
      </c>
      <c r="FI146" s="62" t="e">
        <f t="shared" si="131"/>
        <v>#NUM!</v>
      </c>
      <c r="FJ146" s="62">
        <f ca="1">AVERAGE(OFFSET($FI$3,0,0,'Données projet'!$E$16+1,1))-AVERAGE(OFFSET($H$3,0,0,'Données projet'!$E$16+1,1))</f>
        <v>286.59837239471312</v>
      </c>
      <c r="FK146" s="62">
        <f t="shared" si="156"/>
        <v>319.26091328564689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23.759680197186423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23.759680197186423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-1.7053025658242404E-13</v>
      </c>
      <c r="GA146" s="18">
        <f>FZ146*VLOOKUP('Données projet'!$B$17,Paramètres!$A$1:$I$89,3,0)*VLOOKUP('Données projet'!$B$17,Paramètres!$A$1:$I$89,5,0)</f>
        <v>-1.1439169611549005E-13</v>
      </c>
      <c r="GB146" s="14" t="e">
        <f t="shared" si="157"/>
        <v>#NUM!</v>
      </c>
      <c r="GC146" s="22" t="e">
        <f t="shared" si="133"/>
        <v>#NUM!</v>
      </c>
      <c r="GD146" s="62" t="e">
        <f t="shared" si="134"/>
        <v>#NUM!</v>
      </c>
      <c r="GE146" s="62">
        <f ca="1">AVERAGE(OFFSET($GD$3,0,0,'Données projet'!$E$17+1,1))-AVERAGE(OFFSET($H$3,0,0,'Données projet'!$E$17+1,1))</f>
        <v>277.37570531842186</v>
      </c>
      <c r="GF146" s="62">
        <f t="shared" si="158"/>
        <v>310.00874200911312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projet'!$B$17,Paramètres!$A$1:$I$89,3,0)*0.475*44/12</f>
        <v>27.900567593655747</v>
      </c>
      <c r="GM146" s="23">
        <f>EXP(-LN(2)/25)*GM145+(1-EXP(-LN(2)/25))/(LN(2)/25)*Calculateur!GH146*Calculateur!GJ146*VLOOKUP('Données projet'!$B$17,Paramètres!$A$1:$I$89,3,0)*0.475*44/12</f>
        <v>0</v>
      </c>
      <c r="GN146" s="23">
        <f>EXP(-LN(2)/2)*GN145+(1-EXP(-LN(2)/2))/(LN(2)/2)*GH146*GK146*VLOOKUP('Données projet'!$B$17,Paramètres!$A$1:$I$89,3,0)*0.475*44/12</f>
        <v>0</v>
      </c>
      <c r="GO146" s="23">
        <f t="shared" si="135"/>
        <v>27.900567593655747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-5.6843418860808015E-14</v>
      </c>
      <c r="O147" s="14">
        <f>N147*VLOOKUP('Données projet'!$B$9,Paramètres!$A$1:$I$89,3,0)*VLOOKUP('Données projet'!$B$9,Paramètres!$A$1:$I$89,5,0)</f>
        <v>-4.9658410716801891E-14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401.34220206028908</v>
      </c>
      <c r="T147" s="62">
        <f t="shared" si="142"/>
        <v>265.33314259106987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133.21128478463007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133.21128478463007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1.7053025658242404E-13</v>
      </c>
      <c r="AJ147" s="14">
        <f>AI147*VLOOKUP('Données projet'!$B$10,Paramètres!$A$1:$I$89,3,0)*VLOOKUP('Données projet'!$B$10,Paramètres!$A$1:$I$89,5,0)</f>
        <v>7.9808160080574461E-14</v>
      </c>
      <c r="AK147" s="14">
        <f t="shared" si="143"/>
        <v>1.2308384591775343E-12</v>
      </c>
      <c r="AL147" s="22">
        <f t="shared" si="112"/>
        <v>2.282709528541206E-12</v>
      </c>
      <c r="AM147" s="62">
        <f t="shared" si="113"/>
        <v>285.95786938129515</v>
      </c>
      <c r="AN147" s="62">
        <f ca="1">AVERAGE(OFFSET($AM$3,0,0,'Données projet'!$E$10+1,1))-AVERAGE(OFFSET($H$3,0,0,'Données projet'!$E$10+1,1))</f>
        <v>253.48761861464732</v>
      </c>
      <c r="AO147" s="62">
        <f t="shared" si="144"/>
        <v>219.50855998133855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52.973656077864149</v>
      </c>
      <c r="AV147" s="23">
        <f>EXP(-LN(2)/25)*AV146+(1-EXP(-LN(2)/25))/(LN(2)/25)*Calculateur!AQ147*Calculateur!AS147*VLOOKUP('Données projet'!$B$10,Paramètres!$A$1:$I$89,3,0)*0.475*44/12</f>
        <v>8.5627478700936699</v>
      </c>
      <c r="AW147" s="23">
        <f>EXP(-LN(2)/2)*AW146+(1-EXP(-LN(2)/2))/(LN(2)/2)*AQ147*AT147*VLOOKUP('Données projet'!$B$10,Paramètres!$A$1:$I$89,3,0)*0.475*44/12</f>
        <v>5.6840405432355102E-6</v>
      </c>
      <c r="AX147" s="23">
        <f t="shared" si="114"/>
        <v>61.536409631998367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482.85256243111911</v>
      </c>
      <c r="BJ147" s="62">
        <f t="shared" si="146"/>
        <v>517.78430032567064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22.418913317037365</v>
      </c>
      <c r="BQ147" s="23">
        <f>EXP(-LN(2)/25)*BQ146+(1-EXP(-LN(2)/25))/(LN(2)/25)*Calculateur!BL147*Calculateur!BN147*VLOOKUP('Données projet'!$B$11,Paramètres!$A$1:$I$89,3,0)*0.475*44/12</f>
        <v>2.9333500350196586</v>
      </c>
      <c r="BR147" s="23">
        <f>EXP(-LN(2)/2)*BR146+(1-EXP(-LN(2)/2))/(LN(2)/2)*BL147*BO147*VLOOKUP('Données projet'!$B$11,Paramètres!$A$1:$I$89,3,0)*0.475*44/12</f>
        <v>1.3245850686247875E-11</v>
      </c>
      <c r="BS147" s="24">
        <f t="shared" si="117"/>
        <v>25.352263352070267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>
        <f>BY147*VLOOKUP('Données projet'!$B$12,Paramètres!$A$1:$I$89,3,0)*VLOOKUP('Données projet'!$B$12,Paramètres!$A$1:$I$89,5,0)</f>
        <v>0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275.76900776033335</v>
      </c>
      <c r="CE147" s="62">
        <f t="shared" si="148"/>
        <v>299.36898480605191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21.48479192882748</v>
      </c>
      <c r="CL147" s="23">
        <f>EXP(-LN(2)/25)*CL146+(1-EXP(-LN(2)/25))/(LN(2)/25)*Calculateur!CG147*Calculateur!CI147*VLOOKUP('Données projet'!$B$12,Paramètres!$A$1:$I$89,3,0)*0.475*44/12</f>
        <v>2.8111271168938425</v>
      </c>
      <c r="CM147" s="23">
        <f>EXP(-LN(2)/2)*CM146+(1-EXP(-LN(2)/2))/(LN(2)/2)*CG147*CJ147*VLOOKUP('Données projet'!$B$12,Paramètres!$A$1:$I$89,3,0)*0.475*44/12</f>
        <v>1.2693940240987536E-11</v>
      </c>
      <c r="CN147" s="24">
        <f t="shared" si="120"/>
        <v>24.295919045734017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-5.6843418860808015E-14</v>
      </c>
      <c r="CU147" s="18">
        <f>CT147*VLOOKUP('Données projet'!$B$13,Paramètres!$A$1:$I$89,3,0)*VLOOKUP('Données projet'!$B$13,Paramètres!$A$1:$I$89,5,0)</f>
        <v>-6.2073013396002344E-14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482.24068797679558</v>
      </c>
      <c r="CZ147" s="62">
        <f t="shared" si="150"/>
        <v>316.28941055521693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166.51410598078752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166.51410598078752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-1.7053025658242404E-13</v>
      </c>
      <c r="DP147" s="18">
        <f>DO147*VLOOKUP('Données projet'!$B$14,Paramètres!$A$1:$I$89,3,0)*VLOOKUP('Données projet'!$B$14,Paramètres!$A$1:$I$89,5,0)</f>
        <v>-1.383341441396624E-13</v>
      </c>
      <c r="DQ147" s="14" t="e">
        <f t="shared" si="151"/>
        <v>#NUM!</v>
      </c>
      <c r="DR147" s="22" t="e">
        <f t="shared" si="124"/>
        <v>#NUM!</v>
      </c>
      <c r="DS147" s="62" t="e">
        <f t="shared" si="125"/>
        <v>#NUM!</v>
      </c>
      <c r="DT147" s="62">
        <f ca="1">AVERAGE(OFFSET($DS$3,0,0,'Données projet'!$E$14+1,1))-AVERAGE(OFFSET($H$3,0,0,'Données projet'!$E$14+1,1))</f>
        <v>325.58538970226539</v>
      </c>
      <c r="DU147" s="62">
        <f t="shared" si="152"/>
        <v>361.81085660423457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26.837351566077771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26.837351566077771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-2.8421709430404007E-13</v>
      </c>
      <c r="EK147" s="18">
        <f>EJ147*VLOOKUP('Données projet'!$B$15,Paramètres!$A$1:$I$89,3,0)*VLOOKUP('Données projet'!$B$15,Paramètres!$A$1:$I$89,5,0)</f>
        <v>-2.7489477361086758E-13</v>
      </c>
      <c r="EL147" s="14" t="e">
        <f t="shared" si="153"/>
        <v>#NUM!</v>
      </c>
      <c r="EM147" s="22" t="e">
        <f t="shared" si="127"/>
        <v>#NUM!</v>
      </c>
      <c r="EN147" s="62" t="e">
        <f t="shared" si="128"/>
        <v>#NUM!</v>
      </c>
      <c r="EO147" s="62">
        <f ca="1">AVERAGE(OFFSET($EN$3,0,0,'Données projet'!$E$15+1,1))-AVERAGE(OFFSET($H$3,0,0,'Données projet'!$E$15+1,1))</f>
        <v>364.22267539944085</v>
      </c>
      <c r="EP147" s="62">
        <f t="shared" si="154"/>
        <v>241.947139538615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117.98713795210094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117.98713795210094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-1.7053025658242404E-13</v>
      </c>
      <c r="FF147" s="18">
        <f>FE147*VLOOKUP('Données projet'!$B$16,Paramètres!$A$1:$I$89,3,0)*VLOOKUP('Données projet'!$B$16,Paramètres!$A$1:$I$89,5,0)</f>
        <v>-1.4897523215040567E-13</v>
      </c>
      <c r="FG147" s="14" t="e">
        <f t="shared" si="155"/>
        <v>#NUM!</v>
      </c>
      <c r="FH147" s="22" t="e">
        <f t="shared" si="130"/>
        <v>#NUM!</v>
      </c>
      <c r="FI147" s="62" t="e">
        <f t="shared" si="131"/>
        <v>#NUM!</v>
      </c>
      <c r="FJ147" s="62">
        <f ca="1">AVERAGE(OFFSET($FI$3,0,0,'Données projet'!$E$16+1,1))-AVERAGE(OFFSET($H$3,0,0,'Données projet'!$E$16+1,1))</f>
        <v>286.59837239471312</v>
      </c>
      <c r="FK147" s="62">
        <f t="shared" si="156"/>
        <v>319.26091328564689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23.293767360493554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23.293767360493554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-1.7053025658242404E-13</v>
      </c>
      <c r="GA147" s="18">
        <f>FZ147*VLOOKUP('Données projet'!$B$17,Paramètres!$A$1:$I$89,3,0)*VLOOKUP('Données projet'!$B$17,Paramètres!$A$1:$I$89,5,0)</f>
        <v>-1.1439169611549005E-13</v>
      </c>
      <c r="GB147" s="14" t="e">
        <f t="shared" si="157"/>
        <v>#NUM!</v>
      </c>
      <c r="GC147" s="22" t="e">
        <f t="shared" si="133"/>
        <v>#NUM!</v>
      </c>
      <c r="GD147" s="62" t="e">
        <f t="shared" si="134"/>
        <v>#NUM!</v>
      </c>
      <c r="GE147" s="62">
        <f ca="1">AVERAGE(OFFSET($GD$3,0,0,'Données projet'!$E$17+1,1))-AVERAGE(OFFSET($H$3,0,0,'Données projet'!$E$17+1,1))</f>
        <v>277.37570531842186</v>
      </c>
      <c r="GF147" s="62">
        <f t="shared" si="158"/>
        <v>310.00874200911312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projet'!$B$17,Paramètres!$A$1:$I$89,3,0)*0.475*44/12</f>
        <v>27.353454480810036</v>
      </c>
      <c r="GM147" s="23">
        <f>EXP(-LN(2)/25)*GM146+(1-EXP(-LN(2)/25))/(LN(2)/25)*Calculateur!GH147*Calculateur!GJ147*VLOOKUP('Données projet'!$B$17,Paramètres!$A$1:$I$89,3,0)*0.475*44/12</f>
        <v>0</v>
      </c>
      <c r="GN147" s="23">
        <f>EXP(-LN(2)/2)*GN146+(1-EXP(-LN(2)/2))/(LN(2)/2)*GH147*GK147*VLOOKUP('Données projet'!$B$17,Paramètres!$A$1:$I$89,3,0)*0.475*44/12</f>
        <v>0</v>
      </c>
      <c r="GO147" s="23">
        <f t="shared" si="135"/>
        <v>27.353454480810036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-5.6843418860808015E-14</v>
      </c>
      <c r="O148" s="14">
        <f>N148*VLOOKUP('Données projet'!$B$9,Paramètres!$A$1:$I$89,3,0)*VLOOKUP('Données projet'!$B$9,Paramètres!$A$1:$I$89,5,0)</f>
        <v>-4.9658410716801891E-14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401.34220206028908</v>
      </c>
      <c r="T148" s="62">
        <f t="shared" si="142"/>
        <v>265.33314259106987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130.59909274086434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130.59909274086434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1.7053025658242404E-13</v>
      </c>
      <c r="AJ148" s="14">
        <f>AI148*VLOOKUP('Données projet'!$B$10,Paramètres!$A$1:$I$89,3,0)*VLOOKUP('Données projet'!$B$10,Paramètres!$A$1:$I$89,5,0)</f>
        <v>7.9808160080574461E-14</v>
      </c>
      <c r="AK148" s="14">
        <f t="shared" si="143"/>
        <v>1.2308384591775343E-12</v>
      </c>
      <c r="AL148" s="22">
        <f t="shared" si="112"/>
        <v>2.282709528541206E-12</v>
      </c>
      <c r="AM148" s="62">
        <f t="shared" si="113"/>
        <v>286.08581719179585</v>
      </c>
      <c r="AN148" s="62">
        <f ca="1">AVERAGE(OFFSET($AM$3,0,0,'Données projet'!$E$10+1,1))-AVERAGE(OFFSET($H$3,0,0,'Données projet'!$E$10+1,1))</f>
        <v>253.48761861464732</v>
      </c>
      <c r="AO148" s="62">
        <f t="shared" si="144"/>
        <v>219.50855998133855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51.934874992917017</v>
      </c>
      <c r="AV148" s="23">
        <f>EXP(-LN(2)/25)*AV147+(1-EXP(-LN(2)/25))/(LN(2)/25)*Calculateur!AQ148*Calculateur!AS148*VLOOKUP('Données projet'!$B$10,Paramètres!$A$1:$I$89,3,0)*0.475*44/12</f>
        <v>8.328599079290619</v>
      </c>
      <c r="AW148" s="23">
        <f>EXP(-LN(2)/2)*AW147+(1-EXP(-LN(2)/2))/(LN(2)/2)*AQ148*AT148*VLOOKUP('Données projet'!$B$10,Paramètres!$A$1:$I$89,3,0)*0.475*44/12</f>
        <v>4.0192236126610966E-6</v>
      </c>
      <c r="AX148" s="23">
        <f t="shared" si="114"/>
        <v>60.263478091431246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482.85256243111911</v>
      </c>
      <c r="BJ148" s="62">
        <f t="shared" si="146"/>
        <v>517.78430032567064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21.979292101077171</v>
      </c>
      <c r="BQ148" s="23">
        <f>EXP(-LN(2)/25)*BQ147+(1-EXP(-LN(2)/25))/(LN(2)/25)*Calculateur!BL148*Calculateur!BN148*VLOOKUP('Données projet'!$B$11,Paramètres!$A$1:$I$89,3,0)*0.475*44/12</f>
        <v>2.8531374240538718</v>
      </c>
      <c r="BR148" s="23">
        <f>EXP(-LN(2)/2)*BR147+(1-EXP(-LN(2)/2))/(LN(2)/2)*BL148*BO148*VLOOKUP('Données projet'!$B$11,Paramètres!$A$1:$I$89,3,0)*0.475*44/12</f>
        <v>9.3662308428303566E-12</v>
      </c>
      <c r="BS148" s="24">
        <f t="shared" si="117"/>
        <v>24.832429525140409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>
        <f>BY148*VLOOKUP('Données projet'!$B$12,Paramètres!$A$1:$I$89,3,0)*VLOOKUP('Données projet'!$B$12,Paramètres!$A$1:$I$89,5,0)</f>
        <v>0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275.76900776033335</v>
      </c>
      <c r="CE148" s="62">
        <f t="shared" si="148"/>
        <v>299.36898480605191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21.063488263532296</v>
      </c>
      <c r="CL148" s="23">
        <f>EXP(-LN(2)/25)*CL147+(1-EXP(-LN(2)/25))/(LN(2)/25)*Calculateur!CG148*Calculateur!CI148*VLOOKUP('Données projet'!$B$12,Paramètres!$A$1:$I$89,3,0)*0.475*44/12</f>
        <v>2.7342566980516301</v>
      </c>
      <c r="CM148" s="23">
        <f>EXP(-LN(2)/2)*CM147+(1-EXP(-LN(2)/2))/(LN(2)/2)*CG148*CJ148*VLOOKUP('Données projet'!$B$12,Paramètres!$A$1:$I$89,3,0)*0.475*44/12</f>
        <v>8.9759712243790839E-12</v>
      </c>
      <c r="CN148" s="24">
        <f t="shared" si="120"/>
        <v>23.797744961592905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-5.6843418860808015E-14</v>
      </c>
      <c r="CU148" s="18">
        <f>CT148*VLOOKUP('Données projet'!$B$13,Paramètres!$A$1:$I$89,3,0)*VLOOKUP('Données projet'!$B$13,Paramètres!$A$1:$I$89,5,0)</f>
        <v>-6.2073013396002344E-14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482.24068797679558</v>
      </c>
      <c r="CZ148" s="62">
        <f t="shared" si="150"/>
        <v>316.28941055521693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163.24886592608036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163.24886592608036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-1.7053025658242404E-13</v>
      </c>
      <c r="DP148" s="18">
        <f>DO148*VLOOKUP('Données projet'!$B$14,Paramètres!$A$1:$I$89,3,0)*VLOOKUP('Données projet'!$B$14,Paramètres!$A$1:$I$89,5,0)</f>
        <v>-1.383341441396624E-13</v>
      </c>
      <c r="DQ148" s="14" t="e">
        <f t="shared" si="151"/>
        <v>#NUM!</v>
      </c>
      <c r="DR148" s="22" t="e">
        <f t="shared" si="124"/>
        <v>#NUM!</v>
      </c>
      <c r="DS148" s="62" t="e">
        <f t="shared" si="125"/>
        <v>#NUM!</v>
      </c>
      <c r="DT148" s="62">
        <f ca="1">AVERAGE(OFFSET($DS$3,0,0,'Données projet'!$E$14+1,1))-AVERAGE(OFFSET($H$3,0,0,'Données projet'!$E$14+1,1))</f>
        <v>325.58538970226539</v>
      </c>
      <c r="DU148" s="62">
        <f t="shared" si="152"/>
        <v>361.81085660423457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26.311087471035119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26.311087471035119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-2.8421709430404007E-13</v>
      </c>
      <c r="EK148" s="18">
        <f>EJ148*VLOOKUP('Données projet'!$B$15,Paramètres!$A$1:$I$89,3,0)*VLOOKUP('Données projet'!$B$15,Paramètres!$A$1:$I$89,5,0)</f>
        <v>-2.7489477361086758E-13</v>
      </c>
      <c r="EL148" s="14" t="e">
        <f t="shared" si="153"/>
        <v>#NUM!</v>
      </c>
      <c r="EM148" s="22" t="e">
        <f t="shared" si="127"/>
        <v>#NUM!</v>
      </c>
      <c r="EN148" s="62" t="e">
        <f t="shared" si="128"/>
        <v>#NUM!</v>
      </c>
      <c r="EO148" s="62">
        <f ca="1">AVERAGE(OFFSET($EN$3,0,0,'Données projet'!$E$15+1,1))-AVERAGE(OFFSET($H$3,0,0,'Données projet'!$E$15+1,1))</f>
        <v>364.22267539944085</v>
      </c>
      <c r="EP148" s="62">
        <f t="shared" si="154"/>
        <v>241.947139538615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115.67348214190844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115.67348214190844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-1.7053025658242404E-13</v>
      </c>
      <c r="FF148" s="18">
        <f>FE148*VLOOKUP('Données projet'!$B$16,Paramètres!$A$1:$I$89,3,0)*VLOOKUP('Données projet'!$B$16,Paramètres!$A$1:$I$89,5,0)</f>
        <v>-1.4897523215040567E-13</v>
      </c>
      <c r="FG148" s="14" t="e">
        <f t="shared" si="155"/>
        <v>#NUM!</v>
      </c>
      <c r="FH148" s="22" t="e">
        <f t="shared" si="130"/>
        <v>#NUM!</v>
      </c>
      <c r="FI148" s="62" t="e">
        <f t="shared" si="131"/>
        <v>#NUM!</v>
      </c>
      <c r="FJ148" s="62">
        <f ca="1">AVERAGE(OFFSET($FI$3,0,0,'Données projet'!$E$16+1,1))-AVERAGE(OFFSET($H$3,0,0,'Données projet'!$E$16+1,1))</f>
        <v>286.59837239471312</v>
      </c>
      <c r="FK148" s="62">
        <f t="shared" si="156"/>
        <v>319.26091328564689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22.836990790349461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22.836990790349461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-1.7053025658242404E-13</v>
      </c>
      <c r="GA148" s="18">
        <f>FZ148*VLOOKUP('Données projet'!$B$17,Paramètres!$A$1:$I$89,3,0)*VLOOKUP('Données projet'!$B$17,Paramètres!$A$1:$I$89,5,0)</f>
        <v>-1.1439169611549005E-13</v>
      </c>
      <c r="GB148" s="14" t="e">
        <f t="shared" si="157"/>
        <v>#NUM!</v>
      </c>
      <c r="GC148" s="22" t="e">
        <f t="shared" si="133"/>
        <v>#NUM!</v>
      </c>
      <c r="GD148" s="62" t="e">
        <f t="shared" si="134"/>
        <v>#NUM!</v>
      </c>
      <c r="GE148" s="62">
        <f ca="1">AVERAGE(OFFSET($GD$3,0,0,'Données projet'!$E$17+1,1))-AVERAGE(OFFSET($H$3,0,0,'Données projet'!$E$17+1,1))</f>
        <v>277.37570531842186</v>
      </c>
      <c r="GF148" s="62">
        <f t="shared" si="158"/>
        <v>310.00874200911312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projet'!$B$17,Paramètres!$A$1:$I$89,3,0)*0.475*44/12</f>
        <v>26.817069922401181</v>
      </c>
      <c r="GM148" s="23">
        <f>EXP(-LN(2)/25)*GM147+(1-EXP(-LN(2)/25))/(LN(2)/25)*Calculateur!GH148*Calculateur!GJ148*VLOOKUP('Données projet'!$B$17,Paramètres!$A$1:$I$89,3,0)*0.475*44/12</f>
        <v>0</v>
      </c>
      <c r="GN148" s="23">
        <f>EXP(-LN(2)/2)*GN147+(1-EXP(-LN(2)/2))/(LN(2)/2)*GH148*GK148*VLOOKUP('Données projet'!$B$17,Paramètres!$A$1:$I$89,3,0)*0.475*44/12</f>
        <v>0</v>
      </c>
      <c r="GO148" s="23">
        <f t="shared" si="135"/>
        <v>26.817069922401181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-5.6843418860808015E-14</v>
      </c>
      <c r="O149" s="14">
        <f>N149*VLOOKUP('Données projet'!$B$9,Paramètres!$A$1:$I$89,3,0)*VLOOKUP('Données projet'!$B$9,Paramètres!$A$1:$I$89,5,0)</f>
        <v>-4.9658410716801891E-14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401.34220206028908</v>
      </c>
      <c r="T149" s="62">
        <f t="shared" si="142"/>
        <v>265.33314259106987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128.03812418979703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128.03812418979703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1.7053025658242404E-13</v>
      </c>
      <c r="AJ149" s="14">
        <f>AI149*VLOOKUP('Données projet'!$B$10,Paramètres!$A$1:$I$89,3,0)*VLOOKUP('Données projet'!$B$10,Paramètres!$A$1:$I$89,5,0)</f>
        <v>7.9808160080574461E-14</v>
      </c>
      <c r="AK149" s="14">
        <f t="shared" si="143"/>
        <v>1.2308384591775343E-12</v>
      </c>
      <c r="AL149" s="22">
        <f t="shared" si="112"/>
        <v>2.282709528541206E-12</v>
      </c>
      <c r="AM149" s="62">
        <f t="shared" si="113"/>
        <v>286.21154539383292</v>
      </c>
      <c r="AN149" s="62">
        <f ca="1">AVERAGE(OFFSET($AM$3,0,0,'Données projet'!$E$10+1,1))-AVERAGE(OFFSET($H$3,0,0,'Données projet'!$E$10+1,1))</f>
        <v>253.48761861464732</v>
      </c>
      <c r="AO149" s="62">
        <f t="shared" si="144"/>
        <v>219.50855998133855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50.916463771451802</v>
      </c>
      <c r="AV149" s="23">
        <f>EXP(-LN(2)/25)*AV148+(1-EXP(-LN(2)/25))/(LN(2)/25)*Calculateur!AQ149*Calculateur!AS149*VLOOKUP('Données projet'!$B$10,Paramètres!$A$1:$I$89,3,0)*0.475*44/12</f>
        <v>8.1008530994854269</v>
      </c>
      <c r="AW149" s="23">
        <f>EXP(-LN(2)/2)*AW148+(1-EXP(-LN(2)/2))/(LN(2)/2)*AQ149*AT149*VLOOKUP('Données projet'!$B$10,Paramètres!$A$1:$I$89,3,0)*0.475*44/12</f>
        <v>2.8420202716177551E-6</v>
      </c>
      <c r="AX149" s="23">
        <f t="shared" si="114"/>
        <v>59.017319712957502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482.85256243111911</v>
      </c>
      <c r="BJ149" s="62">
        <f t="shared" si="146"/>
        <v>517.78430032567064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21.548291589019492</v>
      </c>
      <c r="BQ149" s="23">
        <f>EXP(-LN(2)/25)*BQ148+(1-EXP(-LN(2)/25))/(LN(2)/25)*Calculateur!BL149*Calculateur!BN149*VLOOKUP('Données projet'!$B$11,Paramètres!$A$1:$I$89,3,0)*0.475*44/12</f>
        <v>2.7751182311531424</v>
      </c>
      <c r="BR149" s="23">
        <f>EXP(-LN(2)/2)*BR148+(1-EXP(-LN(2)/2))/(LN(2)/2)*BL149*BO149*VLOOKUP('Données projet'!$B$11,Paramètres!$A$1:$I$89,3,0)*0.475*44/12</f>
        <v>6.6229253431239376E-12</v>
      </c>
      <c r="BS149" s="24">
        <f t="shared" si="117"/>
        <v>24.323409820179258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>
        <f>BY149*VLOOKUP('Données projet'!$B$12,Paramètres!$A$1:$I$89,3,0)*VLOOKUP('Données projet'!$B$12,Paramètres!$A$1:$I$89,5,0)</f>
        <v>0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275.76900776033335</v>
      </c>
      <c r="CE149" s="62">
        <f t="shared" si="148"/>
        <v>299.36898480605191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20.650446106143686</v>
      </c>
      <c r="CL149" s="23">
        <f>EXP(-LN(2)/25)*CL148+(1-EXP(-LN(2)/25))/(LN(2)/25)*Calculateur!CG149*Calculateur!CI149*VLOOKUP('Données projet'!$B$12,Paramètres!$A$1:$I$89,3,0)*0.475*44/12</f>
        <v>2.6594883048550977</v>
      </c>
      <c r="CM149" s="23">
        <f>EXP(-LN(2)/2)*CM148+(1-EXP(-LN(2)/2))/(LN(2)/2)*CG149*CJ149*VLOOKUP('Données projet'!$B$12,Paramètres!$A$1:$I$89,3,0)*0.475*44/12</f>
        <v>6.3469701204937681E-12</v>
      </c>
      <c r="CN149" s="24">
        <f t="shared" si="120"/>
        <v>23.309934411005134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-5.6843418860808015E-14</v>
      </c>
      <c r="CU149" s="18">
        <f>CT149*VLOOKUP('Données projet'!$B$13,Paramètres!$A$1:$I$89,3,0)*VLOOKUP('Données projet'!$B$13,Paramètres!$A$1:$I$89,5,0)</f>
        <v>-6.2073013396002344E-14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482.24068797679558</v>
      </c>
      <c r="CZ149" s="62">
        <f t="shared" si="150"/>
        <v>316.28941055521693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160.04765523724623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160.04765523724623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-1.7053025658242404E-13</v>
      </c>
      <c r="DP149" s="18">
        <f>DO149*VLOOKUP('Données projet'!$B$14,Paramètres!$A$1:$I$89,3,0)*VLOOKUP('Données projet'!$B$14,Paramètres!$A$1:$I$89,5,0)</f>
        <v>-1.383341441396624E-13</v>
      </c>
      <c r="DQ149" s="14" t="e">
        <f t="shared" si="151"/>
        <v>#NUM!</v>
      </c>
      <c r="DR149" s="22" t="e">
        <f t="shared" si="124"/>
        <v>#NUM!</v>
      </c>
      <c r="DS149" s="62" t="e">
        <f t="shared" si="125"/>
        <v>#NUM!</v>
      </c>
      <c r="DT149" s="62">
        <f ca="1">AVERAGE(OFFSET($DS$3,0,0,'Données projet'!$E$14+1,1))-AVERAGE(OFFSET($H$3,0,0,'Données projet'!$E$14+1,1))</f>
        <v>325.58538970226539</v>
      </c>
      <c r="DU149" s="62">
        <f t="shared" si="152"/>
        <v>361.81085660423457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25.795143093906852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25.795143093906852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-2.8421709430404007E-13</v>
      </c>
      <c r="EK149" s="18">
        <f>EJ149*VLOOKUP('Données projet'!$B$15,Paramètres!$A$1:$I$89,3,0)*VLOOKUP('Données projet'!$B$15,Paramètres!$A$1:$I$89,5,0)</f>
        <v>-2.7489477361086758E-13</v>
      </c>
      <c r="EL149" s="14" t="e">
        <f t="shared" si="153"/>
        <v>#NUM!</v>
      </c>
      <c r="EM149" s="22" t="e">
        <f t="shared" si="127"/>
        <v>#NUM!</v>
      </c>
      <c r="EN149" s="62" t="e">
        <f t="shared" si="128"/>
        <v>#NUM!</v>
      </c>
      <c r="EO149" s="62">
        <f ca="1">AVERAGE(OFFSET($EN$3,0,0,'Données projet'!$E$15+1,1))-AVERAGE(OFFSET($H$3,0,0,'Données projet'!$E$15+1,1))</f>
        <v>364.22267539944085</v>
      </c>
      <c r="EP149" s="62">
        <f t="shared" si="154"/>
        <v>241.947139538615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113.4051957109631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113.4051957109631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-1.7053025658242404E-13</v>
      </c>
      <c r="FF149" s="18">
        <f>FE149*VLOOKUP('Données projet'!$B$16,Paramètres!$A$1:$I$89,3,0)*VLOOKUP('Données projet'!$B$16,Paramètres!$A$1:$I$89,5,0)</f>
        <v>-1.4897523215040567E-13</v>
      </c>
      <c r="FG149" s="14" t="e">
        <f t="shared" si="155"/>
        <v>#NUM!</v>
      </c>
      <c r="FH149" s="22" t="e">
        <f t="shared" si="130"/>
        <v>#NUM!</v>
      </c>
      <c r="FI149" s="62" t="e">
        <f t="shared" si="131"/>
        <v>#NUM!</v>
      </c>
      <c r="FJ149" s="62">
        <f ca="1">AVERAGE(OFFSET($FI$3,0,0,'Données projet'!$E$16+1,1))-AVERAGE(OFFSET($H$3,0,0,'Données projet'!$E$16+1,1))</f>
        <v>286.59837239471312</v>
      </c>
      <c r="FK149" s="62">
        <f t="shared" si="156"/>
        <v>319.26091328564689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22.389171330139696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22.389171330139696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-1.7053025658242404E-13</v>
      </c>
      <c r="GA149" s="18">
        <f>FZ149*VLOOKUP('Données projet'!$B$17,Paramètres!$A$1:$I$89,3,0)*VLOOKUP('Données projet'!$B$17,Paramètres!$A$1:$I$89,5,0)</f>
        <v>-1.1439169611549005E-13</v>
      </c>
      <c r="GB149" s="14" t="e">
        <f t="shared" si="157"/>
        <v>#NUM!</v>
      </c>
      <c r="GC149" s="22" t="e">
        <f t="shared" si="133"/>
        <v>#NUM!</v>
      </c>
      <c r="GD149" s="62" t="e">
        <f t="shared" si="134"/>
        <v>#NUM!</v>
      </c>
      <c r="GE149" s="62">
        <f ca="1">AVERAGE(OFFSET($GD$3,0,0,'Données projet'!$E$17+1,1))-AVERAGE(OFFSET($H$3,0,0,'Données projet'!$E$17+1,1))</f>
        <v>277.37570531842186</v>
      </c>
      <c r="GF149" s="62">
        <f t="shared" si="158"/>
        <v>310.00874200911312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projet'!$B$17,Paramètres!$A$1:$I$89,3,0)*0.475*44/12</f>
        <v>26.291203538020447</v>
      </c>
      <c r="GM149" s="23">
        <f>EXP(-LN(2)/25)*GM148+(1-EXP(-LN(2)/25))/(LN(2)/25)*Calculateur!GH149*Calculateur!GJ149*VLOOKUP('Données projet'!$B$17,Paramètres!$A$1:$I$89,3,0)*0.475*44/12</f>
        <v>0</v>
      </c>
      <c r="GN149" s="23">
        <f>EXP(-LN(2)/2)*GN148+(1-EXP(-LN(2)/2))/(LN(2)/2)*GH149*GK149*VLOOKUP('Données projet'!$B$17,Paramètres!$A$1:$I$89,3,0)*0.475*44/12</f>
        <v>0</v>
      </c>
      <c r="GO149" s="23">
        <f t="shared" si="135"/>
        <v>26.291203538020447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-5.6843418860808015E-14</v>
      </c>
      <c r="O150" s="14">
        <f>N150*VLOOKUP('Données projet'!$B$9,Paramètres!$A$1:$I$89,3,0)*VLOOKUP('Données projet'!$B$9,Paramètres!$A$1:$I$89,5,0)</f>
        <v>-4.9658410716801891E-14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401.34220206028908</v>
      </c>
      <c r="T150" s="62">
        <f t="shared" si="142"/>
        <v>265.33314259106987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125.52737466997958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125.52737466997958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1.7053025658242404E-13</v>
      </c>
      <c r="AJ150" s="14">
        <f>AI150*VLOOKUP('Données projet'!$B$10,Paramètres!$A$1:$I$89,3,0)*VLOOKUP('Données projet'!$B$10,Paramètres!$A$1:$I$89,5,0)</f>
        <v>7.9808160080574461E-14</v>
      </c>
      <c r="AK150" s="14">
        <f t="shared" si="143"/>
        <v>1.2308384591775343E-12</v>
      </c>
      <c r="AL150" s="22">
        <f t="shared" si="112"/>
        <v>2.282709528541206E-12</v>
      </c>
      <c r="AM150" s="62">
        <f t="shared" si="113"/>
        <v>286.33509249265069</v>
      </c>
      <c r="AN150" s="62">
        <f ca="1">AVERAGE(OFFSET($AM$3,0,0,'Données projet'!$E$10+1,1))-AVERAGE(OFFSET($H$3,0,0,'Données projet'!$E$10+1,1))</f>
        <v>253.48761861464732</v>
      </c>
      <c r="AO150" s="62">
        <f t="shared" si="144"/>
        <v>219.50855998133855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49.918022972870013</v>
      </c>
      <c r="AV150" s="23">
        <f>EXP(-LN(2)/25)*AV149+(1-EXP(-LN(2)/25))/(LN(2)/25)*Calculateur!AQ150*Calculateur!AS150*VLOOKUP('Données projet'!$B$10,Paramètres!$A$1:$I$89,3,0)*0.475*44/12</f>
        <v>7.8793348454746477</v>
      </c>
      <c r="AW150" s="23">
        <f>EXP(-LN(2)/2)*AW149+(1-EXP(-LN(2)/2))/(LN(2)/2)*AQ150*AT150*VLOOKUP('Données projet'!$B$10,Paramètres!$A$1:$I$89,3,0)*0.475*44/12</f>
        <v>2.0096118063305483E-6</v>
      </c>
      <c r="AX150" s="23">
        <f t="shared" si="114"/>
        <v>57.797359827956463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482.85256243111911</v>
      </c>
      <c r="BJ150" s="62">
        <f t="shared" si="146"/>
        <v>517.78430032567064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21.125742734118909</v>
      </c>
      <c r="BQ150" s="23">
        <f>EXP(-LN(2)/25)*BQ149+(1-EXP(-LN(2)/25))/(LN(2)/25)*Calculateur!BL150*Calculateur!BN150*VLOOKUP('Données projet'!$B$11,Paramètres!$A$1:$I$89,3,0)*0.475*44/12</f>
        <v>2.6992324771851344</v>
      </c>
      <c r="BR150" s="23">
        <f>EXP(-LN(2)/2)*BR149+(1-EXP(-LN(2)/2))/(LN(2)/2)*BL150*BO150*VLOOKUP('Données projet'!$B$11,Paramètres!$A$1:$I$89,3,0)*0.475*44/12</f>
        <v>4.6831154214151783E-12</v>
      </c>
      <c r="BS150" s="24">
        <f t="shared" si="117"/>
        <v>23.824975211308725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>
        <f>BY150*VLOOKUP('Données projet'!$B$12,Paramètres!$A$1:$I$89,3,0)*VLOOKUP('Données projet'!$B$12,Paramètres!$A$1:$I$89,5,0)</f>
        <v>0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275.76900776033335</v>
      </c>
      <c r="CE150" s="62">
        <f t="shared" si="148"/>
        <v>299.36898480605191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20.245503453530628</v>
      </c>
      <c r="CL150" s="23">
        <f>EXP(-LN(2)/25)*CL149+(1-EXP(-LN(2)/25))/(LN(2)/25)*Calculateur!CG150*Calculateur!CI150*VLOOKUP('Données projet'!$B$12,Paramètres!$A$1:$I$89,3,0)*0.475*44/12</f>
        <v>2.5867644573024235</v>
      </c>
      <c r="CM150" s="23">
        <f>EXP(-LN(2)/2)*CM149+(1-EXP(-LN(2)/2))/(LN(2)/2)*CG150*CJ150*VLOOKUP('Données projet'!$B$12,Paramètres!$A$1:$I$89,3,0)*0.475*44/12</f>
        <v>4.4879856121895419E-12</v>
      </c>
      <c r="CN150" s="24">
        <f t="shared" si="120"/>
        <v>22.832267910837537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-5.6843418860808015E-14</v>
      </c>
      <c r="CU150" s="18">
        <f>CT150*VLOOKUP('Données projet'!$B$13,Paramètres!$A$1:$I$89,3,0)*VLOOKUP('Données projet'!$B$13,Paramètres!$A$1:$I$89,5,0)</f>
        <v>-6.2073013396002344E-14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482.24068797679558</v>
      </c>
      <c r="CZ150" s="62">
        <f t="shared" si="150"/>
        <v>316.28941055521693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156.90921833747441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156.90921833747441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-1.7053025658242404E-13</v>
      </c>
      <c r="DP150" s="18">
        <f>DO150*VLOOKUP('Données projet'!$B$14,Paramètres!$A$1:$I$89,3,0)*VLOOKUP('Données projet'!$B$14,Paramètres!$A$1:$I$89,5,0)</f>
        <v>-1.383341441396624E-13</v>
      </c>
      <c r="DQ150" s="14" t="e">
        <f t="shared" si="151"/>
        <v>#NUM!</v>
      </c>
      <c r="DR150" s="22" t="e">
        <f t="shared" si="124"/>
        <v>#NUM!</v>
      </c>
      <c r="DS150" s="62" t="e">
        <f t="shared" si="125"/>
        <v>#NUM!</v>
      </c>
      <c r="DT150" s="62">
        <f ca="1">AVERAGE(OFFSET($DS$3,0,0,'Données projet'!$E$14+1,1))-AVERAGE(OFFSET($H$3,0,0,'Données projet'!$E$14+1,1))</f>
        <v>325.58538970226539</v>
      </c>
      <c r="DU150" s="62">
        <f t="shared" si="152"/>
        <v>361.81085660423457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25.289316071319075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25.289316071319075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-2.8421709430404007E-13</v>
      </c>
      <c r="EK150" s="18">
        <f>EJ150*VLOOKUP('Données projet'!$B$15,Paramètres!$A$1:$I$89,3,0)*VLOOKUP('Données projet'!$B$15,Paramètres!$A$1:$I$89,5,0)</f>
        <v>-2.7489477361086758E-13</v>
      </c>
      <c r="EL150" s="14" t="e">
        <f t="shared" si="153"/>
        <v>#NUM!</v>
      </c>
      <c r="EM150" s="22" t="e">
        <f t="shared" si="127"/>
        <v>#NUM!</v>
      </c>
      <c r="EN150" s="62" t="e">
        <f t="shared" si="128"/>
        <v>#NUM!</v>
      </c>
      <c r="EO150" s="62">
        <f ca="1">AVERAGE(OFFSET($EN$3,0,0,'Données projet'!$E$15+1,1))-AVERAGE(OFFSET($H$3,0,0,'Données projet'!$E$15+1,1))</f>
        <v>364.22267539944085</v>
      </c>
      <c r="EP150" s="62">
        <f t="shared" si="154"/>
        <v>241.947139538615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111.18138899341049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111.18138899341049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-1.7053025658242404E-13</v>
      </c>
      <c r="FF150" s="18">
        <f>FE150*VLOOKUP('Données projet'!$B$16,Paramètres!$A$1:$I$89,3,0)*VLOOKUP('Données projet'!$B$16,Paramètres!$A$1:$I$89,5,0)</f>
        <v>-1.4897523215040567E-13</v>
      </c>
      <c r="FG150" s="14" t="e">
        <f t="shared" si="155"/>
        <v>#NUM!</v>
      </c>
      <c r="FH150" s="22" t="e">
        <f t="shared" si="130"/>
        <v>#NUM!</v>
      </c>
      <c r="FI150" s="62" t="e">
        <f t="shared" si="131"/>
        <v>#NUM!</v>
      </c>
      <c r="FJ150" s="62">
        <f ca="1">AVERAGE(OFFSET($FI$3,0,0,'Données projet'!$E$16+1,1))-AVERAGE(OFFSET($H$3,0,0,'Données projet'!$E$16+1,1))</f>
        <v>286.59837239471312</v>
      </c>
      <c r="FK150" s="62">
        <f t="shared" si="156"/>
        <v>319.26091328564689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21.950133336401745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21.950133336401745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-1.7053025658242404E-13</v>
      </c>
      <c r="GA150" s="18">
        <f>FZ150*VLOOKUP('Données projet'!$B$17,Paramètres!$A$1:$I$89,3,0)*VLOOKUP('Données projet'!$B$17,Paramètres!$A$1:$I$89,5,0)</f>
        <v>-1.1439169611549005E-13</v>
      </c>
      <c r="GB150" s="14" t="e">
        <f t="shared" si="157"/>
        <v>#NUM!</v>
      </c>
      <c r="GC150" s="22" t="e">
        <f t="shared" si="133"/>
        <v>#NUM!</v>
      </c>
      <c r="GD150" s="62" t="e">
        <f t="shared" si="134"/>
        <v>#NUM!</v>
      </c>
      <c r="GE150" s="62">
        <f ca="1">AVERAGE(OFFSET($GD$3,0,0,'Données projet'!$E$17+1,1))-AVERAGE(OFFSET($H$3,0,0,'Données projet'!$E$17+1,1))</f>
        <v>277.37570531842186</v>
      </c>
      <c r="GF150" s="62">
        <f t="shared" si="158"/>
        <v>310.00874200911312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projet'!$B$17,Paramètres!$A$1:$I$89,3,0)*0.475*44/12</f>
        <v>25.775649072690594</v>
      </c>
      <c r="GM150" s="23">
        <f>EXP(-LN(2)/25)*GM149+(1-EXP(-LN(2)/25))/(LN(2)/25)*Calculateur!GH150*Calculateur!GJ150*VLOOKUP('Données projet'!$B$17,Paramètres!$A$1:$I$89,3,0)*0.475*44/12</f>
        <v>0</v>
      </c>
      <c r="GN150" s="23">
        <f>EXP(-LN(2)/2)*GN149+(1-EXP(-LN(2)/2))/(LN(2)/2)*GH150*GK150*VLOOKUP('Données projet'!$B$17,Paramètres!$A$1:$I$89,3,0)*0.475*44/12</f>
        <v>0</v>
      </c>
      <c r="GO150" s="23">
        <f t="shared" si="135"/>
        <v>25.775649072690594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-5.6843418860808015E-14</v>
      </c>
      <c r="O151" s="14">
        <f>N151*VLOOKUP('Données projet'!$B$9,Paramètres!$A$1:$I$89,3,0)*VLOOKUP('Données projet'!$B$9,Paramètres!$A$1:$I$89,5,0)</f>
        <v>-4.9658410716801891E-14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401.34220206028908</v>
      </c>
      <c r="T151" s="62">
        <f t="shared" si="142"/>
        <v>265.33314259106987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123.06585941683974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123.06585941683974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1.7053025658242404E-13</v>
      </c>
      <c r="AJ151" s="14">
        <f>AI151*VLOOKUP('Données projet'!$B$10,Paramètres!$A$1:$I$89,3,0)*VLOOKUP('Données projet'!$B$10,Paramètres!$A$1:$I$89,5,0)</f>
        <v>7.9808160080574461E-14</v>
      </c>
      <c r="AK151" s="14">
        <f t="shared" si="143"/>
        <v>1.2308384591775343E-12</v>
      </c>
      <c r="AL151" s="22">
        <f t="shared" si="112"/>
        <v>2.282709528541206E-12</v>
      </c>
      <c r="AM151" s="62">
        <f t="shared" si="113"/>
        <v>286.45649632551397</v>
      </c>
      <c r="AN151" s="62">
        <f ca="1">AVERAGE(OFFSET($AM$3,0,0,'Données projet'!$E$10+1,1))-AVERAGE(OFFSET($H$3,0,0,'Données projet'!$E$10+1,1))</f>
        <v>253.48761861464732</v>
      </c>
      <c r="AO151" s="62">
        <f t="shared" si="144"/>
        <v>219.50855998133855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48.939160989359657</v>
      </c>
      <c r="AV151" s="23">
        <f>EXP(-LN(2)/25)*AV150+(1-EXP(-LN(2)/25))/(LN(2)/25)*Calculateur!AQ151*Calculateur!AS151*VLOOKUP('Données projet'!$B$10,Paramètres!$A$1:$I$89,3,0)*0.475*44/12</f>
        <v>7.6638740197689321</v>
      </c>
      <c r="AW151" s="23">
        <f>EXP(-LN(2)/2)*AW150+(1-EXP(-LN(2)/2))/(LN(2)/2)*AQ151*AT151*VLOOKUP('Données projet'!$B$10,Paramètres!$A$1:$I$89,3,0)*0.475*44/12</f>
        <v>1.4210101358088776E-6</v>
      </c>
      <c r="AX151" s="23">
        <f t="shared" si="114"/>
        <v>56.603036430138722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482.85256243111911</v>
      </c>
      <c r="BJ151" s="62">
        <f t="shared" si="146"/>
        <v>517.78430032567064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20.711479804533575</v>
      </c>
      <c r="BQ151" s="23">
        <f>EXP(-LN(2)/25)*BQ150+(1-EXP(-LN(2)/25))/(LN(2)/25)*Calculateur!BL151*Calculateur!BN151*VLOOKUP('Données projet'!$B$11,Paramètres!$A$1:$I$89,3,0)*0.475*44/12</f>
        <v>2.6254218231500399</v>
      </c>
      <c r="BR151" s="23">
        <f>EXP(-LN(2)/2)*BR150+(1-EXP(-LN(2)/2))/(LN(2)/2)*BL151*BO151*VLOOKUP('Données projet'!$B$11,Paramètres!$A$1:$I$89,3,0)*0.475*44/12</f>
        <v>3.3114626715619688E-12</v>
      </c>
      <c r="BS151" s="24">
        <f t="shared" si="117"/>
        <v>23.336901627686927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>
        <f>BY151*VLOOKUP('Données projet'!$B$12,Paramètres!$A$1:$I$89,3,0)*VLOOKUP('Données projet'!$B$12,Paramètres!$A$1:$I$89,5,0)</f>
        <v>0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275.76900776033335</v>
      </c>
      <c r="CE151" s="62">
        <f t="shared" si="148"/>
        <v>299.36898480605191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19.84850147934468</v>
      </c>
      <c r="CL151" s="23">
        <f>EXP(-LN(2)/25)*CL150+(1-EXP(-LN(2)/25))/(LN(2)/25)*Calculateur!CG151*Calculateur!CI151*VLOOKUP('Données projet'!$B$12,Paramètres!$A$1:$I$89,3,0)*0.475*44/12</f>
        <v>2.516029247185458</v>
      </c>
      <c r="CM151" s="23">
        <f>EXP(-LN(2)/2)*CM150+(1-EXP(-LN(2)/2))/(LN(2)/2)*CG151*CJ151*VLOOKUP('Données projet'!$B$12,Paramètres!$A$1:$I$89,3,0)*0.475*44/12</f>
        <v>3.173485060246884E-12</v>
      </c>
      <c r="CN151" s="24">
        <f t="shared" si="120"/>
        <v>22.36453072653331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-5.6843418860808015E-14</v>
      </c>
      <c r="CU151" s="18">
        <f>CT151*VLOOKUP('Données projet'!$B$13,Paramètres!$A$1:$I$89,3,0)*VLOOKUP('Données projet'!$B$13,Paramètres!$A$1:$I$89,5,0)</f>
        <v>-6.2073013396002344E-14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482.24068797679558</v>
      </c>
      <c r="CZ151" s="62">
        <f t="shared" si="150"/>
        <v>316.28941055521693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153.83232427104963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153.83232427104963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-1.7053025658242404E-13</v>
      </c>
      <c r="DP151" s="18">
        <f>DO151*VLOOKUP('Données projet'!$B$14,Paramètres!$A$1:$I$89,3,0)*VLOOKUP('Données projet'!$B$14,Paramètres!$A$1:$I$89,5,0)</f>
        <v>-1.383341441396624E-13</v>
      </c>
      <c r="DQ151" s="14" t="e">
        <f t="shared" si="151"/>
        <v>#NUM!</v>
      </c>
      <c r="DR151" s="22" t="e">
        <f t="shared" si="124"/>
        <v>#NUM!</v>
      </c>
      <c r="DS151" s="62" t="e">
        <f t="shared" si="125"/>
        <v>#NUM!</v>
      </c>
      <c r="DT151" s="62">
        <f ca="1">AVERAGE(OFFSET($DS$3,0,0,'Données projet'!$E$14+1,1))-AVERAGE(OFFSET($H$3,0,0,'Données projet'!$E$14+1,1))</f>
        <v>325.58538970226539</v>
      </c>
      <c r="DU151" s="62">
        <f t="shared" si="152"/>
        <v>361.81085660423457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24.793408008120224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24.793408008120224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-2.8421709430404007E-13</v>
      </c>
      <c r="EK151" s="18">
        <f>EJ151*VLOOKUP('Données projet'!$B$15,Paramètres!$A$1:$I$89,3,0)*VLOOKUP('Données projet'!$B$15,Paramètres!$A$1:$I$89,5,0)</f>
        <v>-2.7489477361086758E-13</v>
      </c>
      <c r="EL151" s="14" t="e">
        <f t="shared" si="153"/>
        <v>#NUM!</v>
      </c>
      <c r="EM151" s="22" t="e">
        <f t="shared" si="127"/>
        <v>#NUM!</v>
      </c>
      <c r="EN151" s="62" t="e">
        <f t="shared" si="128"/>
        <v>#NUM!</v>
      </c>
      <c r="EO151" s="62">
        <f ca="1">AVERAGE(OFFSET($EN$3,0,0,'Données projet'!$E$15+1,1))-AVERAGE(OFFSET($H$3,0,0,'Données projet'!$E$15+1,1))</f>
        <v>364.22267539944085</v>
      </c>
      <c r="EP151" s="62">
        <f t="shared" si="154"/>
        <v>241.947139538615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109.00118976920093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109.00118976920093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-1.7053025658242404E-13</v>
      </c>
      <c r="FF151" s="18">
        <f>FE151*VLOOKUP('Données projet'!$B$16,Paramètres!$A$1:$I$89,3,0)*VLOOKUP('Données projet'!$B$16,Paramètres!$A$1:$I$89,5,0)</f>
        <v>-1.4897523215040567E-13</v>
      </c>
      <c r="FG151" s="14" t="e">
        <f t="shared" si="155"/>
        <v>#NUM!</v>
      </c>
      <c r="FH151" s="22" t="e">
        <f t="shared" si="130"/>
        <v>#NUM!</v>
      </c>
      <c r="FI151" s="62" t="e">
        <f t="shared" si="131"/>
        <v>#NUM!</v>
      </c>
      <c r="FJ151" s="62">
        <f ca="1">AVERAGE(OFFSET($FI$3,0,0,'Données projet'!$E$16+1,1))-AVERAGE(OFFSET($H$3,0,0,'Données projet'!$E$16+1,1))</f>
        <v>286.59837239471312</v>
      </c>
      <c r="FK151" s="62">
        <f t="shared" si="156"/>
        <v>319.26091328564689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21.519704609934262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21.519704609934262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-1.7053025658242404E-13</v>
      </c>
      <c r="GA151" s="18">
        <f>FZ151*VLOOKUP('Données projet'!$B$17,Paramètres!$A$1:$I$89,3,0)*VLOOKUP('Données projet'!$B$17,Paramètres!$A$1:$I$89,5,0)</f>
        <v>-1.1439169611549005E-13</v>
      </c>
      <c r="GB151" s="14" t="e">
        <f t="shared" si="157"/>
        <v>#NUM!</v>
      </c>
      <c r="GC151" s="22" t="e">
        <f t="shared" si="133"/>
        <v>#NUM!</v>
      </c>
      <c r="GD151" s="62" t="e">
        <f t="shared" si="134"/>
        <v>#NUM!</v>
      </c>
      <c r="GE151" s="62">
        <f ca="1">AVERAGE(OFFSET($GD$3,0,0,'Données projet'!$E$17+1,1))-AVERAGE(OFFSET($H$3,0,0,'Données projet'!$E$17+1,1))</f>
        <v>277.37570531842186</v>
      </c>
      <c r="GF151" s="62">
        <f t="shared" si="158"/>
        <v>310.00874200911312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projet'!$B$17,Paramètres!$A$1:$I$89,3,0)*0.475*44/12</f>
        <v>25.270204315968687</v>
      </c>
      <c r="GM151" s="23">
        <f>EXP(-LN(2)/25)*GM150+(1-EXP(-LN(2)/25))/(LN(2)/25)*Calculateur!GH151*Calculateur!GJ151*VLOOKUP('Données projet'!$B$17,Paramètres!$A$1:$I$89,3,0)*0.475*44/12</f>
        <v>0</v>
      </c>
      <c r="GN151" s="23">
        <f>EXP(-LN(2)/2)*GN150+(1-EXP(-LN(2)/2))/(LN(2)/2)*GH151*GK151*VLOOKUP('Données projet'!$B$17,Paramètres!$A$1:$I$89,3,0)*0.475*44/12</f>
        <v>0</v>
      </c>
      <c r="GO151" s="23">
        <f t="shared" si="135"/>
        <v>25.270204315968687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-5.6843418860808015E-14</v>
      </c>
      <c r="O152" s="14">
        <f>N152*VLOOKUP('Données projet'!$B$9,Paramètres!$A$1:$I$89,3,0)*VLOOKUP('Données projet'!$B$9,Paramètres!$A$1:$I$89,5,0)</f>
        <v>-4.9658410716801891E-14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401.34220206028908</v>
      </c>
      <c r="T152" s="62">
        <f t="shared" si="142"/>
        <v>265.33314259106987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120.65261297643792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120.65261297643792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1.7053025658242404E-13</v>
      </c>
      <c r="AJ152" s="14">
        <f>AI152*VLOOKUP('Données projet'!$B$10,Paramètres!$A$1:$I$89,3,0)*VLOOKUP('Données projet'!$B$10,Paramètres!$A$1:$I$89,5,0)</f>
        <v>7.9808160080574461E-14</v>
      </c>
      <c r="AK152" s="14">
        <f t="shared" si="143"/>
        <v>1.2308384591775343E-12</v>
      </c>
      <c r="AL152" s="22">
        <f t="shared" si="112"/>
        <v>2.282709528541206E-12</v>
      </c>
      <c r="AM152" s="62">
        <f t="shared" si="113"/>
        <v>286.57579407329536</v>
      </c>
      <c r="AN152" s="62">
        <f ca="1">AVERAGE(OFFSET($AM$3,0,0,'Données projet'!$E$10+1,1))-AVERAGE(OFFSET($H$3,0,0,'Données projet'!$E$10+1,1))</f>
        <v>253.48761861464732</v>
      </c>
      <c r="AO152" s="62">
        <f t="shared" si="144"/>
        <v>219.50855998133855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47.979493892299082</v>
      </c>
      <c r="AV152" s="23">
        <f>EXP(-LN(2)/25)*AV151+(1-EXP(-LN(2)/25))/(LN(2)/25)*Calculateur!AQ152*Calculateur!AS152*VLOOKUP('Données projet'!$B$10,Paramètres!$A$1:$I$89,3,0)*0.475*44/12</f>
        <v>7.454304981672732</v>
      </c>
      <c r="AW152" s="23">
        <f>EXP(-LN(2)/2)*AW151+(1-EXP(-LN(2)/2))/(LN(2)/2)*AQ152*AT152*VLOOKUP('Données projet'!$B$10,Paramètres!$A$1:$I$89,3,0)*0.475*44/12</f>
        <v>1.0048059031652742E-6</v>
      </c>
      <c r="AX152" s="23">
        <f t="shared" si="114"/>
        <v>55.43379987877772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482.85256243111911</v>
      </c>
      <c r="BJ152" s="62">
        <f t="shared" si="146"/>
        <v>517.78430032567064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20.305340318321971</v>
      </c>
      <c r="BQ152" s="23">
        <f>EXP(-LN(2)/25)*BQ151+(1-EXP(-LN(2)/25))/(LN(2)/25)*Calculateur!BL152*Calculateur!BN152*VLOOKUP('Données projet'!$B$11,Paramètres!$A$1:$I$89,3,0)*0.475*44/12</f>
        <v>2.5536295253310688</v>
      </c>
      <c r="BR152" s="23">
        <f>EXP(-LN(2)/2)*BR151+(1-EXP(-LN(2)/2))/(LN(2)/2)*BL152*BO152*VLOOKUP('Données projet'!$B$11,Paramètres!$A$1:$I$89,3,0)*0.475*44/12</f>
        <v>2.3415577107075891E-12</v>
      </c>
      <c r="BS152" s="24">
        <f t="shared" si="117"/>
        <v>22.85896984365538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>
        <f>BY152*VLOOKUP('Données projet'!$B$12,Paramètres!$A$1:$I$89,3,0)*VLOOKUP('Données projet'!$B$12,Paramètres!$A$1:$I$89,5,0)</f>
        <v>0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275.76900776033335</v>
      </c>
      <c r="CE152" s="62">
        <f t="shared" si="148"/>
        <v>299.36898480605191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19.459284471725226</v>
      </c>
      <c r="CL152" s="23">
        <f>EXP(-LN(2)/25)*CL151+(1-EXP(-LN(2)/25))/(LN(2)/25)*Calculateur!CG152*Calculateur!CI152*VLOOKUP('Données projet'!$B$12,Paramètres!$A$1:$I$89,3,0)*0.475*44/12</f>
        <v>2.4472282951089439</v>
      </c>
      <c r="CM152" s="23">
        <f>EXP(-LN(2)/2)*CM151+(1-EXP(-LN(2)/2))/(LN(2)/2)*CG152*CJ152*VLOOKUP('Données projet'!$B$12,Paramètres!$A$1:$I$89,3,0)*0.475*44/12</f>
        <v>2.243992806094771E-12</v>
      </c>
      <c r="CN152" s="24">
        <f t="shared" si="120"/>
        <v>21.906512766836414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-5.6843418860808015E-14</v>
      </c>
      <c r="CU152" s="18">
        <f>CT152*VLOOKUP('Données projet'!$B$13,Paramètres!$A$1:$I$89,3,0)*VLOOKUP('Données projet'!$B$13,Paramètres!$A$1:$I$89,5,0)</f>
        <v>-6.2073013396002344E-14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482.24068797679558</v>
      </c>
      <c r="CZ152" s="62">
        <f t="shared" si="150"/>
        <v>316.28941055521693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150.81576622054737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150.81576622054737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-1.7053025658242404E-13</v>
      </c>
      <c r="DP152" s="18">
        <f>DO152*VLOOKUP('Données projet'!$B$14,Paramètres!$A$1:$I$89,3,0)*VLOOKUP('Données projet'!$B$14,Paramètres!$A$1:$I$89,5,0)</f>
        <v>-1.383341441396624E-13</v>
      </c>
      <c r="DQ152" s="14" t="e">
        <f t="shared" si="151"/>
        <v>#NUM!</v>
      </c>
      <c r="DR152" s="22" t="e">
        <f t="shared" si="124"/>
        <v>#NUM!</v>
      </c>
      <c r="DS152" s="62" t="e">
        <f t="shared" si="125"/>
        <v>#NUM!</v>
      </c>
      <c r="DT152" s="62">
        <f ca="1">AVERAGE(OFFSET($DS$3,0,0,'Données projet'!$E$14+1,1))-AVERAGE(OFFSET($H$3,0,0,'Données projet'!$E$14+1,1))</f>
        <v>325.58538970226539</v>
      </c>
      <c r="DU152" s="62">
        <f t="shared" si="152"/>
        <v>361.81085660423457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24.30722439956665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24.30722439956665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-2.8421709430404007E-13</v>
      </c>
      <c r="EK152" s="18">
        <f>EJ152*VLOOKUP('Données projet'!$B$15,Paramètres!$A$1:$I$89,3,0)*VLOOKUP('Données projet'!$B$15,Paramètres!$A$1:$I$89,5,0)</f>
        <v>-2.7489477361086758E-13</v>
      </c>
      <c r="EL152" s="14" t="e">
        <f t="shared" si="153"/>
        <v>#NUM!</v>
      </c>
      <c r="EM152" s="22" t="e">
        <f t="shared" si="127"/>
        <v>#NUM!</v>
      </c>
      <c r="EN152" s="62" t="e">
        <f t="shared" si="128"/>
        <v>#NUM!</v>
      </c>
      <c r="EO152" s="62">
        <f ca="1">AVERAGE(OFFSET($EN$3,0,0,'Données projet'!$E$15+1,1))-AVERAGE(OFFSET($H$3,0,0,'Données projet'!$E$15+1,1))</f>
        <v>364.22267539944085</v>
      </c>
      <c r="EP152" s="62">
        <f t="shared" si="154"/>
        <v>241.947139538615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106.86374292198789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106.86374292198789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-1.7053025658242404E-13</v>
      </c>
      <c r="FF152" s="18">
        <f>FE152*VLOOKUP('Données projet'!$B$16,Paramètres!$A$1:$I$89,3,0)*VLOOKUP('Données projet'!$B$16,Paramètres!$A$1:$I$89,5,0)</f>
        <v>-1.4897523215040567E-13</v>
      </c>
      <c r="FG152" s="14" t="e">
        <f t="shared" si="155"/>
        <v>#NUM!</v>
      </c>
      <c r="FH152" s="22" t="e">
        <f t="shared" si="130"/>
        <v>#NUM!</v>
      </c>
      <c r="FI152" s="62" t="e">
        <f t="shared" si="131"/>
        <v>#NUM!</v>
      </c>
      <c r="FJ152" s="62">
        <f ca="1">AVERAGE(OFFSET($FI$3,0,0,'Données projet'!$E$16+1,1))-AVERAGE(OFFSET($H$3,0,0,'Données projet'!$E$16+1,1))</f>
        <v>286.59837239471312</v>
      </c>
      <c r="FK152" s="62">
        <f t="shared" si="156"/>
        <v>319.26091328564689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21.097716328257206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21.097716328257206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-1.7053025658242404E-13</v>
      </c>
      <c r="GA152" s="18">
        <f>FZ152*VLOOKUP('Données projet'!$B$17,Paramètres!$A$1:$I$89,3,0)*VLOOKUP('Données projet'!$B$17,Paramètres!$A$1:$I$89,5,0)</f>
        <v>-1.1439169611549005E-13</v>
      </c>
      <c r="GB152" s="14" t="e">
        <f t="shared" si="157"/>
        <v>#NUM!</v>
      </c>
      <c r="GC152" s="22" t="e">
        <f t="shared" si="133"/>
        <v>#NUM!</v>
      </c>
      <c r="GD152" s="62" t="e">
        <f t="shared" si="134"/>
        <v>#NUM!</v>
      </c>
      <c r="GE152" s="62">
        <f ca="1">AVERAGE(OFFSET($GD$3,0,0,'Données projet'!$E$17+1,1))-AVERAGE(OFFSET($H$3,0,0,'Données projet'!$E$17+1,1))</f>
        <v>277.37570531842186</v>
      </c>
      <c r="GF152" s="62">
        <f t="shared" si="158"/>
        <v>310.00874200911312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projet'!$B$17,Paramètres!$A$1:$I$89,3,0)*0.475*44/12</f>
        <v>24.774671022635236</v>
      </c>
      <c r="GM152" s="23">
        <f>EXP(-LN(2)/25)*GM151+(1-EXP(-LN(2)/25))/(LN(2)/25)*Calculateur!GH152*Calculateur!GJ152*VLOOKUP('Données projet'!$B$17,Paramètres!$A$1:$I$89,3,0)*0.475*44/12</f>
        <v>0</v>
      </c>
      <c r="GN152" s="23">
        <f>EXP(-LN(2)/2)*GN151+(1-EXP(-LN(2)/2))/(LN(2)/2)*GH152*GK152*VLOOKUP('Données projet'!$B$17,Paramètres!$A$1:$I$89,3,0)*0.475*44/12</f>
        <v>0</v>
      </c>
      <c r="GO152" s="23">
        <f t="shared" si="135"/>
        <v>24.774671022635236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-5.6843418860808015E-14</v>
      </c>
      <c r="O153" s="14">
        <f>N153*VLOOKUP('Données projet'!$B$9,Paramètres!$A$1:$I$89,3,0)*VLOOKUP('Données projet'!$B$9,Paramètres!$A$1:$I$89,5,0)</f>
        <v>-4.9658410716801891E-14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401.34220206028908</v>
      </c>
      <c r="T153" s="62">
        <f t="shared" si="142"/>
        <v>265.33314259106987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118.2866888267974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118.2866888267974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1.7053025658242404E-13</v>
      </c>
      <c r="AJ153" s="14">
        <f>AI153*VLOOKUP('Données projet'!$B$10,Paramètres!$A$1:$I$89,3,0)*VLOOKUP('Données projet'!$B$10,Paramètres!$A$1:$I$89,5,0)</f>
        <v>7.9808160080574461E-14</v>
      </c>
      <c r="AK153" s="14">
        <f t="shared" si="143"/>
        <v>1.2308384591775343E-12</v>
      </c>
      <c r="AL153" s="22">
        <f t="shared" si="112"/>
        <v>2.282709528541206E-12</v>
      </c>
      <c r="AM153" s="62">
        <f t="shared" si="113"/>
        <v>286.69302227186262</v>
      </c>
      <c r="AN153" s="62">
        <f ca="1">AVERAGE(OFFSET($AM$3,0,0,'Données projet'!$E$10+1,1))-AVERAGE(OFFSET($H$3,0,0,'Données projet'!$E$10+1,1))</f>
        <v>253.48761861464732</v>
      </c>
      <c r="AO153" s="62">
        <f t="shared" si="144"/>
        <v>219.50855998133855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47.038645281672736</v>
      </c>
      <c r="AV153" s="23">
        <f>EXP(-LN(2)/25)*AV152+(1-EXP(-LN(2)/25))/(LN(2)/25)*Calculateur!AQ153*Calculateur!AS153*VLOOKUP('Données projet'!$B$10,Paramètres!$A$1:$I$89,3,0)*0.475*44/12</f>
        <v>7.2504666199440289</v>
      </c>
      <c r="AW153" s="23">
        <f>EXP(-LN(2)/2)*AW152+(1-EXP(-LN(2)/2))/(LN(2)/2)*AQ153*AT153*VLOOKUP('Données projet'!$B$10,Paramètres!$A$1:$I$89,3,0)*0.475*44/12</f>
        <v>7.1050506790443878E-7</v>
      </c>
      <c r="AX153" s="23">
        <f t="shared" si="114"/>
        <v>54.289112612121833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482.85256243111911</v>
      </c>
      <c r="BJ153" s="62">
        <f t="shared" si="146"/>
        <v>517.78430032567064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19.907164979714352</v>
      </c>
      <c r="BQ153" s="23">
        <f>EXP(-LN(2)/25)*BQ152+(1-EXP(-LN(2)/25))/(LN(2)/25)*Calculateur!BL153*Calculateur!BN153*VLOOKUP('Données projet'!$B$11,Paramètres!$A$1:$I$89,3,0)*0.475*44/12</f>
        <v>2.4838003916713505</v>
      </c>
      <c r="BR153" s="23">
        <f>EXP(-LN(2)/2)*BR152+(1-EXP(-LN(2)/2))/(LN(2)/2)*BL153*BO153*VLOOKUP('Données projet'!$B$11,Paramètres!$A$1:$I$89,3,0)*0.475*44/12</f>
        <v>1.6557313357809844E-12</v>
      </c>
      <c r="BS153" s="24">
        <f t="shared" si="117"/>
        <v>22.39096537138736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>
        <f>BY153*VLOOKUP('Données projet'!$B$12,Paramètres!$A$1:$I$89,3,0)*VLOOKUP('Données projet'!$B$12,Paramètres!$A$1:$I$89,5,0)</f>
        <v>0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275.76900776033335</v>
      </c>
      <c r="CE153" s="62">
        <f t="shared" si="148"/>
        <v>299.36898480605191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19.077699772226257</v>
      </c>
      <c r="CL153" s="23">
        <f>EXP(-LN(2)/25)*CL152+(1-EXP(-LN(2)/25))/(LN(2)/25)*Calculateur!CG153*Calculateur!CI153*VLOOKUP('Données projet'!$B$12,Paramètres!$A$1:$I$89,3,0)*0.475*44/12</f>
        <v>2.380308708685047</v>
      </c>
      <c r="CM153" s="23">
        <f>EXP(-LN(2)/2)*CM152+(1-EXP(-LN(2)/2))/(LN(2)/2)*CG153*CJ153*VLOOKUP('Données projet'!$B$12,Paramètres!$A$1:$I$89,3,0)*0.475*44/12</f>
        <v>1.586742530123442E-12</v>
      </c>
      <c r="CN153" s="24">
        <f t="shared" si="120"/>
        <v>21.458008480912891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-5.6843418860808015E-14</v>
      </c>
      <c r="CU153" s="18">
        <f>CT153*VLOOKUP('Données projet'!$B$13,Paramètres!$A$1:$I$89,3,0)*VLOOKUP('Données projet'!$B$13,Paramètres!$A$1:$I$89,5,0)</f>
        <v>-6.2073013396002344E-14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482.24068797679558</v>
      </c>
      <c r="CZ153" s="62">
        <f t="shared" si="150"/>
        <v>316.28941055521693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147.85836103349672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147.85836103349672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-1.7053025658242404E-13</v>
      </c>
      <c r="DP153" s="18">
        <f>DO153*VLOOKUP('Données projet'!$B$14,Paramètres!$A$1:$I$89,3,0)*VLOOKUP('Données projet'!$B$14,Paramètres!$A$1:$I$89,5,0)</f>
        <v>-1.383341441396624E-13</v>
      </c>
      <c r="DQ153" s="14" t="e">
        <f t="shared" si="151"/>
        <v>#NUM!</v>
      </c>
      <c r="DR153" s="22" t="e">
        <f t="shared" si="124"/>
        <v>#NUM!</v>
      </c>
      <c r="DS153" s="62" t="e">
        <f t="shared" si="125"/>
        <v>#NUM!</v>
      </c>
      <c r="DT153" s="62">
        <f ca="1">AVERAGE(OFFSET($DS$3,0,0,'Données projet'!$E$14+1,1))-AVERAGE(OFFSET($H$3,0,0,'Données projet'!$E$14+1,1))</f>
        <v>325.58538970226539</v>
      </c>
      <c r="DU153" s="62">
        <f t="shared" si="152"/>
        <v>361.81085660423457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23.83057455503409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23.83057455503409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-2.8421709430404007E-13</v>
      </c>
      <c r="EK153" s="18">
        <f>EJ153*VLOOKUP('Données projet'!$B$15,Paramètres!$A$1:$I$89,3,0)*VLOOKUP('Données projet'!$B$15,Paramètres!$A$1:$I$89,5,0)</f>
        <v>-2.7489477361086758E-13</v>
      </c>
      <c r="EL153" s="14" t="e">
        <f t="shared" si="153"/>
        <v>#NUM!</v>
      </c>
      <c r="EM153" s="22" t="e">
        <f t="shared" si="127"/>
        <v>#NUM!</v>
      </c>
      <c r="EN153" s="62" t="e">
        <f t="shared" si="128"/>
        <v>#NUM!</v>
      </c>
      <c r="EO153" s="62">
        <f ca="1">AVERAGE(OFFSET($EN$3,0,0,'Données projet'!$E$15+1,1))-AVERAGE(OFFSET($H$3,0,0,'Données projet'!$E$15+1,1))</f>
        <v>364.22267539944085</v>
      </c>
      <c r="EP153" s="62">
        <f t="shared" si="154"/>
        <v>241.947139538615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104.76821010373486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104.76821010373486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-1.7053025658242404E-13</v>
      </c>
      <c r="FF153" s="18">
        <f>FE153*VLOOKUP('Données projet'!$B$16,Paramètres!$A$1:$I$89,3,0)*VLOOKUP('Données projet'!$B$16,Paramètres!$A$1:$I$89,5,0)</f>
        <v>-1.4897523215040567E-13</v>
      </c>
      <c r="FG153" s="14" t="e">
        <f t="shared" si="155"/>
        <v>#NUM!</v>
      </c>
      <c r="FH153" s="22" t="e">
        <f t="shared" si="130"/>
        <v>#NUM!</v>
      </c>
      <c r="FI153" s="62" t="e">
        <f t="shared" si="131"/>
        <v>#NUM!</v>
      </c>
      <c r="FJ153" s="62">
        <f ca="1">AVERAGE(OFFSET($FI$3,0,0,'Données projet'!$E$16+1,1))-AVERAGE(OFFSET($H$3,0,0,'Données projet'!$E$16+1,1))</f>
        <v>286.59837239471312</v>
      </c>
      <c r="FK153" s="62">
        <f t="shared" si="156"/>
        <v>319.26091328564689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20.6840029793964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20.6840029793964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-1.7053025658242404E-13</v>
      </c>
      <c r="GA153" s="18">
        <f>FZ153*VLOOKUP('Données projet'!$B$17,Paramètres!$A$1:$I$89,3,0)*VLOOKUP('Données projet'!$B$17,Paramètres!$A$1:$I$89,5,0)</f>
        <v>-1.1439169611549005E-13</v>
      </c>
      <c r="GB153" s="14" t="e">
        <f t="shared" si="157"/>
        <v>#NUM!</v>
      </c>
      <c r="GC153" s="22" t="e">
        <f t="shared" si="133"/>
        <v>#NUM!</v>
      </c>
      <c r="GD153" s="62" t="e">
        <f t="shared" si="134"/>
        <v>#NUM!</v>
      </c>
      <c r="GE153" s="62">
        <f ca="1">AVERAGE(OFFSET($GD$3,0,0,'Données projet'!$E$17+1,1))-AVERAGE(OFFSET($H$3,0,0,'Données projet'!$E$17+1,1))</f>
        <v>277.37570531842186</v>
      </c>
      <c r="GF153" s="62">
        <f t="shared" si="158"/>
        <v>310.00874200911312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projet'!$B$17,Paramètres!$A$1:$I$89,3,0)*0.475*44/12</f>
        <v>24.28885483493859</v>
      </c>
      <c r="GM153" s="23">
        <f>EXP(-LN(2)/25)*GM152+(1-EXP(-LN(2)/25))/(LN(2)/25)*Calculateur!GH153*Calculateur!GJ153*VLOOKUP('Données projet'!$B$17,Paramètres!$A$1:$I$89,3,0)*0.475*44/12</f>
        <v>0</v>
      </c>
      <c r="GN153" s="23">
        <f>EXP(-LN(2)/2)*GN152+(1-EXP(-LN(2)/2))/(LN(2)/2)*GH153*GK153*VLOOKUP('Données projet'!$B$17,Paramètres!$A$1:$I$89,3,0)*0.475*44/12</f>
        <v>0</v>
      </c>
      <c r="GO153" s="23">
        <f t="shared" si="135"/>
        <v>24.28885483493859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-5.6843418860808015E-14</v>
      </c>
      <c r="O154" s="14">
        <f>N154*VLOOKUP('Données projet'!$B$9,Paramètres!$A$1:$I$89,3,0)*VLOOKUP('Données projet'!$B$9,Paramètres!$A$1:$I$89,5,0)</f>
        <v>-4.9658410716801891E-14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401.34220206028908</v>
      </c>
      <c r="T154" s="62">
        <f t="shared" si="142"/>
        <v>265.33314259106987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115.9671590066601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115.9671590066601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1.7053025658242404E-13</v>
      </c>
      <c r="AJ154" s="14">
        <f>AI154*VLOOKUP('Données projet'!$B$10,Paramètres!$A$1:$I$89,3,0)*VLOOKUP('Données projet'!$B$10,Paramètres!$A$1:$I$89,5,0)</f>
        <v>7.9808160080574461E-14</v>
      </c>
      <c r="AK154" s="14">
        <f t="shared" ref="AK154:AK203" si="164">EXP(-1.0587+0.8836*LN(AJ154)+0.284)</f>
        <v>1.2308384591775343E-12</v>
      </c>
      <c r="AL154" s="22">
        <f t="shared" ref="AL154:AL203" si="165">(AJ154+AK154)*0.475*44/12</f>
        <v>2.282709528541206E-12</v>
      </c>
      <c r="AM154" s="62">
        <f t="shared" si="113"/>
        <v>286.80821682326763</v>
      </c>
      <c r="AN154" s="62">
        <f ca="1">AVERAGE(OFFSET($AM$3,0,0,'Données projet'!$E$10+1,1))-AVERAGE(OFFSET($H$3,0,0,'Données projet'!$E$10+1,1))</f>
        <v>253.48761861464732</v>
      </c>
      <c r="AO154" s="62">
        <f t="shared" si="144"/>
        <v>219.50855998133855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46.116246138439777</v>
      </c>
      <c r="AV154" s="23">
        <f>EXP(-LN(2)/25)*AV153+(1-EXP(-LN(2)/25))/(LN(2)/25)*Calculateur!AQ154*Calculateur!AS154*VLOOKUP('Données projet'!$B$10,Paramètres!$A$1:$I$89,3,0)*0.475*44/12</f>
        <v>7.0522022289361912</v>
      </c>
      <c r="AW154" s="23">
        <f>EXP(-LN(2)/2)*AW153+(1-EXP(-LN(2)/2))/(LN(2)/2)*AQ154*AT154*VLOOKUP('Données projet'!$B$10,Paramètres!$A$1:$I$89,3,0)*0.475*44/12</f>
        <v>5.0240295158263708E-7</v>
      </c>
      <c r="AX154" s="23">
        <f t="shared" ref="AX154:AX203" si="166">SUM(AU154:AW154)</f>
        <v>53.168448869778921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482.85256243111911</v>
      </c>
      <c r="BJ154" s="62">
        <f t="shared" si="146"/>
        <v>517.78430032567064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19.516797616633852</v>
      </c>
      <c r="BQ154" s="23">
        <f>EXP(-LN(2)/25)*BQ153+(1-EXP(-LN(2)/25))/(LN(2)/25)*Calculateur!BL154*Calculateur!BN154*VLOOKUP('Données projet'!$B$11,Paramètres!$A$1:$I$89,3,0)*0.475*44/12</f>
        <v>2.4158807393437116</v>
      </c>
      <c r="BR154" s="23">
        <f>EXP(-LN(2)/2)*BR153+(1-EXP(-LN(2)/2))/(LN(2)/2)*BL154*BO154*VLOOKUP('Données projet'!$B$11,Paramètres!$A$1:$I$89,3,0)*0.475*44/12</f>
        <v>1.1707788553537946E-12</v>
      </c>
      <c r="BS154" s="24">
        <f t="shared" ref="BS154:BS203" si="169">SUM(BP154:BR154)</f>
        <v>21.932678355978737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>
        <f>BY154*VLOOKUP('Données projet'!$B$12,Paramètres!$A$1:$I$89,3,0)*VLOOKUP('Données projet'!$B$12,Paramètres!$A$1:$I$89,5,0)</f>
        <v>0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275.76900776033335</v>
      </c>
      <c r="CE154" s="62">
        <f t="shared" si="148"/>
        <v>299.36898480605191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18.703597715940777</v>
      </c>
      <c r="CL154" s="23">
        <f>EXP(-LN(2)/25)*CL153+(1-EXP(-LN(2)/25))/(LN(2)/25)*Calculateur!CG154*Calculateur!CI154*VLOOKUP('Données projet'!$B$12,Paramètres!$A$1:$I$89,3,0)*0.475*44/12</f>
        <v>2.3152190418710594</v>
      </c>
      <c r="CM154" s="23">
        <f>EXP(-LN(2)/2)*CM153+(1-EXP(-LN(2)/2))/(LN(2)/2)*CG154*CJ154*VLOOKUP('Données projet'!$B$12,Paramètres!$A$1:$I$89,3,0)*0.475*44/12</f>
        <v>1.1219964030473855E-12</v>
      </c>
      <c r="CN154" s="24">
        <f t="shared" ref="CN154:CN203" si="172">SUM(CK154:CM154)</f>
        <v>21.01881675781296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-5.6843418860808015E-14</v>
      </c>
      <c r="CU154" s="18">
        <f>CT154*VLOOKUP('Données projet'!$B$13,Paramètres!$A$1:$I$89,3,0)*VLOOKUP('Données projet'!$B$13,Paramètres!$A$1:$I$89,5,0)</f>
        <v>-6.2073013396002344E-14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482.24068797679558</v>
      </c>
      <c r="CZ154" s="62">
        <f t="shared" si="150"/>
        <v>316.28941055521693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144.95894875832508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144.95894875832508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-1.7053025658242404E-13</v>
      </c>
      <c r="DP154" s="18">
        <f>DO154*VLOOKUP('Données projet'!$B$14,Paramètres!$A$1:$I$89,3,0)*VLOOKUP('Données projet'!$B$14,Paramètres!$A$1:$I$89,5,0)</f>
        <v>-1.383341441396624E-13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2" t="e">
        <f t="shared" si="125"/>
        <v>#NUM!</v>
      </c>
      <c r="DT154" s="62">
        <f ca="1">AVERAGE(OFFSET($DS$3,0,0,'Données projet'!$E$14+1,1))-AVERAGE(OFFSET($H$3,0,0,'Données projet'!$E$14+1,1))</f>
        <v>325.58538970226539</v>
      </c>
      <c r="DU154" s="62">
        <f t="shared" si="152"/>
        <v>361.81085660423457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23.363271523225116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23.363271523225116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-2.8421709430404007E-13</v>
      </c>
      <c r="EK154" s="18">
        <f>EJ154*VLOOKUP('Données projet'!$B$15,Paramètres!$A$1:$I$89,3,0)*VLOOKUP('Données projet'!$B$15,Paramètres!$A$1:$I$89,5,0)</f>
        <v>-2.7489477361086758E-13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2" t="e">
        <f t="shared" si="128"/>
        <v>#NUM!</v>
      </c>
      <c r="EO154" s="62">
        <f ca="1">AVERAGE(OFFSET($EN$3,0,0,'Données projet'!$E$15+1,1))-AVERAGE(OFFSET($H$3,0,0,'Données projet'!$E$15+1,1))</f>
        <v>364.22267539944085</v>
      </c>
      <c r="EP154" s="62">
        <f t="shared" si="154"/>
        <v>241.947139538615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102.71376940589896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102.71376940589896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-1.7053025658242404E-13</v>
      </c>
      <c r="FF154" s="18">
        <f>FE154*VLOOKUP('Données projet'!$B$16,Paramètres!$A$1:$I$89,3,0)*VLOOKUP('Données projet'!$B$16,Paramètres!$A$1:$I$89,5,0)</f>
        <v>-1.4897523215040567E-13</v>
      </c>
      <c r="FG154" s="14" t="e">
        <f t="shared" ref="FG154:FG203" si="182">EXP(-1.0587+0.8836*LN(FF154)+0.284)</f>
        <v>#NUM!</v>
      </c>
      <c r="FH154" s="22" t="e">
        <f t="shared" ref="FH154:FH203" si="183">(FF154+FG154)*0.475*44/12</f>
        <v>#NUM!</v>
      </c>
      <c r="FI154" s="62" t="e">
        <f t="shared" si="131"/>
        <v>#NUM!</v>
      </c>
      <c r="FJ154" s="62">
        <f ca="1">AVERAGE(OFFSET($FI$3,0,0,'Données projet'!$E$16+1,1))-AVERAGE(OFFSET($H$3,0,0,'Données projet'!$E$16+1,1))</f>
        <v>286.59837239471312</v>
      </c>
      <c r="FK154" s="62">
        <f t="shared" si="156"/>
        <v>319.26091328564689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20.278402296966529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20.278402296966529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-1.7053025658242404E-13</v>
      </c>
      <c r="GA154" s="18">
        <f>FZ154*VLOOKUP('Données projet'!$B$17,Paramètres!$A$1:$I$89,3,0)*VLOOKUP('Données projet'!$B$17,Paramètres!$A$1:$I$89,5,0)</f>
        <v>-1.1439169611549005E-13</v>
      </c>
      <c r="GB154" s="14" t="e">
        <f t="shared" ref="GB154:GB203" si="185">EXP(-1.0587+0.8836*LN(GA154)+0.284)</f>
        <v>#NUM!</v>
      </c>
      <c r="GC154" s="22" t="e">
        <f t="shared" ref="GC154:GC203" si="186">(GA154+GB154)*0.475*44/12</f>
        <v>#NUM!</v>
      </c>
      <c r="GD154" s="62" t="e">
        <f t="shared" si="134"/>
        <v>#NUM!</v>
      </c>
      <c r="GE154" s="62">
        <f ca="1">AVERAGE(OFFSET($GD$3,0,0,'Données projet'!$E$17+1,1))-AVERAGE(OFFSET($H$3,0,0,'Données projet'!$E$17+1,1))</f>
        <v>277.37570531842186</v>
      </c>
      <c r="GF154" s="62">
        <f t="shared" si="158"/>
        <v>310.00874200911312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projet'!$B$17,Paramètres!$A$1:$I$89,3,0)*0.475*44/12</f>
        <v>23.812565206364059</v>
      </c>
      <c r="GM154" s="23">
        <f>EXP(-LN(2)/25)*GM153+(1-EXP(-LN(2)/25))/(LN(2)/25)*Calculateur!GH154*Calculateur!GJ154*VLOOKUP('Données projet'!$B$17,Paramètres!$A$1:$I$89,3,0)*0.475*44/12</f>
        <v>0</v>
      </c>
      <c r="GN154" s="23">
        <f>EXP(-LN(2)/2)*GN153+(1-EXP(-LN(2)/2))/(LN(2)/2)*GH154*GK154*VLOOKUP('Données projet'!$B$17,Paramètres!$A$1:$I$89,3,0)*0.475*44/12</f>
        <v>0</v>
      </c>
      <c r="GO154" s="23">
        <f t="shared" ref="GO154:GO203" si="187">SUM(GL154:GN154)</f>
        <v>23.812565206364059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-5.6843418860808015E-14</v>
      </c>
      <c r="O155" s="14">
        <f>N155*VLOOKUP('Données projet'!$B$9,Paramètres!$A$1:$I$89,3,0)*VLOOKUP('Données projet'!$B$9,Paramètres!$A$1:$I$89,5,0)</f>
        <v>-4.9658410716801891E-14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401.34220206028908</v>
      </c>
      <c r="T155" s="62">
        <f t="shared" si="142"/>
        <v>265.33314259106987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113.69311375152219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113.69311375152219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1.7053025658242404E-13</v>
      </c>
      <c r="AJ155" s="14">
        <f>AI155*VLOOKUP('Données projet'!$B$10,Paramètres!$A$1:$I$89,3,0)*VLOOKUP('Données projet'!$B$10,Paramètres!$A$1:$I$89,5,0)</f>
        <v>7.9808160080574461E-14</v>
      </c>
      <c r="AK155" s="14">
        <f t="shared" si="164"/>
        <v>1.2308384591775343E-12</v>
      </c>
      <c r="AL155" s="22">
        <f t="shared" si="165"/>
        <v>2.282709528541206E-12</v>
      </c>
      <c r="AM155" s="62">
        <f t="shared" si="113"/>
        <v>286.92141300674217</v>
      </c>
      <c r="AN155" s="62">
        <f ca="1">AVERAGE(OFFSET($AM$3,0,0,'Données projet'!$E$10+1,1))-AVERAGE(OFFSET($H$3,0,0,'Données projet'!$E$10+1,1))</f>
        <v>253.48761861464732</v>
      </c>
      <c r="AO155" s="62">
        <f t="shared" si="144"/>
        <v>219.50855998133855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45.211934679797693</v>
      </c>
      <c r="AV155" s="23">
        <f>EXP(-LN(2)/25)*AV154+(1-EXP(-LN(2)/25))/(LN(2)/25)*Calculateur!AQ155*Calculateur!AS155*VLOOKUP('Données projet'!$B$10,Paramètres!$A$1:$I$89,3,0)*0.475*44/12</f>
        <v>6.8593593881267338</v>
      </c>
      <c r="AW155" s="23">
        <f>EXP(-LN(2)/2)*AW154+(1-EXP(-LN(2)/2))/(LN(2)/2)*AQ155*AT155*VLOOKUP('Données projet'!$B$10,Paramètres!$A$1:$I$89,3,0)*0.475*44/12</f>
        <v>3.5525253395221939E-7</v>
      </c>
      <c r="AX155" s="23">
        <f t="shared" si="166"/>
        <v>52.071294423176958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482.85256243111911</v>
      </c>
      <c r="BJ155" s="62">
        <f t="shared" si="146"/>
        <v>517.78430032567064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19.13408511944278</v>
      </c>
      <c r="BQ155" s="23">
        <f>EXP(-LN(2)/25)*BQ154+(1-EXP(-LN(2)/25))/(LN(2)/25)*Calculateur!BL155*Calculateur!BN155*VLOOKUP('Données projet'!$B$11,Paramètres!$A$1:$I$89,3,0)*0.475*44/12</f>
        <v>2.3498183534807113</v>
      </c>
      <c r="BR155" s="23">
        <f>EXP(-LN(2)/2)*BR154+(1-EXP(-LN(2)/2))/(LN(2)/2)*BL155*BO155*VLOOKUP('Données projet'!$B$11,Paramètres!$A$1:$I$89,3,0)*0.475*44/12</f>
        <v>8.2786566789049221E-13</v>
      </c>
      <c r="BS155" s="24">
        <f t="shared" si="169"/>
        <v>21.483903472924318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>
        <f>BY155*VLOOKUP('Données projet'!$B$12,Paramètres!$A$1:$I$89,3,0)*VLOOKUP('Données projet'!$B$12,Paramètres!$A$1:$I$89,5,0)</f>
        <v>0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275.76900776033335</v>
      </c>
      <c r="CE155" s="62">
        <f t="shared" si="148"/>
        <v>299.36898480605191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18.336831572799333</v>
      </c>
      <c r="CL155" s="23">
        <f>EXP(-LN(2)/25)*CL154+(1-EXP(-LN(2)/25))/(LN(2)/25)*Calculateur!CG155*Calculateur!CI155*VLOOKUP('Données projet'!$B$12,Paramètres!$A$1:$I$89,3,0)*0.475*44/12</f>
        <v>2.2519092554190174</v>
      </c>
      <c r="CM155" s="23">
        <f>EXP(-LN(2)/2)*CM154+(1-EXP(-LN(2)/2))/(LN(2)/2)*CG155*CJ155*VLOOKUP('Données projet'!$B$12,Paramètres!$A$1:$I$89,3,0)*0.475*44/12</f>
        <v>7.9337126506172101E-13</v>
      </c>
      <c r="CN155" s="24">
        <f t="shared" si="172"/>
        <v>20.588740828219144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-5.6843418860808015E-14</v>
      </c>
      <c r="CU155" s="18">
        <f>CT155*VLOOKUP('Données projet'!$B$13,Paramètres!$A$1:$I$89,3,0)*VLOOKUP('Données projet'!$B$13,Paramètres!$A$1:$I$89,5,0)</f>
        <v>-6.2073013396002344E-14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482.24068797679558</v>
      </c>
      <c r="CZ155" s="62">
        <f t="shared" si="150"/>
        <v>316.28941055521693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142.11639218940269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142.11639218940269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-1.7053025658242404E-13</v>
      </c>
      <c r="DP155" s="18">
        <f>DO155*VLOOKUP('Données projet'!$B$14,Paramètres!$A$1:$I$89,3,0)*VLOOKUP('Données projet'!$B$14,Paramètres!$A$1:$I$89,5,0)</f>
        <v>-1.383341441396624E-13</v>
      </c>
      <c r="DQ155" s="14" t="e">
        <f t="shared" si="176"/>
        <v>#NUM!</v>
      </c>
      <c r="DR155" s="22" t="e">
        <f t="shared" si="177"/>
        <v>#NUM!</v>
      </c>
      <c r="DS155" s="62" t="e">
        <f t="shared" si="125"/>
        <v>#NUM!</v>
      </c>
      <c r="DT155" s="62">
        <f ca="1">AVERAGE(OFFSET($DS$3,0,0,'Données projet'!$E$14+1,1))-AVERAGE(OFFSET($H$3,0,0,'Données projet'!$E$14+1,1))</f>
        <v>325.58538970226539</v>
      </c>
      <c r="DU155" s="62">
        <f t="shared" si="152"/>
        <v>361.81085660423457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22.905132018843211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22.905132018843211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-2.8421709430404007E-13</v>
      </c>
      <c r="EK155" s="18">
        <f>EJ155*VLOOKUP('Données projet'!$B$15,Paramètres!$A$1:$I$89,3,0)*VLOOKUP('Données projet'!$B$15,Paramètres!$A$1:$I$89,5,0)</f>
        <v>-2.7489477361086758E-13</v>
      </c>
      <c r="EL155" s="14" t="e">
        <f t="shared" si="179"/>
        <v>#NUM!</v>
      </c>
      <c r="EM155" s="22" t="e">
        <f t="shared" si="180"/>
        <v>#NUM!</v>
      </c>
      <c r="EN155" s="62" t="e">
        <f t="shared" si="128"/>
        <v>#NUM!</v>
      </c>
      <c r="EO155" s="62">
        <f ca="1">AVERAGE(OFFSET($EN$3,0,0,'Données projet'!$E$15+1,1))-AVERAGE(OFFSET($H$3,0,0,'Données projet'!$E$15+1,1))</f>
        <v>364.22267539944085</v>
      </c>
      <c r="EP155" s="62">
        <f t="shared" si="154"/>
        <v>241.947139538615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100.69961503706251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100.69961503706251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-1.7053025658242404E-13</v>
      </c>
      <c r="FF155" s="18">
        <f>FE155*VLOOKUP('Données projet'!$B$16,Paramètres!$A$1:$I$89,3,0)*VLOOKUP('Données projet'!$B$16,Paramètres!$A$1:$I$89,5,0)</f>
        <v>-1.4897523215040567E-13</v>
      </c>
      <c r="FG155" s="14" t="e">
        <f t="shared" si="182"/>
        <v>#NUM!</v>
      </c>
      <c r="FH155" s="22" t="e">
        <f t="shared" si="183"/>
        <v>#NUM!</v>
      </c>
      <c r="FI155" s="62" t="e">
        <f t="shared" si="131"/>
        <v>#NUM!</v>
      </c>
      <c r="FJ155" s="62">
        <f ca="1">AVERAGE(OFFSET($FI$3,0,0,'Données projet'!$E$16+1,1))-AVERAGE(OFFSET($H$3,0,0,'Données projet'!$E$16+1,1))</f>
        <v>286.59837239471312</v>
      </c>
      <c r="FK155" s="62">
        <f t="shared" si="156"/>
        <v>319.26091328564689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19.880755196527119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19.880755196527119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-1.7053025658242404E-13</v>
      </c>
      <c r="GA155" s="18">
        <f>FZ155*VLOOKUP('Données projet'!$B$17,Paramètres!$A$1:$I$89,3,0)*VLOOKUP('Données projet'!$B$17,Paramètres!$A$1:$I$89,5,0)</f>
        <v>-1.1439169611549005E-13</v>
      </c>
      <c r="GB155" s="14" t="e">
        <f t="shared" si="185"/>
        <v>#NUM!</v>
      </c>
      <c r="GC155" s="22" t="e">
        <f t="shared" si="186"/>
        <v>#NUM!</v>
      </c>
      <c r="GD155" s="62" t="e">
        <f t="shared" si="134"/>
        <v>#NUM!</v>
      </c>
      <c r="GE155" s="62">
        <f ca="1">AVERAGE(OFFSET($GD$3,0,0,'Données projet'!$E$17+1,1))-AVERAGE(OFFSET($H$3,0,0,'Données projet'!$E$17+1,1))</f>
        <v>277.37570531842186</v>
      </c>
      <c r="GF155" s="62">
        <f t="shared" si="158"/>
        <v>310.00874200911312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projet'!$B$17,Paramètres!$A$1:$I$89,3,0)*0.475*44/12</f>
        <v>23.345615326897889</v>
      </c>
      <c r="GM155" s="23">
        <f>EXP(-LN(2)/25)*GM154+(1-EXP(-LN(2)/25))/(LN(2)/25)*Calculateur!GH155*Calculateur!GJ155*VLOOKUP('Données projet'!$B$17,Paramètres!$A$1:$I$89,3,0)*0.475*44/12</f>
        <v>0</v>
      </c>
      <c r="GN155" s="23">
        <f>EXP(-LN(2)/2)*GN154+(1-EXP(-LN(2)/2))/(LN(2)/2)*GH155*GK155*VLOOKUP('Données projet'!$B$17,Paramètres!$A$1:$I$89,3,0)*0.475*44/12</f>
        <v>0</v>
      </c>
      <c r="GO155" s="23">
        <f t="shared" si="187"/>
        <v>23.345615326897889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-5.6843418860808015E-14</v>
      </c>
      <c r="O156" s="14">
        <f>N156*VLOOKUP('Données projet'!$B$9,Paramètres!$A$1:$I$89,3,0)*VLOOKUP('Données projet'!$B$9,Paramètres!$A$1:$I$89,5,0)</f>
        <v>-4.9658410716801891E-14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401.34220206028908</v>
      </c>
      <c r="T156" s="62">
        <f t="shared" si="142"/>
        <v>265.33314259106987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111.46366113680689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111.46366113680689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1.7053025658242404E-13</v>
      </c>
      <c r="AJ156" s="14">
        <f>AI156*VLOOKUP('Données projet'!$B$10,Paramètres!$A$1:$I$89,3,0)*VLOOKUP('Données projet'!$B$10,Paramètres!$A$1:$I$89,5,0)</f>
        <v>7.9808160080574461E-14</v>
      </c>
      <c r="AK156" s="14">
        <f t="shared" si="164"/>
        <v>1.2308384591775343E-12</v>
      </c>
      <c r="AL156" s="22">
        <f t="shared" si="165"/>
        <v>2.282709528541206E-12</v>
      </c>
      <c r="AM156" s="62">
        <f t="shared" si="113"/>
        <v>287.03264548950227</v>
      </c>
      <c r="AN156" s="62">
        <f ca="1">AVERAGE(OFFSET($AM$3,0,0,'Données projet'!$E$10+1,1))-AVERAGE(OFFSET($H$3,0,0,'Données projet'!$E$10+1,1))</f>
        <v>253.48761861464732</v>
      </c>
      <c r="AO156" s="62">
        <f t="shared" si="144"/>
        <v>219.50855998133855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44.325356217284053</v>
      </c>
      <c r="AV156" s="23">
        <f>EXP(-LN(2)/25)*AV155+(1-EXP(-LN(2)/25))/(LN(2)/25)*Calculateur!AQ156*Calculateur!AS156*VLOOKUP('Données projet'!$B$10,Paramètres!$A$1:$I$89,3,0)*0.475*44/12</f>
        <v>6.671789844940375</v>
      </c>
      <c r="AW156" s="23">
        <f>EXP(-LN(2)/2)*AW155+(1-EXP(-LN(2)/2))/(LN(2)/2)*AQ156*AT156*VLOOKUP('Données projet'!$B$10,Paramètres!$A$1:$I$89,3,0)*0.475*44/12</f>
        <v>2.5120147579131854E-7</v>
      </c>
      <c r="AX156" s="23">
        <f t="shared" si="166"/>
        <v>50.997146313425908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482.85256243111911</v>
      </c>
      <c r="BJ156" s="62">
        <f t="shared" si="146"/>
        <v>517.78430032567064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18.758877380890048</v>
      </c>
      <c r="BQ156" s="23">
        <f>EXP(-LN(2)/25)*BQ155+(1-EXP(-LN(2)/25))/(LN(2)/25)*Calculateur!BL156*Calculateur!BN156*VLOOKUP('Données projet'!$B$11,Paramètres!$A$1:$I$89,3,0)*0.475*44/12</f>
        <v>2.2855624470332048</v>
      </c>
      <c r="BR156" s="23">
        <f>EXP(-LN(2)/2)*BR155+(1-EXP(-LN(2)/2))/(LN(2)/2)*BL156*BO156*VLOOKUP('Données projet'!$B$11,Paramètres!$A$1:$I$89,3,0)*0.475*44/12</f>
        <v>5.8538942767689728E-13</v>
      </c>
      <c r="BS156" s="24">
        <f t="shared" si="169"/>
        <v>21.044439827923838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>
        <f>BY156*VLOOKUP('Données projet'!$B$12,Paramètres!$A$1:$I$89,3,0)*VLOOKUP('Données projet'!$B$12,Paramètres!$A$1:$I$89,5,0)</f>
        <v>0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275.76900776033335</v>
      </c>
      <c r="CE156" s="62">
        <f t="shared" si="148"/>
        <v>299.36898480605191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17.977257490019635</v>
      </c>
      <c r="CL156" s="23">
        <f>EXP(-LN(2)/25)*CL155+(1-EXP(-LN(2)/25))/(LN(2)/25)*Calculateur!CG156*Calculateur!CI156*VLOOKUP('Données projet'!$B$12,Paramètres!$A$1:$I$89,3,0)*0.475*44/12</f>
        <v>2.1903306784068235</v>
      </c>
      <c r="CM156" s="23">
        <f>EXP(-LN(2)/2)*CM155+(1-EXP(-LN(2)/2))/(LN(2)/2)*CG156*CJ156*VLOOKUP('Données projet'!$B$12,Paramètres!$A$1:$I$89,3,0)*0.475*44/12</f>
        <v>5.6099820152369274E-13</v>
      </c>
      <c r="CN156" s="24">
        <f t="shared" si="172"/>
        <v>20.16758816842702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-5.6843418860808015E-14</v>
      </c>
      <c r="CU156" s="18">
        <f>CT156*VLOOKUP('Données projet'!$B$13,Paramètres!$A$1:$I$89,3,0)*VLOOKUP('Données projet'!$B$13,Paramètres!$A$1:$I$89,5,0)</f>
        <v>-6.2073013396002344E-14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482.24068797679558</v>
      </c>
      <c r="CZ156" s="62">
        <f t="shared" si="150"/>
        <v>316.28941055521693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139.32957642100857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139.32957642100857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-1.7053025658242404E-13</v>
      </c>
      <c r="DP156" s="18">
        <f>DO156*VLOOKUP('Données projet'!$B$14,Paramètres!$A$1:$I$89,3,0)*VLOOKUP('Données projet'!$B$14,Paramètres!$A$1:$I$89,5,0)</f>
        <v>-1.383341441396624E-13</v>
      </c>
      <c r="DQ156" s="14" t="e">
        <f t="shared" si="176"/>
        <v>#NUM!</v>
      </c>
      <c r="DR156" s="22" t="e">
        <f t="shared" si="177"/>
        <v>#NUM!</v>
      </c>
      <c r="DS156" s="62" t="e">
        <f t="shared" si="125"/>
        <v>#NUM!</v>
      </c>
      <c r="DT156" s="62">
        <f ca="1">AVERAGE(OFFSET($DS$3,0,0,'Données projet'!$E$14+1,1))-AVERAGE(OFFSET($H$3,0,0,'Données projet'!$E$14+1,1))</f>
        <v>325.58538970226539</v>
      </c>
      <c r="DU156" s="62">
        <f t="shared" si="152"/>
        <v>361.81085660423457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22.455976350704731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22.455976350704731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-2.8421709430404007E-13</v>
      </c>
      <c r="EK156" s="18">
        <f>EJ156*VLOOKUP('Données projet'!$B$15,Paramètres!$A$1:$I$89,3,0)*VLOOKUP('Données projet'!$B$15,Paramètres!$A$1:$I$89,5,0)</f>
        <v>-2.7489477361086758E-13</v>
      </c>
      <c r="EL156" s="14" t="e">
        <f t="shared" si="179"/>
        <v>#NUM!</v>
      </c>
      <c r="EM156" s="22" t="e">
        <f t="shared" si="180"/>
        <v>#NUM!</v>
      </c>
      <c r="EN156" s="62" t="e">
        <f t="shared" si="128"/>
        <v>#NUM!</v>
      </c>
      <c r="EO156" s="62">
        <f ca="1">AVERAGE(OFFSET($EN$3,0,0,'Données projet'!$E$15+1,1))-AVERAGE(OFFSET($H$3,0,0,'Données projet'!$E$15+1,1))</f>
        <v>364.22267539944085</v>
      </c>
      <c r="EP156" s="62">
        <f t="shared" si="154"/>
        <v>241.947139538615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98.7249570068861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98.7249570068861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-1.7053025658242404E-13</v>
      </c>
      <c r="FF156" s="18">
        <f>FE156*VLOOKUP('Données projet'!$B$16,Paramètres!$A$1:$I$89,3,0)*VLOOKUP('Données projet'!$B$16,Paramètres!$A$1:$I$89,5,0)</f>
        <v>-1.4897523215040567E-13</v>
      </c>
      <c r="FG156" s="14" t="e">
        <f t="shared" si="182"/>
        <v>#NUM!</v>
      </c>
      <c r="FH156" s="22" t="e">
        <f t="shared" si="183"/>
        <v>#NUM!</v>
      </c>
      <c r="FI156" s="62" t="e">
        <f t="shared" si="131"/>
        <v>#NUM!</v>
      </c>
      <c r="FJ156" s="62">
        <f ca="1">AVERAGE(OFFSET($FI$3,0,0,'Données projet'!$E$16+1,1))-AVERAGE(OFFSET($H$3,0,0,'Données projet'!$E$16+1,1))</f>
        <v>286.59837239471312</v>
      </c>
      <c r="FK156" s="62">
        <f t="shared" si="156"/>
        <v>319.26091328564689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19.490905713186542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19.490905713186542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-1.7053025658242404E-13</v>
      </c>
      <c r="GA156" s="18">
        <f>FZ156*VLOOKUP('Données projet'!$B$17,Paramètres!$A$1:$I$89,3,0)*VLOOKUP('Données projet'!$B$17,Paramètres!$A$1:$I$89,5,0)</f>
        <v>-1.1439169611549005E-13</v>
      </c>
      <c r="GB156" s="14" t="e">
        <f t="shared" si="185"/>
        <v>#NUM!</v>
      </c>
      <c r="GC156" s="22" t="e">
        <f t="shared" si="186"/>
        <v>#NUM!</v>
      </c>
      <c r="GD156" s="62" t="e">
        <f t="shared" si="134"/>
        <v>#NUM!</v>
      </c>
      <c r="GE156" s="62">
        <f ca="1">AVERAGE(OFFSET($GD$3,0,0,'Données projet'!$E$17+1,1))-AVERAGE(OFFSET($H$3,0,0,'Données projet'!$E$17+1,1))</f>
        <v>277.37570531842186</v>
      </c>
      <c r="GF156" s="62">
        <f t="shared" si="158"/>
        <v>310.00874200911312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projet'!$B$17,Paramètres!$A$1:$I$89,3,0)*0.475*44/12</f>
        <v>22.887822049756746</v>
      </c>
      <c r="GM156" s="23">
        <f>EXP(-LN(2)/25)*GM155+(1-EXP(-LN(2)/25))/(LN(2)/25)*Calculateur!GH156*Calculateur!GJ156*VLOOKUP('Données projet'!$B$17,Paramètres!$A$1:$I$89,3,0)*0.475*44/12</f>
        <v>0</v>
      </c>
      <c r="GN156" s="23">
        <f>EXP(-LN(2)/2)*GN155+(1-EXP(-LN(2)/2))/(LN(2)/2)*GH156*GK156*VLOOKUP('Données projet'!$B$17,Paramètres!$A$1:$I$89,3,0)*0.475*44/12</f>
        <v>0</v>
      </c>
      <c r="GO156" s="23">
        <f t="shared" si="187"/>
        <v>22.887822049756746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-5.6843418860808015E-14</v>
      </c>
      <c r="O157" s="14">
        <f>N157*VLOOKUP('Données projet'!$B$9,Paramètres!$A$1:$I$89,3,0)*VLOOKUP('Données projet'!$B$9,Paramètres!$A$1:$I$89,5,0)</f>
        <v>-4.9658410716801891E-14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401.34220206028908</v>
      </c>
      <c r="T157" s="62">
        <f t="shared" si="142"/>
        <v>265.33314259106987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109.27792672803433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109.27792672803433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1.7053025658242404E-13</v>
      </c>
      <c r="AJ157" s="14">
        <f>AI157*VLOOKUP('Données projet'!$B$10,Paramètres!$A$1:$I$89,3,0)*VLOOKUP('Données projet'!$B$10,Paramètres!$A$1:$I$89,5,0)</f>
        <v>7.9808160080574461E-14</v>
      </c>
      <c r="AK157" s="14">
        <f t="shared" si="164"/>
        <v>1.2308384591775343E-12</v>
      </c>
      <c r="AL157" s="22">
        <f t="shared" si="165"/>
        <v>2.282709528541206E-12</v>
      </c>
      <c r="AM157" s="62">
        <f t="shared" si="113"/>
        <v>287.14194833736502</v>
      </c>
      <c r="AN157" s="62">
        <f ca="1">AVERAGE(OFFSET($AM$3,0,0,'Données projet'!$E$10+1,1))-AVERAGE(OFFSET($H$3,0,0,'Données projet'!$E$10+1,1))</f>
        <v>253.48761861464732</v>
      </c>
      <c r="AO157" s="62">
        <f t="shared" si="144"/>
        <v>219.50855998133855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43.456163017660842</v>
      </c>
      <c r="AV157" s="23">
        <f>EXP(-LN(2)/25)*AV156+(1-EXP(-LN(2)/25))/(LN(2)/25)*Calculateur!AQ157*Calculateur!AS157*VLOOKUP('Données projet'!$B$10,Paramètres!$A$1:$I$89,3,0)*0.475*44/12</f>
        <v>6.4893494007763008</v>
      </c>
      <c r="AW157" s="23">
        <f>EXP(-LN(2)/2)*AW156+(1-EXP(-LN(2)/2))/(LN(2)/2)*AQ157*AT157*VLOOKUP('Données projet'!$B$10,Paramètres!$A$1:$I$89,3,0)*0.475*44/12</f>
        <v>1.7762626697610969E-7</v>
      </c>
      <c r="AX157" s="23">
        <f t="shared" si="166"/>
        <v>49.945512596063409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482.85256243111911</v>
      </c>
      <c r="BJ157" s="62">
        <f t="shared" si="146"/>
        <v>517.78430032567064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18.391027237236216</v>
      </c>
      <c r="BQ157" s="23">
        <f>EXP(-LN(2)/25)*BQ156+(1-EXP(-LN(2)/25))/(LN(2)/25)*Calculateur!BL157*Calculateur!BN157*VLOOKUP('Données projet'!$B$11,Paramètres!$A$1:$I$89,3,0)*0.475*44/12</f>
        <v>2.2230636217265762</v>
      </c>
      <c r="BR157" s="23">
        <f>EXP(-LN(2)/2)*BR156+(1-EXP(-LN(2)/2))/(LN(2)/2)*BL157*BO157*VLOOKUP('Données projet'!$B$11,Paramètres!$A$1:$I$89,3,0)*0.475*44/12</f>
        <v>4.139328339452461E-13</v>
      </c>
      <c r="BS157" s="24">
        <f t="shared" si="169"/>
        <v>20.614090858963209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>
        <f>BY157*VLOOKUP('Données projet'!$B$12,Paramètres!$A$1:$I$89,3,0)*VLOOKUP('Données projet'!$B$12,Paramètres!$A$1:$I$89,5,0)</f>
        <v>0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275.76900776033335</v>
      </c>
      <c r="CE157" s="62">
        <f t="shared" si="148"/>
        <v>299.36898480605191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17.624734435684712</v>
      </c>
      <c r="CL157" s="23">
        <f>EXP(-LN(2)/25)*CL156+(1-EXP(-LN(2)/25))/(LN(2)/25)*Calculateur!CG157*Calculateur!CI157*VLOOKUP('Données projet'!$B$12,Paramètres!$A$1:$I$89,3,0)*0.475*44/12</f>
        <v>2.1304359708213045</v>
      </c>
      <c r="CM157" s="23">
        <f>EXP(-LN(2)/2)*CM156+(1-EXP(-LN(2)/2))/(LN(2)/2)*CG157*CJ157*VLOOKUP('Données projet'!$B$12,Paramètres!$A$1:$I$89,3,0)*0.475*44/12</f>
        <v>3.966856325308605E-13</v>
      </c>
      <c r="CN157" s="24">
        <f t="shared" si="172"/>
        <v>19.755170406506416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-5.6843418860808015E-14</v>
      </c>
      <c r="CU157" s="18">
        <f>CT157*VLOOKUP('Données projet'!$B$13,Paramètres!$A$1:$I$89,3,0)*VLOOKUP('Données projet'!$B$13,Paramètres!$A$1:$I$89,5,0)</f>
        <v>-6.2073013396002344E-14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482.24068797679558</v>
      </c>
      <c r="CZ157" s="62">
        <f t="shared" si="150"/>
        <v>316.28941055521693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136.59740841004287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136.59740841004287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-1.7053025658242404E-13</v>
      </c>
      <c r="DP157" s="18">
        <f>DO157*VLOOKUP('Données projet'!$B$14,Paramètres!$A$1:$I$89,3,0)*VLOOKUP('Données projet'!$B$14,Paramètres!$A$1:$I$89,5,0)</f>
        <v>-1.383341441396624E-13</v>
      </c>
      <c r="DQ157" s="14" t="e">
        <f t="shared" si="176"/>
        <v>#NUM!</v>
      </c>
      <c r="DR157" s="22" t="e">
        <f t="shared" si="177"/>
        <v>#NUM!</v>
      </c>
      <c r="DS157" s="62" t="e">
        <f t="shared" si="125"/>
        <v>#NUM!</v>
      </c>
      <c r="DT157" s="62">
        <f ca="1">AVERAGE(OFFSET($DS$3,0,0,'Données projet'!$E$14+1,1))-AVERAGE(OFFSET($H$3,0,0,'Données projet'!$E$14+1,1))</f>
        <v>325.58538970226539</v>
      </c>
      <c r="DU157" s="62">
        <f t="shared" si="152"/>
        <v>361.81085660423457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22.015628351260538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22.015628351260538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-2.8421709430404007E-13</v>
      </c>
      <c r="EK157" s="18">
        <f>EJ157*VLOOKUP('Données projet'!$B$15,Paramètres!$A$1:$I$89,3,0)*VLOOKUP('Données projet'!$B$15,Paramètres!$A$1:$I$89,5,0)</f>
        <v>-2.7489477361086758E-13</v>
      </c>
      <c r="EL157" s="14" t="e">
        <f t="shared" si="179"/>
        <v>#NUM!</v>
      </c>
      <c r="EM157" s="22" t="e">
        <f t="shared" si="180"/>
        <v>#NUM!</v>
      </c>
      <c r="EN157" s="62" t="e">
        <f t="shared" si="128"/>
        <v>#NUM!</v>
      </c>
      <c r="EO157" s="62">
        <f ca="1">AVERAGE(OFFSET($EN$3,0,0,'Données projet'!$E$15+1,1))-AVERAGE(OFFSET($H$3,0,0,'Données projet'!$E$15+1,1))</f>
        <v>364.22267539944085</v>
      </c>
      <c r="EP157" s="62">
        <f t="shared" si="154"/>
        <v>241.947139538615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96.789020816258969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96.789020816258969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-1.7053025658242404E-13</v>
      </c>
      <c r="FF157" s="18">
        <f>FE157*VLOOKUP('Données projet'!$B$16,Paramètres!$A$1:$I$89,3,0)*VLOOKUP('Données projet'!$B$16,Paramètres!$A$1:$I$89,5,0)</f>
        <v>-1.4897523215040567E-13</v>
      </c>
      <c r="FG157" s="14" t="e">
        <f t="shared" si="182"/>
        <v>#NUM!</v>
      </c>
      <c r="FH157" s="22" t="e">
        <f t="shared" si="183"/>
        <v>#NUM!</v>
      </c>
      <c r="FI157" s="62" t="e">
        <f t="shared" si="131"/>
        <v>#NUM!</v>
      </c>
      <c r="FJ157" s="62">
        <f ca="1">AVERAGE(OFFSET($FI$3,0,0,'Données projet'!$E$16+1,1))-AVERAGE(OFFSET($H$3,0,0,'Données projet'!$E$16+1,1))</f>
        <v>286.59837239471312</v>
      </c>
      <c r="FK157" s="62">
        <f t="shared" si="156"/>
        <v>319.26091328564689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19.108700940429568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19.108700940429568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-1.7053025658242404E-13</v>
      </c>
      <c r="GA157" s="18">
        <f>FZ157*VLOOKUP('Données projet'!$B$17,Paramètres!$A$1:$I$89,3,0)*VLOOKUP('Données projet'!$B$17,Paramètres!$A$1:$I$89,5,0)</f>
        <v>-1.1439169611549005E-13</v>
      </c>
      <c r="GB157" s="14" t="e">
        <f t="shared" si="185"/>
        <v>#NUM!</v>
      </c>
      <c r="GC157" s="22" t="e">
        <f t="shared" si="186"/>
        <v>#NUM!</v>
      </c>
      <c r="GD157" s="62" t="e">
        <f t="shared" si="134"/>
        <v>#NUM!</v>
      </c>
      <c r="GE157" s="62">
        <f ca="1">AVERAGE(OFFSET($GD$3,0,0,'Données projet'!$E$17+1,1))-AVERAGE(OFFSET($H$3,0,0,'Données projet'!$E$17+1,1))</f>
        <v>277.37570531842186</v>
      </c>
      <c r="GF157" s="62">
        <f t="shared" si="158"/>
        <v>310.00874200911312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projet'!$B$17,Paramètres!$A$1:$I$89,3,0)*0.475*44/12</f>
        <v>22.439005819554012</v>
      </c>
      <c r="GM157" s="23">
        <f>EXP(-LN(2)/25)*GM156+(1-EXP(-LN(2)/25))/(LN(2)/25)*Calculateur!GH157*Calculateur!GJ157*VLOOKUP('Données projet'!$B$17,Paramètres!$A$1:$I$89,3,0)*0.475*44/12</f>
        <v>0</v>
      </c>
      <c r="GN157" s="23">
        <f>EXP(-LN(2)/2)*GN156+(1-EXP(-LN(2)/2))/(LN(2)/2)*GH157*GK157*VLOOKUP('Données projet'!$B$17,Paramètres!$A$1:$I$89,3,0)*0.475*44/12</f>
        <v>0</v>
      </c>
      <c r="GO157" s="23">
        <f t="shared" si="187"/>
        <v>22.439005819554012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-5.6843418860808015E-14</v>
      </c>
      <c r="O158" s="14">
        <f>N158*VLOOKUP('Données projet'!$B$9,Paramètres!$A$1:$I$89,3,0)*VLOOKUP('Données projet'!$B$9,Paramètres!$A$1:$I$89,5,0)</f>
        <v>-4.9658410716801891E-14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401.34220206028908</v>
      </c>
      <c r="T158" s="62">
        <f t="shared" si="142"/>
        <v>265.33314259106987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107.13505323785145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107.13505323785145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1.7053025658242404E-13</v>
      </c>
      <c r="AJ158" s="14">
        <f>AI158*VLOOKUP('Données projet'!$B$10,Paramètres!$A$1:$I$89,3,0)*VLOOKUP('Données projet'!$B$10,Paramètres!$A$1:$I$89,5,0)</f>
        <v>7.9808160080574461E-14</v>
      </c>
      <c r="AK158" s="14">
        <f t="shared" si="164"/>
        <v>1.2308384591775343E-12</v>
      </c>
      <c r="AL158" s="22">
        <f t="shared" si="165"/>
        <v>2.282709528541206E-12</v>
      </c>
      <c r="AM158" s="62">
        <f t="shared" si="113"/>
        <v>287.24935502518196</v>
      </c>
      <c r="AN158" s="62">
        <f ca="1">AVERAGE(OFFSET($AM$3,0,0,'Données projet'!$E$10+1,1))-AVERAGE(OFFSET($H$3,0,0,'Données projet'!$E$10+1,1))</f>
        <v>253.48761861464732</v>
      </c>
      <c r="AO158" s="62">
        <f t="shared" si="144"/>
        <v>219.50855998133855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42.604014166526738</v>
      </c>
      <c r="AV158" s="23">
        <f>EXP(-LN(2)/25)*AV157+(1-EXP(-LN(2)/25))/(LN(2)/25)*Calculateur!AQ158*Calculateur!AS158*VLOOKUP('Données projet'!$B$10,Paramètres!$A$1:$I$89,3,0)*0.475*44/12</f>
        <v>6.3118978001520194</v>
      </c>
      <c r="AW158" s="23">
        <f>EXP(-LN(2)/2)*AW157+(1-EXP(-LN(2)/2))/(LN(2)/2)*AQ158*AT158*VLOOKUP('Données projet'!$B$10,Paramètres!$A$1:$I$89,3,0)*0.475*44/12</f>
        <v>1.2560073789565927E-7</v>
      </c>
      <c r="AX158" s="23">
        <f t="shared" si="166"/>
        <v>48.915912092279491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482.85256243111911</v>
      </c>
      <c r="BJ158" s="62">
        <f t="shared" si="146"/>
        <v>517.78430032567064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18.030390410533002</v>
      </c>
      <c r="BQ158" s="23">
        <f>EXP(-LN(2)/25)*BQ157+(1-EXP(-LN(2)/25))/(LN(2)/25)*Calculateur!BL158*Calculateur!BN158*VLOOKUP('Données projet'!$B$11,Paramètres!$A$1:$I$89,3,0)*0.475*44/12</f>
        <v>2.162273830084628</v>
      </c>
      <c r="BR158" s="23">
        <f>EXP(-LN(2)/2)*BR157+(1-EXP(-LN(2)/2))/(LN(2)/2)*BL158*BO158*VLOOKUP('Données projet'!$B$11,Paramètres!$A$1:$I$89,3,0)*0.475*44/12</f>
        <v>2.9269471383844864E-13</v>
      </c>
      <c r="BS158" s="24">
        <f t="shared" si="169"/>
        <v>20.192664240617923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>
        <f>BY158*VLOOKUP('Données projet'!$B$12,Paramètres!$A$1:$I$89,3,0)*VLOOKUP('Données projet'!$B$12,Paramètres!$A$1:$I$89,5,0)</f>
        <v>0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275.76900776033335</v>
      </c>
      <c r="CE158" s="62">
        <f t="shared" si="148"/>
        <v>299.36898480605191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17.279124143427463</v>
      </c>
      <c r="CL158" s="23">
        <f>EXP(-LN(2)/25)*CL157+(1-EXP(-LN(2)/25))/(LN(2)/25)*Calculateur!CG158*Calculateur!CI158*VLOOKUP('Données projet'!$B$12,Paramètres!$A$1:$I$89,3,0)*0.475*44/12</f>
        <v>2.0721790871644372</v>
      </c>
      <c r="CM158" s="23">
        <f>EXP(-LN(2)/2)*CM157+(1-EXP(-LN(2)/2))/(LN(2)/2)*CG158*CJ158*VLOOKUP('Données projet'!$B$12,Paramètres!$A$1:$I$89,3,0)*0.475*44/12</f>
        <v>2.8049910076184637E-13</v>
      </c>
      <c r="CN158" s="24">
        <f t="shared" si="172"/>
        <v>19.35130323059218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-5.6843418860808015E-14</v>
      </c>
      <c r="CU158" s="18">
        <f>CT158*VLOOKUP('Données projet'!$B$13,Paramètres!$A$1:$I$89,3,0)*VLOOKUP('Données projet'!$B$13,Paramètres!$A$1:$I$89,5,0)</f>
        <v>-6.2073013396002344E-14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482.24068797679558</v>
      </c>
      <c r="CZ158" s="62">
        <f t="shared" si="150"/>
        <v>316.28941055521693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133.91881654731426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133.91881654731426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-1.7053025658242404E-13</v>
      </c>
      <c r="DP158" s="18">
        <f>DO158*VLOOKUP('Données projet'!$B$14,Paramètres!$A$1:$I$89,3,0)*VLOOKUP('Données projet'!$B$14,Paramètres!$A$1:$I$89,5,0)</f>
        <v>-1.383341441396624E-13</v>
      </c>
      <c r="DQ158" s="14" t="e">
        <f t="shared" si="176"/>
        <v>#NUM!</v>
      </c>
      <c r="DR158" s="22" t="e">
        <f t="shared" si="177"/>
        <v>#NUM!</v>
      </c>
      <c r="DS158" s="62" t="e">
        <f t="shared" si="125"/>
        <v>#NUM!</v>
      </c>
      <c r="DT158" s="62">
        <f ca="1">AVERAGE(OFFSET($DS$3,0,0,'Données projet'!$E$14+1,1))-AVERAGE(OFFSET($H$3,0,0,'Données projet'!$E$14+1,1))</f>
        <v>325.58538970226539</v>
      </c>
      <c r="DU158" s="62">
        <f t="shared" si="152"/>
        <v>361.81085660423457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21.583915307499687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21.583915307499687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-2.8421709430404007E-13</v>
      </c>
      <c r="EK158" s="18">
        <f>EJ158*VLOOKUP('Données projet'!$B$15,Paramètres!$A$1:$I$89,3,0)*VLOOKUP('Données projet'!$B$15,Paramètres!$A$1:$I$89,5,0)</f>
        <v>-2.7489477361086758E-13</v>
      </c>
      <c r="EL158" s="14" t="e">
        <f t="shared" si="179"/>
        <v>#NUM!</v>
      </c>
      <c r="EM158" s="22" t="e">
        <f t="shared" si="180"/>
        <v>#NUM!</v>
      </c>
      <c r="EN158" s="62" t="e">
        <f t="shared" si="128"/>
        <v>#NUM!</v>
      </c>
      <c r="EO158" s="62">
        <f ca="1">AVERAGE(OFFSET($EN$3,0,0,'Données projet'!$E$15+1,1))-AVERAGE(OFFSET($H$3,0,0,'Données projet'!$E$15+1,1))</f>
        <v>364.22267539944085</v>
      </c>
      <c r="EP158" s="62">
        <f t="shared" si="154"/>
        <v>241.947139538615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94.891047153525562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94.891047153525562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-1.7053025658242404E-13</v>
      </c>
      <c r="FF158" s="18">
        <f>FE158*VLOOKUP('Données projet'!$B$16,Paramètres!$A$1:$I$89,3,0)*VLOOKUP('Données projet'!$B$16,Paramètres!$A$1:$I$89,5,0)</f>
        <v>-1.4897523215040567E-13</v>
      </c>
      <c r="FG158" s="14" t="e">
        <f t="shared" si="182"/>
        <v>#NUM!</v>
      </c>
      <c r="FH158" s="22" t="e">
        <f t="shared" si="183"/>
        <v>#NUM!</v>
      </c>
      <c r="FI158" s="62" t="e">
        <f t="shared" si="131"/>
        <v>#NUM!</v>
      </c>
      <c r="FJ158" s="62">
        <f ca="1">AVERAGE(OFFSET($FI$3,0,0,'Données projet'!$E$16+1,1))-AVERAGE(OFFSET($H$3,0,0,'Données projet'!$E$16+1,1))</f>
        <v>286.59837239471312</v>
      </c>
      <c r="FK158" s="62">
        <f t="shared" si="156"/>
        <v>319.26091328564689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18.733990970144468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18.733990970144468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-1.7053025658242404E-13</v>
      </c>
      <c r="GA158" s="18">
        <f>FZ158*VLOOKUP('Données projet'!$B$17,Paramètres!$A$1:$I$89,3,0)*VLOOKUP('Données projet'!$B$17,Paramètres!$A$1:$I$89,5,0)</f>
        <v>-1.1439169611549005E-13</v>
      </c>
      <c r="GB158" s="14" t="e">
        <f t="shared" si="185"/>
        <v>#NUM!</v>
      </c>
      <c r="GC158" s="22" t="e">
        <f t="shared" si="186"/>
        <v>#NUM!</v>
      </c>
      <c r="GD158" s="62" t="e">
        <f t="shared" si="134"/>
        <v>#NUM!</v>
      </c>
      <c r="GE158" s="62">
        <f ca="1">AVERAGE(OFFSET($GD$3,0,0,'Données projet'!$E$17+1,1))-AVERAGE(OFFSET($H$3,0,0,'Données projet'!$E$17+1,1))</f>
        <v>277.37570531842186</v>
      </c>
      <c r="GF158" s="62">
        <f t="shared" si="158"/>
        <v>310.00874200911312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projet'!$B$17,Paramètres!$A$1:$I$89,3,0)*0.475*44/12</f>
        <v>21.998990601874684</v>
      </c>
      <c r="GM158" s="23">
        <f>EXP(-LN(2)/25)*GM157+(1-EXP(-LN(2)/25))/(LN(2)/25)*Calculateur!GH158*Calculateur!GJ158*VLOOKUP('Données projet'!$B$17,Paramètres!$A$1:$I$89,3,0)*0.475*44/12</f>
        <v>0</v>
      </c>
      <c r="GN158" s="23">
        <f>EXP(-LN(2)/2)*GN157+(1-EXP(-LN(2)/2))/(LN(2)/2)*GH158*GK158*VLOOKUP('Données projet'!$B$17,Paramètres!$A$1:$I$89,3,0)*0.475*44/12</f>
        <v>0</v>
      </c>
      <c r="GO158" s="23">
        <f t="shared" si="187"/>
        <v>21.998990601874684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-5.6843418860808015E-14</v>
      </c>
      <c r="O159" s="14">
        <f>N159*VLOOKUP('Données projet'!$B$9,Paramètres!$A$1:$I$89,3,0)*VLOOKUP('Données projet'!$B$9,Paramètres!$A$1:$I$89,5,0)</f>
        <v>-4.9658410716801891E-14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401.34220206028908</v>
      </c>
      <c r="T159" s="62">
        <f t="shared" si="142"/>
        <v>265.33314259106987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105.03420018978728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105.03420018978728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1.7053025658242404E-13</v>
      </c>
      <c r="AJ159" s="14">
        <f>AI159*VLOOKUP('Données projet'!$B$10,Paramètres!$A$1:$I$89,3,0)*VLOOKUP('Données projet'!$B$10,Paramètres!$A$1:$I$89,5,0)</f>
        <v>7.9808160080574461E-14</v>
      </c>
      <c r="AK159" s="14">
        <f t="shared" si="164"/>
        <v>1.2308384591775343E-12</v>
      </c>
      <c r="AL159" s="22">
        <f t="shared" si="165"/>
        <v>2.282709528541206E-12</v>
      </c>
      <c r="AM159" s="62">
        <f t="shared" si="113"/>
        <v>287.35489844709059</v>
      </c>
      <c r="AN159" s="62">
        <f ca="1">AVERAGE(OFFSET($AM$3,0,0,'Données projet'!$E$10+1,1))-AVERAGE(OFFSET($H$3,0,0,'Données projet'!$E$10+1,1))</f>
        <v>253.48761861464732</v>
      </c>
      <c r="AO159" s="62">
        <f t="shared" si="144"/>
        <v>219.50855998133855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41.768575434603896</v>
      </c>
      <c r="AV159" s="23">
        <f>EXP(-LN(2)/25)*AV158+(1-EXP(-LN(2)/25))/(LN(2)/25)*Calculateur!AQ159*Calculateur!AS159*VLOOKUP('Données projet'!$B$10,Paramètres!$A$1:$I$89,3,0)*0.475*44/12</f>
        <v>6.1392986228785835</v>
      </c>
      <c r="AW159" s="23">
        <f>EXP(-LN(2)/2)*AW158+(1-EXP(-LN(2)/2))/(LN(2)/2)*AQ159*AT159*VLOOKUP('Données projet'!$B$10,Paramètres!$A$1:$I$89,3,0)*0.475*44/12</f>
        <v>8.8813133488054847E-8</v>
      </c>
      <c r="AX159" s="23">
        <f t="shared" si="166"/>
        <v>47.907874146295612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482.85256243111911</v>
      </c>
      <c r="BJ159" s="62">
        <f t="shared" si="146"/>
        <v>517.78430032567064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17.676825452034691</v>
      </c>
      <c r="BQ159" s="23">
        <f>EXP(-LN(2)/25)*BQ158+(1-EXP(-LN(2)/25))/(LN(2)/25)*Calculateur!BL159*Calculateur!BN159*VLOOKUP('Données projet'!$B$11,Paramètres!$A$1:$I$89,3,0)*0.475*44/12</f>
        <v>2.1031463384919249</v>
      </c>
      <c r="BR159" s="23">
        <f>EXP(-LN(2)/2)*BR158+(1-EXP(-LN(2)/2))/(LN(2)/2)*BL159*BO159*VLOOKUP('Données projet'!$B$11,Paramètres!$A$1:$I$89,3,0)*0.475*44/12</f>
        <v>2.0696641697262305E-13</v>
      </c>
      <c r="BS159" s="24">
        <f t="shared" si="169"/>
        <v>19.779971790526822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>
        <f>BY159*VLOOKUP('Données projet'!$B$12,Paramètres!$A$1:$I$89,3,0)*VLOOKUP('Données projet'!$B$12,Paramètres!$A$1:$I$89,5,0)</f>
        <v>0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275.76900776033335</v>
      </c>
      <c r="CE159" s="62">
        <f t="shared" si="148"/>
        <v>299.36898480605191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16.940291058199914</v>
      </c>
      <c r="CL159" s="23">
        <f>EXP(-LN(2)/25)*CL158+(1-EXP(-LN(2)/25))/(LN(2)/25)*Calculateur!CG159*Calculateur!CI159*VLOOKUP('Données projet'!$B$12,Paramètres!$A$1:$I$89,3,0)*0.475*44/12</f>
        <v>2.0155152410547634</v>
      </c>
      <c r="CM159" s="23">
        <f>EXP(-LN(2)/2)*CM158+(1-EXP(-LN(2)/2))/(LN(2)/2)*CG159*CJ159*VLOOKUP('Données projet'!$B$12,Paramètres!$A$1:$I$89,3,0)*0.475*44/12</f>
        <v>1.9834281626543025E-13</v>
      </c>
      <c r="CN159" s="24">
        <f t="shared" si="172"/>
        <v>18.955806299254878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-5.6843418860808015E-14</v>
      </c>
      <c r="CU159" s="18">
        <f>CT159*VLOOKUP('Données projet'!$B$13,Paramètres!$A$1:$I$89,3,0)*VLOOKUP('Données projet'!$B$13,Paramètres!$A$1:$I$89,5,0)</f>
        <v>-6.2073013396002344E-14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482.24068797679558</v>
      </c>
      <c r="CZ159" s="62">
        <f t="shared" si="150"/>
        <v>316.28941055521693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131.29275023723406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131.29275023723406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-1.7053025658242404E-13</v>
      </c>
      <c r="DP159" s="18">
        <f>DO159*VLOOKUP('Données projet'!$B$14,Paramètres!$A$1:$I$89,3,0)*VLOOKUP('Données projet'!$B$14,Paramètres!$A$1:$I$89,5,0)</f>
        <v>-1.383341441396624E-13</v>
      </c>
      <c r="DQ159" s="14" t="e">
        <f t="shared" si="176"/>
        <v>#NUM!</v>
      </c>
      <c r="DR159" s="22" t="e">
        <f t="shared" si="177"/>
        <v>#NUM!</v>
      </c>
      <c r="DS159" s="62" t="e">
        <f t="shared" si="125"/>
        <v>#NUM!</v>
      </c>
      <c r="DT159" s="62">
        <f ca="1">AVERAGE(OFFSET($DS$3,0,0,'Données projet'!$E$14+1,1))-AVERAGE(OFFSET($H$3,0,0,'Données projet'!$E$14+1,1))</f>
        <v>325.58538970226539</v>
      </c>
      <c r="DU159" s="62">
        <f t="shared" si="152"/>
        <v>361.81085660423457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21.160667893208032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21.160667893208032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-2.8421709430404007E-13</v>
      </c>
      <c r="EK159" s="18">
        <f>EJ159*VLOOKUP('Données projet'!$B$15,Paramètres!$A$1:$I$89,3,0)*VLOOKUP('Données projet'!$B$15,Paramètres!$A$1:$I$89,5,0)</f>
        <v>-2.7489477361086758E-13</v>
      </c>
      <c r="EL159" s="14" t="e">
        <f t="shared" si="179"/>
        <v>#NUM!</v>
      </c>
      <c r="EM159" s="22" t="e">
        <f t="shared" si="180"/>
        <v>#NUM!</v>
      </c>
      <c r="EN159" s="62" t="e">
        <f t="shared" si="128"/>
        <v>#NUM!</v>
      </c>
      <c r="EO159" s="62">
        <f ca="1">AVERAGE(OFFSET($EN$3,0,0,'Données projet'!$E$15+1,1))-AVERAGE(OFFSET($H$3,0,0,'Données projet'!$E$15+1,1))</f>
        <v>364.22267539944085</v>
      </c>
      <c r="EP159" s="62">
        <f t="shared" si="154"/>
        <v>241.947139538615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93.030291596668732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93.030291596668732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-1.7053025658242404E-13</v>
      </c>
      <c r="FF159" s="18">
        <f>FE159*VLOOKUP('Données projet'!$B$16,Paramètres!$A$1:$I$89,3,0)*VLOOKUP('Données projet'!$B$16,Paramètres!$A$1:$I$89,5,0)</f>
        <v>-1.4897523215040567E-13</v>
      </c>
      <c r="FG159" s="14" t="e">
        <f t="shared" si="182"/>
        <v>#NUM!</v>
      </c>
      <c r="FH159" s="22" t="e">
        <f t="shared" si="183"/>
        <v>#NUM!</v>
      </c>
      <c r="FI159" s="62" t="e">
        <f t="shared" si="131"/>
        <v>#NUM!</v>
      </c>
      <c r="FJ159" s="62">
        <f ca="1">AVERAGE(OFFSET($FI$3,0,0,'Données projet'!$E$16+1,1))-AVERAGE(OFFSET($H$3,0,0,'Données projet'!$E$16+1,1))</f>
        <v>286.59837239471312</v>
      </c>
      <c r="FK159" s="62">
        <f t="shared" si="156"/>
        <v>319.26091328564689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18.366628833826145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18.366628833826145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-1.7053025658242404E-13</v>
      </c>
      <c r="GA159" s="18">
        <f>FZ159*VLOOKUP('Données projet'!$B$17,Paramètres!$A$1:$I$89,3,0)*VLOOKUP('Données projet'!$B$17,Paramètres!$A$1:$I$89,5,0)</f>
        <v>-1.1439169611549005E-13</v>
      </c>
      <c r="GB159" s="14" t="e">
        <f t="shared" si="185"/>
        <v>#NUM!</v>
      </c>
      <c r="GC159" s="22" t="e">
        <f t="shared" si="186"/>
        <v>#NUM!</v>
      </c>
      <c r="GD159" s="62" t="e">
        <f t="shared" si="134"/>
        <v>#NUM!</v>
      </c>
      <c r="GE159" s="62">
        <f ca="1">AVERAGE(OFFSET($GD$3,0,0,'Données projet'!$E$17+1,1))-AVERAGE(OFFSET($H$3,0,0,'Données projet'!$E$17+1,1))</f>
        <v>277.37570531842186</v>
      </c>
      <c r="GF159" s="62">
        <f t="shared" si="158"/>
        <v>310.00874200911312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projet'!$B$17,Paramètres!$A$1:$I$89,3,0)*0.475*44/12</f>
        <v>21.567603814231266</v>
      </c>
      <c r="GM159" s="23">
        <f>EXP(-LN(2)/25)*GM158+(1-EXP(-LN(2)/25))/(LN(2)/25)*Calculateur!GH159*Calculateur!GJ159*VLOOKUP('Données projet'!$B$17,Paramètres!$A$1:$I$89,3,0)*0.475*44/12</f>
        <v>0</v>
      </c>
      <c r="GN159" s="23">
        <f>EXP(-LN(2)/2)*GN158+(1-EXP(-LN(2)/2))/(LN(2)/2)*GH159*GK159*VLOOKUP('Données projet'!$B$17,Paramètres!$A$1:$I$89,3,0)*0.475*44/12</f>
        <v>0</v>
      </c>
      <c r="GO159" s="23">
        <f t="shared" si="187"/>
        <v>21.567603814231266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-5.6843418860808015E-14</v>
      </c>
      <c r="O160" s="14">
        <f>N160*VLOOKUP('Données projet'!$B$9,Paramètres!$A$1:$I$89,3,0)*VLOOKUP('Données projet'!$B$9,Paramètres!$A$1:$I$89,5,0)</f>
        <v>-4.9658410716801891E-14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401.34220206028908</v>
      </c>
      <c r="T160" s="62">
        <f t="shared" si="142"/>
        <v>265.33314259106987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102.97454358860182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102.97454358860182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1.7053025658242404E-13</v>
      </c>
      <c r="AJ160" s="14">
        <f>AI160*VLOOKUP('Données projet'!$B$10,Paramètres!$A$1:$I$89,3,0)*VLOOKUP('Données projet'!$B$10,Paramètres!$A$1:$I$89,5,0)</f>
        <v>7.9808160080574461E-14</v>
      </c>
      <c r="AK160" s="14">
        <f t="shared" si="164"/>
        <v>1.2308384591775343E-12</v>
      </c>
      <c r="AL160" s="22">
        <f t="shared" si="165"/>
        <v>2.282709528541206E-12</v>
      </c>
      <c r="AM160" s="62">
        <f t="shared" si="113"/>
        <v>287.45861092658885</v>
      </c>
      <c r="AN160" s="62">
        <f ca="1">AVERAGE(OFFSET($AM$3,0,0,'Données projet'!$E$10+1,1))-AVERAGE(OFFSET($H$3,0,0,'Données projet'!$E$10+1,1))</f>
        <v>253.48761861464732</v>
      </c>
      <c r="AO160" s="62">
        <f t="shared" si="144"/>
        <v>219.50855998133855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40.94951914664675</v>
      </c>
      <c r="AV160" s="23">
        <f>EXP(-LN(2)/25)*AV159+(1-EXP(-LN(2)/25))/(LN(2)/25)*Calculateur!AQ160*Calculateur!AS160*VLOOKUP('Données projet'!$B$10,Paramètres!$A$1:$I$89,3,0)*0.475*44/12</f>
        <v>5.9714191791842852</v>
      </c>
      <c r="AW160" s="23">
        <f>EXP(-LN(2)/2)*AW159+(1-EXP(-LN(2)/2))/(LN(2)/2)*AQ160*AT160*VLOOKUP('Données projet'!$B$10,Paramètres!$A$1:$I$89,3,0)*0.475*44/12</f>
        <v>6.2800368947829634E-8</v>
      </c>
      <c r="AX160" s="23">
        <f t="shared" si="166"/>
        <v>46.920938388631406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482.85256243111911</v>
      </c>
      <c r="BJ160" s="62">
        <f t="shared" si="146"/>
        <v>517.78430032567064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17.330193686719202</v>
      </c>
      <c r="BQ160" s="23">
        <f>EXP(-LN(2)/25)*BQ159+(1-EXP(-LN(2)/25))/(LN(2)/25)*Calculateur!BL160*Calculateur!BN160*VLOOKUP('Données projet'!$B$11,Paramètres!$A$1:$I$89,3,0)*0.475*44/12</f>
        <v>2.0456356912662041</v>
      </c>
      <c r="BR160" s="23">
        <f>EXP(-LN(2)/2)*BR159+(1-EXP(-LN(2)/2))/(LN(2)/2)*BL160*BO160*VLOOKUP('Données projet'!$B$11,Paramètres!$A$1:$I$89,3,0)*0.475*44/12</f>
        <v>1.4634735691922432E-13</v>
      </c>
      <c r="BS160" s="24">
        <f t="shared" si="169"/>
        <v>19.37582937798555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>
        <f>BY160*VLOOKUP('Données projet'!$B$12,Paramètres!$A$1:$I$89,3,0)*VLOOKUP('Données projet'!$B$12,Paramètres!$A$1:$I$89,5,0)</f>
        <v>0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275.76900776033335</v>
      </c>
      <c r="CE160" s="62">
        <f t="shared" si="148"/>
        <v>299.36898480605191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16.608102283105904</v>
      </c>
      <c r="CL160" s="23">
        <f>EXP(-LN(2)/25)*CL159+(1-EXP(-LN(2)/25))/(LN(2)/25)*Calculateur!CG160*Calculateur!CI160*VLOOKUP('Données projet'!$B$12,Paramètres!$A$1:$I$89,3,0)*0.475*44/12</f>
        <v>1.9604008707967808</v>
      </c>
      <c r="CM160" s="23">
        <f>EXP(-LN(2)/2)*CM159+(1-EXP(-LN(2)/2))/(LN(2)/2)*CG160*CJ160*VLOOKUP('Données projet'!$B$12,Paramètres!$A$1:$I$89,3,0)*0.475*44/12</f>
        <v>1.4024955038092319E-13</v>
      </c>
      <c r="CN160" s="24">
        <f t="shared" si="172"/>
        <v>18.568503153902824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-5.6843418860808015E-14</v>
      </c>
      <c r="CU160" s="18">
        <f>CT160*VLOOKUP('Données projet'!$B$13,Paramètres!$A$1:$I$89,3,0)*VLOOKUP('Données projet'!$B$13,Paramètres!$A$1:$I$89,5,0)</f>
        <v>-6.2073013396002344E-14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482.24068797679558</v>
      </c>
      <c r="CZ160" s="62">
        <f t="shared" si="150"/>
        <v>316.28941055521693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128.71817948575224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128.71817948575224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-1.7053025658242404E-13</v>
      </c>
      <c r="DP160" s="18">
        <f>DO160*VLOOKUP('Données projet'!$B$14,Paramètres!$A$1:$I$89,3,0)*VLOOKUP('Données projet'!$B$14,Paramètres!$A$1:$I$89,5,0)</f>
        <v>-1.383341441396624E-13</v>
      </c>
      <c r="DQ160" s="14" t="e">
        <f t="shared" si="176"/>
        <v>#NUM!</v>
      </c>
      <c r="DR160" s="22" t="e">
        <f t="shared" si="177"/>
        <v>#NUM!</v>
      </c>
      <c r="DS160" s="62" t="e">
        <f t="shared" si="125"/>
        <v>#NUM!</v>
      </c>
      <c r="DT160" s="62">
        <f ca="1">AVERAGE(OFFSET($DS$3,0,0,'Données projet'!$E$14+1,1))-AVERAGE(OFFSET($H$3,0,0,'Données projet'!$E$14+1,1))</f>
        <v>325.58538970226539</v>
      </c>
      <c r="DU160" s="62">
        <f t="shared" si="152"/>
        <v>361.81085660423457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20.745720102555204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20.745720102555204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-2.8421709430404007E-13</v>
      </c>
      <c r="EK160" s="18">
        <f>EJ160*VLOOKUP('Données projet'!$B$15,Paramètres!$A$1:$I$89,3,0)*VLOOKUP('Données projet'!$B$15,Paramètres!$A$1:$I$89,5,0)</f>
        <v>-2.7489477361086758E-13</v>
      </c>
      <c r="EL160" s="14" t="e">
        <f t="shared" si="179"/>
        <v>#NUM!</v>
      </c>
      <c r="EM160" s="22" t="e">
        <f t="shared" si="180"/>
        <v>#NUM!</v>
      </c>
      <c r="EN160" s="62" t="e">
        <f t="shared" si="128"/>
        <v>#NUM!</v>
      </c>
      <c r="EO160" s="62">
        <f ca="1">AVERAGE(OFFSET($EN$3,0,0,'Données projet'!$E$15+1,1))-AVERAGE(OFFSET($H$3,0,0,'Données projet'!$E$15+1,1))</f>
        <v>364.22267539944085</v>
      </c>
      <c r="EP160" s="62">
        <f t="shared" si="154"/>
        <v>241.947139538615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91.206024321333032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91.206024321333032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-1.7053025658242404E-13</v>
      </c>
      <c r="FF160" s="18">
        <f>FE160*VLOOKUP('Données projet'!$B$16,Paramètres!$A$1:$I$89,3,0)*VLOOKUP('Données projet'!$B$16,Paramètres!$A$1:$I$89,5,0)</f>
        <v>-1.4897523215040567E-13</v>
      </c>
      <c r="FG160" s="14" t="e">
        <f t="shared" si="182"/>
        <v>#NUM!</v>
      </c>
      <c r="FH160" s="22" t="e">
        <f t="shared" si="183"/>
        <v>#NUM!</v>
      </c>
      <c r="FI160" s="62" t="e">
        <f t="shared" si="131"/>
        <v>#NUM!</v>
      </c>
      <c r="FJ160" s="62">
        <f ca="1">AVERAGE(OFFSET($FI$3,0,0,'Données projet'!$E$16+1,1))-AVERAGE(OFFSET($H$3,0,0,'Données projet'!$E$16+1,1))</f>
        <v>286.59837239471312</v>
      </c>
      <c r="FK160" s="62">
        <f t="shared" si="156"/>
        <v>319.26091328564689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18.006470444932244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18.006470444932244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-1.7053025658242404E-13</v>
      </c>
      <c r="GA160" s="18">
        <f>FZ160*VLOOKUP('Données projet'!$B$17,Paramètres!$A$1:$I$89,3,0)*VLOOKUP('Données projet'!$B$17,Paramètres!$A$1:$I$89,5,0)</f>
        <v>-1.1439169611549005E-13</v>
      </c>
      <c r="GB160" s="14" t="e">
        <f t="shared" si="185"/>
        <v>#NUM!</v>
      </c>
      <c r="GC160" s="22" t="e">
        <f t="shared" si="186"/>
        <v>#NUM!</v>
      </c>
      <c r="GD160" s="62" t="e">
        <f t="shared" si="134"/>
        <v>#NUM!</v>
      </c>
      <c r="GE160" s="62">
        <f ca="1">AVERAGE(OFFSET($GD$3,0,0,'Données projet'!$E$17+1,1))-AVERAGE(OFFSET($H$3,0,0,'Données projet'!$E$17+1,1))</f>
        <v>277.37570531842186</v>
      </c>
      <c r="GF160" s="62">
        <f t="shared" si="158"/>
        <v>310.00874200911312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projet'!$B$17,Paramètres!$A$1:$I$89,3,0)*0.475*44/12</f>
        <v>21.144676258373575</v>
      </c>
      <c r="GM160" s="23">
        <f>EXP(-LN(2)/25)*GM159+(1-EXP(-LN(2)/25))/(LN(2)/25)*Calculateur!GH160*Calculateur!GJ160*VLOOKUP('Données projet'!$B$17,Paramètres!$A$1:$I$89,3,0)*0.475*44/12</f>
        <v>0</v>
      </c>
      <c r="GN160" s="23">
        <f>EXP(-LN(2)/2)*GN159+(1-EXP(-LN(2)/2))/(LN(2)/2)*GH160*GK160*VLOOKUP('Données projet'!$B$17,Paramètres!$A$1:$I$89,3,0)*0.475*44/12</f>
        <v>0</v>
      </c>
      <c r="GO160" s="23">
        <f t="shared" si="187"/>
        <v>21.144676258373575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-5.6843418860808015E-14</v>
      </c>
      <c r="O161" s="14">
        <f>N161*VLOOKUP('Données projet'!$B$9,Paramètres!$A$1:$I$89,3,0)*VLOOKUP('Données projet'!$B$9,Paramètres!$A$1:$I$89,5,0)</f>
        <v>-4.9658410716801891E-14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401.34220206028908</v>
      </c>
      <c r="T161" s="62">
        <f t="shared" si="142"/>
        <v>265.33314259106987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100.95527559709913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100.95527559709913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1.7053025658242404E-13</v>
      </c>
      <c r="AJ161" s="14">
        <f>AI161*VLOOKUP('Données projet'!$B$10,Paramètres!$A$1:$I$89,3,0)*VLOOKUP('Données projet'!$B$10,Paramètres!$A$1:$I$89,5,0)</f>
        <v>7.9808160080574461E-14</v>
      </c>
      <c r="AK161" s="14">
        <f t="shared" si="164"/>
        <v>1.2308384591775343E-12</v>
      </c>
      <c r="AL161" s="22">
        <f t="shared" si="165"/>
        <v>2.282709528541206E-12</v>
      </c>
      <c r="AM161" s="62">
        <f t="shared" si="113"/>
        <v>287.56052422643427</v>
      </c>
      <c r="AN161" s="62">
        <f ca="1">AVERAGE(OFFSET($AM$3,0,0,'Données projet'!$E$10+1,1))-AVERAGE(OFFSET($H$3,0,0,'Données projet'!$E$10+1,1))</f>
        <v>253.48761861464732</v>
      </c>
      <c r="AO161" s="62">
        <f t="shared" si="144"/>
        <v>219.50855998133855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40.146524052921436</v>
      </c>
      <c r="AV161" s="23">
        <f>EXP(-LN(2)/25)*AV160+(1-EXP(-LN(2)/25))/(LN(2)/25)*Calculateur!AQ161*Calculateur!AS161*VLOOKUP('Données projet'!$B$10,Paramètres!$A$1:$I$89,3,0)*0.475*44/12</f>
        <v>5.8081304077062041</v>
      </c>
      <c r="AW161" s="23">
        <f>EXP(-LN(2)/2)*AW160+(1-EXP(-LN(2)/2))/(LN(2)/2)*AQ161*AT161*VLOOKUP('Données projet'!$B$10,Paramètres!$A$1:$I$89,3,0)*0.475*44/12</f>
        <v>4.4406566744027424E-8</v>
      </c>
      <c r="AX161" s="23">
        <f t="shared" si="166"/>
        <v>45.954654505034206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482.85256243111911</v>
      </c>
      <c r="BJ161" s="62">
        <f t="shared" si="146"/>
        <v>517.78430032567064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16.99035915889705</v>
      </c>
      <c r="BQ161" s="23">
        <f>EXP(-LN(2)/25)*BQ160+(1-EXP(-LN(2)/25))/(LN(2)/25)*Calculateur!BL161*Calculateur!BN161*VLOOKUP('Données projet'!$B$11,Paramètres!$A$1:$I$89,3,0)*0.475*44/12</f>
        <v>1.9896976757132241</v>
      </c>
      <c r="BR161" s="23">
        <f>EXP(-LN(2)/2)*BR160+(1-EXP(-LN(2)/2))/(LN(2)/2)*BL161*BO161*VLOOKUP('Données projet'!$B$11,Paramètres!$A$1:$I$89,3,0)*0.475*44/12</f>
        <v>1.0348320848631153E-13</v>
      </c>
      <c r="BS161" s="24">
        <f t="shared" si="169"/>
        <v>18.980056834610377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>
        <f>BY161*VLOOKUP('Données projet'!$B$12,Paramètres!$A$1:$I$89,3,0)*VLOOKUP('Données projet'!$B$12,Paramètres!$A$1:$I$89,5,0)</f>
        <v>0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275.76900776033335</v>
      </c>
      <c r="CE161" s="62">
        <f t="shared" si="148"/>
        <v>299.36898480605191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16.28242752727634</v>
      </c>
      <c r="CL161" s="23">
        <f>EXP(-LN(2)/25)*CL160+(1-EXP(-LN(2)/25))/(LN(2)/25)*Calculateur!CG161*Calculateur!CI161*VLOOKUP('Données projet'!$B$12,Paramètres!$A$1:$I$89,3,0)*0.475*44/12</f>
        <v>1.9067936058918415</v>
      </c>
      <c r="CM161" s="23">
        <f>EXP(-LN(2)/2)*CM160+(1-EXP(-LN(2)/2))/(LN(2)/2)*CG161*CJ161*VLOOKUP('Données projet'!$B$12,Paramètres!$A$1:$I$89,3,0)*0.475*44/12</f>
        <v>9.9171408132715126E-14</v>
      </c>
      <c r="CN161" s="24">
        <f t="shared" si="172"/>
        <v>18.189221133168282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-5.6843418860808015E-14</v>
      </c>
      <c r="CU161" s="18">
        <f>CT161*VLOOKUP('Données projet'!$B$13,Paramètres!$A$1:$I$89,3,0)*VLOOKUP('Données projet'!$B$13,Paramètres!$A$1:$I$89,5,0)</f>
        <v>-6.2073013396002344E-14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482.24068797679558</v>
      </c>
      <c r="CZ161" s="62">
        <f t="shared" si="150"/>
        <v>316.28941055521693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126.19409449637388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126.19409449637388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-1.7053025658242404E-13</v>
      </c>
      <c r="DP161" s="18">
        <f>DO161*VLOOKUP('Données projet'!$B$14,Paramètres!$A$1:$I$89,3,0)*VLOOKUP('Données projet'!$B$14,Paramètres!$A$1:$I$89,5,0)</f>
        <v>-1.383341441396624E-13</v>
      </c>
      <c r="DQ161" s="14" t="e">
        <f t="shared" si="176"/>
        <v>#NUM!</v>
      </c>
      <c r="DR161" s="22" t="e">
        <f t="shared" si="177"/>
        <v>#NUM!</v>
      </c>
      <c r="DS161" s="62" t="e">
        <f t="shared" si="125"/>
        <v>#NUM!</v>
      </c>
      <c r="DT161" s="62">
        <f ca="1">AVERAGE(OFFSET($DS$3,0,0,'Données projet'!$E$14+1,1))-AVERAGE(OFFSET($H$3,0,0,'Données projet'!$E$14+1,1))</f>
        <v>325.58538970226539</v>
      </c>
      <c r="DU161" s="62">
        <f t="shared" si="152"/>
        <v>361.81085660423457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20.338909184983915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20.338909184983915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-2.8421709430404007E-13</v>
      </c>
      <c r="EK161" s="18">
        <f>EJ161*VLOOKUP('Données projet'!$B$15,Paramètres!$A$1:$I$89,3,0)*VLOOKUP('Données projet'!$B$15,Paramètres!$A$1:$I$89,5,0)</f>
        <v>-2.7489477361086758E-13</v>
      </c>
      <c r="EL161" s="14" t="e">
        <f t="shared" si="179"/>
        <v>#NUM!</v>
      </c>
      <c r="EM161" s="22" t="e">
        <f t="shared" si="180"/>
        <v>#NUM!</v>
      </c>
      <c r="EN161" s="62" t="e">
        <f t="shared" si="128"/>
        <v>#NUM!</v>
      </c>
      <c r="EO161" s="62">
        <f ca="1">AVERAGE(OFFSET($EN$3,0,0,'Données projet'!$E$15+1,1))-AVERAGE(OFFSET($H$3,0,0,'Données projet'!$E$15+1,1))</f>
        <v>364.22267539944085</v>
      </c>
      <c r="EP161" s="62">
        <f t="shared" si="154"/>
        <v>241.947139538615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89.417529814573498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89.417529814573498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-1.7053025658242404E-13</v>
      </c>
      <c r="FF161" s="18">
        <f>FE161*VLOOKUP('Données projet'!$B$16,Paramètres!$A$1:$I$89,3,0)*VLOOKUP('Données projet'!$B$16,Paramètres!$A$1:$I$89,5,0)</f>
        <v>-1.4897523215040567E-13</v>
      </c>
      <c r="FG161" s="14" t="e">
        <f t="shared" si="182"/>
        <v>#NUM!</v>
      </c>
      <c r="FH161" s="22" t="e">
        <f t="shared" si="183"/>
        <v>#NUM!</v>
      </c>
      <c r="FI161" s="62" t="e">
        <f t="shared" si="131"/>
        <v>#NUM!</v>
      </c>
      <c r="FJ161" s="62">
        <f ca="1">AVERAGE(OFFSET($FI$3,0,0,'Données projet'!$E$16+1,1))-AVERAGE(OFFSET($H$3,0,0,'Données projet'!$E$16+1,1))</f>
        <v>286.59837239471312</v>
      </c>
      <c r="FK161" s="62">
        <f t="shared" si="156"/>
        <v>319.26091328564689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17.653374542369626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17.653374542369626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-1.7053025658242404E-13</v>
      </c>
      <c r="GA161" s="18">
        <f>FZ161*VLOOKUP('Données projet'!$B$17,Paramètres!$A$1:$I$89,3,0)*VLOOKUP('Données projet'!$B$17,Paramètres!$A$1:$I$89,5,0)</f>
        <v>-1.1439169611549005E-13</v>
      </c>
      <c r="GB161" s="14" t="e">
        <f t="shared" si="185"/>
        <v>#NUM!</v>
      </c>
      <c r="GC161" s="22" t="e">
        <f t="shared" si="186"/>
        <v>#NUM!</v>
      </c>
      <c r="GD161" s="62" t="e">
        <f t="shared" si="134"/>
        <v>#NUM!</v>
      </c>
      <c r="GE161" s="62">
        <f ca="1">AVERAGE(OFFSET($GD$3,0,0,'Données projet'!$E$17+1,1))-AVERAGE(OFFSET($H$3,0,0,'Données projet'!$E$17+1,1))</f>
        <v>277.37570531842186</v>
      </c>
      <c r="GF161" s="62">
        <f t="shared" si="158"/>
        <v>310.00874200911312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projet'!$B$17,Paramètres!$A$1:$I$89,3,0)*0.475*44/12</f>
        <v>20.730042053925917</v>
      </c>
      <c r="GM161" s="23">
        <f>EXP(-LN(2)/25)*GM160+(1-EXP(-LN(2)/25))/(LN(2)/25)*Calculateur!GH161*Calculateur!GJ161*VLOOKUP('Données projet'!$B$17,Paramètres!$A$1:$I$89,3,0)*0.475*44/12</f>
        <v>0</v>
      </c>
      <c r="GN161" s="23">
        <f>EXP(-LN(2)/2)*GN160+(1-EXP(-LN(2)/2))/(LN(2)/2)*GH161*GK161*VLOOKUP('Données projet'!$B$17,Paramètres!$A$1:$I$89,3,0)*0.475*44/12</f>
        <v>0</v>
      </c>
      <c r="GO161" s="23">
        <f t="shared" si="187"/>
        <v>20.730042053925917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-5.6843418860808015E-14</v>
      </c>
      <c r="O162" s="14">
        <f>N162*VLOOKUP('Données projet'!$B$9,Paramètres!$A$1:$I$89,3,0)*VLOOKUP('Données projet'!$B$9,Paramètres!$A$1:$I$89,5,0)</f>
        <v>-4.9658410716801891E-14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401.34220206028908</v>
      </c>
      <c r="T162" s="62">
        <f t="shared" si="142"/>
        <v>265.33314259106987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98.97560421927794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98.97560421927794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1.7053025658242404E-13</v>
      </c>
      <c r="AJ162" s="14">
        <f>AI162*VLOOKUP('Données projet'!$B$10,Paramètres!$A$1:$I$89,3,0)*VLOOKUP('Données projet'!$B$10,Paramètres!$A$1:$I$89,5,0)</f>
        <v>7.9808160080574461E-14</v>
      </c>
      <c r="AK162" s="14">
        <f t="shared" si="164"/>
        <v>1.2308384591775343E-12</v>
      </c>
      <c r="AL162" s="22">
        <f t="shared" si="165"/>
        <v>2.282709528541206E-12</v>
      </c>
      <c r="AM162" s="62">
        <f t="shared" si="113"/>
        <v>287.66066955837124</v>
      </c>
      <c r="AN162" s="62">
        <f ca="1">AVERAGE(OFFSET($AM$3,0,0,'Données projet'!$E$10+1,1))-AVERAGE(OFFSET($H$3,0,0,'Données projet'!$E$10+1,1))</f>
        <v>253.48761861464732</v>
      </c>
      <c r="AO162" s="62">
        <f t="shared" si="144"/>
        <v>219.50855998133855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39.359275203205435</v>
      </c>
      <c r="AV162" s="23">
        <f>EXP(-LN(2)/25)*AV161+(1-EXP(-LN(2)/25))/(LN(2)/25)*Calculateur!AQ162*Calculateur!AS162*VLOOKUP('Données projet'!$B$10,Paramètres!$A$1:$I$89,3,0)*0.475*44/12</f>
        <v>5.6493067762711746</v>
      </c>
      <c r="AW162" s="23">
        <f>EXP(-LN(2)/2)*AW161+(1-EXP(-LN(2)/2))/(LN(2)/2)*AQ162*AT162*VLOOKUP('Données projet'!$B$10,Paramètres!$A$1:$I$89,3,0)*0.475*44/12</f>
        <v>3.1400184473914817E-8</v>
      </c>
      <c r="AX162" s="23">
        <f t="shared" si="166"/>
        <v>45.008582010876793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482.85256243111911</v>
      </c>
      <c r="BJ162" s="62">
        <f t="shared" si="146"/>
        <v>517.78430032567064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16.657188578886895</v>
      </c>
      <c r="BQ162" s="23">
        <f>EXP(-LN(2)/25)*BQ161+(1-EXP(-LN(2)/25))/(LN(2)/25)*Calculateur!BL162*Calculateur!BN162*VLOOKUP('Données projet'!$B$11,Paramètres!$A$1:$I$89,3,0)*0.475*44/12</f>
        <v>1.9352892881371928</v>
      </c>
      <c r="BR162" s="23">
        <f>EXP(-LN(2)/2)*BR161+(1-EXP(-LN(2)/2))/(LN(2)/2)*BL162*BO162*VLOOKUP('Données projet'!$B$11,Paramètres!$A$1:$I$89,3,0)*0.475*44/12</f>
        <v>7.3173678459612161E-14</v>
      </c>
      <c r="BS162" s="24">
        <f t="shared" si="169"/>
        <v>18.592477867024161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>
        <f>BY162*VLOOKUP('Données projet'!$B$12,Paramètres!$A$1:$I$89,3,0)*VLOOKUP('Données projet'!$B$12,Paramètres!$A$1:$I$89,5,0)</f>
        <v>0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275.76900776033335</v>
      </c>
      <c r="CE162" s="62">
        <f t="shared" si="148"/>
        <v>299.36898480605191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15.963139054766609</v>
      </c>
      <c r="CL162" s="23">
        <f>EXP(-LN(2)/25)*CL161+(1-EXP(-LN(2)/25))/(LN(2)/25)*Calculateur!CG162*Calculateur!CI162*VLOOKUP('Données projet'!$B$12,Paramètres!$A$1:$I$89,3,0)*0.475*44/12</f>
        <v>1.8546522344648115</v>
      </c>
      <c r="CM162" s="23">
        <f>EXP(-LN(2)/2)*CM161+(1-EXP(-LN(2)/2))/(LN(2)/2)*CG162*CJ162*VLOOKUP('Données projet'!$B$12,Paramètres!$A$1:$I$89,3,0)*0.475*44/12</f>
        <v>7.0124775190461593E-14</v>
      </c>
      <c r="CN162" s="24">
        <f t="shared" si="172"/>
        <v>17.81779128923149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-5.6843418860808015E-14</v>
      </c>
      <c r="CU162" s="18">
        <f>CT162*VLOOKUP('Données projet'!$B$13,Paramètres!$A$1:$I$89,3,0)*VLOOKUP('Données projet'!$B$13,Paramètres!$A$1:$I$89,5,0)</f>
        <v>-6.2073013396002344E-14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482.24068797679558</v>
      </c>
      <c r="CZ162" s="62">
        <f t="shared" si="150"/>
        <v>316.28941055521693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123.7195052740974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123.7195052740974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-1.7053025658242404E-13</v>
      </c>
      <c r="DP162" s="18">
        <f>DO162*VLOOKUP('Données projet'!$B$14,Paramètres!$A$1:$I$89,3,0)*VLOOKUP('Données projet'!$B$14,Paramètres!$A$1:$I$89,5,0)</f>
        <v>-1.383341441396624E-13</v>
      </c>
      <c r="DQ162" s="14" t="e">
        <f t="shared" si="176"/>
        <v>#NUM!</v>
      </c>
      <c r="DR162" s="22" t="e">
        <f t="shared" si="177"/>
        <v>#NUM!</v>
      </c>
      <c r="DS162" s="62" t="e">
        <f t="shared" si="125"/>
        <v>#NUM!</v>
      </c>
      <c r="DT162" s="62">
        <f ca="1">AVERAGE(OFFSET($DS$3,0,0,'Données projet'!$E$14+1,1))-AVERAGE(OFFSET($H$3,0,0,'Données projet'!$E$14+1,1))</f>
        <v>325.58538970226539</v>
      </c>
      <c r="DU162" s="62">
        <f t="shared" si="152"/>
        <v>361.81085660423457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19.940075581376043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19.940075581376043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-2.8421709430404007E-13</v>
      </c>
      <c r="EK162" s="18">
        <f>EJ162*VLOOKUP('Données projet'!$B$15,Paramètres!$A$1:$I$89,3,0)*VLOOKUP('Données projet'!$B$15,Paramètres!$A$1:$I$89,5,0)</f>
        <v>-2.7489477361086758E-13</v>
      </c>
      <c r="EL162" s="14" t="e">
        <f t="shared" si="179"/>
        <v>#NUM!</v>
      </c>
      <c r="EM162" s="22" t="e">
        <f t="shared" si="180"/>
        <v>#NUM!</v>
      </c>
      <c r="EN162" s="62" t="e">
        <f t="shared" si="128"/>
        <v>#NUM!</v>
      </c>
      <c r="EO162" s="62">
        <f ca="1">AVERAGE(OFFSET($EN$3,0,0,'Données projet'!$E$15+1,1))-AVERAGE(OFFSET($H$3,0,0,'Données projet'!$E$15+1,1))</f>
        <v>364.22267539944085</v>
      </c>
      <c r="EP162" s="62">
        <f t="shared" si="154"/>
        <v>241.947139538615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87.664106594217586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87.664106594217586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-1.7053025658242404E-13</v>
      </c>
      <c r="FF162" s="18">
        <f>FE162*VLOOKUP('Données projet'!$B$16,Paramètres!$A$1:$I$89,3,0)*VLOOKUP('Données projet'!$B$16,Paramètres!$A$1:$I$89,5,0)</f>
        <v>-1.4897523215040567E-13</v>
      </c>
      <c r="FG162" s="14" t="e">
        <f t="shared" si="182"/>
        <v>#NUM!</v>
      </c>
      <c r="FH162" s="22" t="e">
        <f t="shared" si="183"/>
        <v>#NUM!</v>
      </c>
      <c r="FI162" s="62" t="e">
        <f t="shared" si="131"/>
        <v>#NUM!</v>
      </c>
      <c r="FJ162" s="62">
        <f ca="1">AVERAGE(OFFSET($FI$3,0,0,'Données projet'!$E$16+1,1))-AVERAGE(OFFSET($H$3,0,0,'Données projet'!$E$16+1,1))</f>
        <v>286.59837239471312</v>
      </c>
      <c r="FK162" s="62">
        <f t="shared" si="156"/>
        <v>319.26091328564689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17.307202635089027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17.307202635089027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-1.7053025658242404E-13</v>
      </c>
      <c r="GA162" s="18">
        <f>FZ162*VLOOKUP('Données projet'!$B$17,Paramètres!$A$1:$I$89,3,0)*VLOOKUP('Données projet'!$B$17,Paramètres!$A$1:$I$89,5,0)</f>
        <v>-1.1439169611549005E-13</v>
      </c>
      <c r="GB162" s="14" t="e">
        <f t="shared" si="185"/>
        <v>#NUM!</v>
      </c>
      <c r="GC162" s="22" t="e">
        <f t="shared" si="186"/>
        <v>#NUM!</v>
      </c>
      <c r="GD162" s="62" t="e">
        <f t="shared" si="134"/>
        <v>#NUM!</v>
      </c>
      <c r="GE162" s="62">
        <f ca="1">AVERAGE(OFFSET($GD$3,0,0,'Données projet'!$E$17+1,1))-AVERAGE(OFFSET($H$3,0,0,'Données projet'!$E$17+1,1))</f>
        <v>277.37570531842186</v>
      </c>
      <c r="GF162" s="62">
        <f t="shared" si="158"/>
        <v>310.00874200911312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projet'!$B$17,Paramètres!$A$1:$I$89,3,0)*0.475*44/12</f>
        <v>20.323538573325585</v>
      </c>
      <c r="GM162" s="23">
        <f>EXP(-LN(2)/25)*GM161+(1-EXP(-LN(2)/25))/(LN(2)/25)*Calculateur!GH162*Calculateur!GJ162*VLOOKUP('Données projet'!$B$17,Paramètres!$A$1:$I$89,3,0)*0.475*44/12</f>
        <v>0</v>
      </c>
      <c r="GN162" s="23">
        <f>EXP(-LN(2)/2)*GN161+(1-EXP(-LN(2)/2))/(LN(2)/2)*GH162*GK162*VLOOKUP('Données projet'!$B$17,Paramètres!$A$1:$I$89,3,0)*0.475*44/12</f>
        <v>0</v>
      </c>
      <c r="GO162" s="23">
        <f t="shared" si="187"/>
        <v>20.323538573325585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-5.6843418860808015E-14</v>
      </c>
      <c r="O163" s="14">
        <f>N163*VLOOKUP('Données projet'!$B$9,Paramètres!$A$1:$I$89,3,0)*VLOOKUP('Données projet'!$B$9,Paramètres!$A$1:$I$89,5,0)</f>
        <v>-4.9658410716801891E-14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401.34220206028908</v>
      </c>
      <c r="T163" s="62">
        <f t="shared" si="142"/>
        <v>265.33314259106987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97.034752989695519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97.034752989695519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1.7053025658242404E-13</v>
      </c>
      <c r="AJ163" s="14">
        <f>AI163*VLOOKUP('Données projet'!$B$10,Paramètres!$A$1:$I$89,3,0)*VLOOKUP('Données projet'!$B$10,Paramètres!$A$1:$I$89,5,0)</f>
        <v>7.9808160080574461E-14</v>
      </c>
      <c r="AK163" s="14">
        <f t="shared" si="164"/>
        <v>1.2308384591775343E-12</v>
      </c>
      <c r="AL163" s="22">
        <f t="shared" si="165"/>
        <v>2.282709528541206E-12</v>
      </c>
      <c r="AM163" s="62">
        <f t="shared" si="113"/>
        <v>287.75907759269063</v>
      </c>
      <c r="AN163" s="62">
        <f ca="1">AVERAGE(OFFSET($AM$3,0,0,'Données projet'!$E$10+1,1))-AVERAGE(OFFSET($H$3,0,0,'Données projet'!$E$10+1,1))</f>
        <v>253.48761861464732</v>
      </c>
      <c r="AO163" s="62">
        <f t="shared" si="144"/>
        <v>219.50855998133855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38.587463823257977</v>
      </c>
      <c r="AV163" s="23">
        <f>EXP(-LN(2)/25)*AV162+(1-EXP(-LN(2)/25))/(LN(2)/25)*Calculateur!AQ163*Calculateur!AS163*VLOOKUP('Données projet'!$B$10,Paramètres!$A$1:$I$89,3,0)*0.475*44/12</f>
        <v>5.4948261853899076</v>
      </c>
      <c r="AW163" s="23">
        <f>EXP(-LN(2)/2)*AW162+(1-EXP(-LN(2)/2))/(LN(2)/2)*AQ163*AT163*VLOOKUP('Données projet'!$B$10,Paramètres!$A$1:$I$89,3,0)*0.475*44/12</f>
        <v>2.2203283372013712E-8</v>
      </c>
      <c r="AX163" s="23">
        <f t="shared" si="166"/>
        <v>44.082290030851169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482.85256243111911</v>
      </c>
      <c r="BJ163" s="62">
        <f t="shared" si="146"/>
        <v>517.78430032567064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16.330551270736752</v>
      </c>
      <c r="BQ163" s="23">
        <f>EXP(-LN(2)/25)*BQ162+(1-EXP(-LN(2)/25))/(LN(2)/25)*Calculateur!BL163*Calculateur!BN163*VLOOKUP('Données projet'!$B$11,Paramètres!$A$1:$I$89,3,0)*0.475*44/12</f>
        <v>1.8823687007806407</v>
      </c>
      <c r="BR163" s="23">
        <f>EXP(-LN(2)/2)*BR162+(1-EXP(-LN(2)/2))/(LN(2)/2)*BL163*BO163*VLOOKUP('Données projet'!$B$11,Paramètres!$A$1:$I$89,3,0)*0.475*44/12</f>
        <v>5.1741604243155763E-14</v>
      </c>
      <c r="BS163" s="24">
        <f t="shared" si="169"/>
        <v>18.212919971517447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>
        <f>BY163*VLOOKUP('Données projet'!$B$12,Paramètres!$A$1:$I$89,3,0)*VLOOKUP('Données projet'!$B$12,Paramètres!$A$1:$I$89,5,0)</f>
        <v>0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275.76900776033335</v>
      </c>
      <c r="CE163" s="62">
        <f t="shared" si="148"/>
        <v>299.36898480605191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15.650111634456055</v>
      </c>
      <c r="CL163" s="23">
        <f>EXP(-LN(2)/25)*CL162+(1-EXP(-LN(2)/25))/(LN(2)/25)*Calculateur!CG163*Calculateur!CI163*VLOOKUP('Données projet'!$B$12,Paramètres!$A$1:$I$89,3,0)*0.475*44/12</f>
        <v>1.8039366715814491</v>
      </c>
      <c r="CM163" s="23">
        <f>EXP(-LN(2)/2)*CM162+(1-EXP(-LN(2)/2))/(LN(2)/2)*CG163*CJ163*VLOOKUP('Données projet'!$B$12,Paramètres!$A$1:$I$89,3,0)*0.475*44/12</f>
        <v>4.9585704066357563E-14</v>
      </c>
      <c r="CN163" s="24">
        <f t="shared" si="172"/>
        <v>17.454048306037553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-5.6843418860808015E-14</v>
      </c>
      <c r="CU163" s="18">
        <f>CT163*VLOOKUP('Données projet'!$B$13,Paramètres!$A$1:$I$89,3,0)*VLOOKUP('Données projet'!$B$13,Paramètres!$A$1:$I$89,5,0)</f>
        <v>-6.2073013396002344E-14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482.24068797679558</v>
      </c>
      <c r="CZ163" s="62">
        <f t="shared" si="150"/>
        <v>316.28941055521693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121.29344123711937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121.29344123711937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-1.7053025658242404E-13</v>
      </c>
      <c r="DP163" s="18">
        <f>DO163*VLOOKUP('Données projet'!$B$14,Paramètres!$A$1:$I$89,3,0)*VLOOKUP('Données projet'!$B$14,Paramètres!$A$1:$I$89,5,0)</f>
        <v>-1.383341441396624E-13</v>
      </c>
      <c r="DQ163" s="14" t="e">
        <f t="shared" si="176"/>
        <v>#NUM!</v>
      </c>
      <c r="DR163" s="22" t="e">
        <f t="shared" si="177"/>
        <v>#NUM!</v>
      </c>
      <c r="DS163" s="62" t="e">
        <f t="shared" si="125"/>
        <v>#NUM!</v>
      </c>
      <c r="DT163" s="62">
        <f ca="1">AVERAGE(OFFSET($DS$3,0,0,'Données projet'!$E$14+1,1))-AVERAGE(OFFSET($H$3,0,0,'Données projet'!$E$14+1,1))</f>
        <v>325.58538970226539</v>
      </c>
      <c r="DU163" s="62">
        <f t="shared" si="152"/>
        <v>361.81085660423457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19.549062861470443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19.549062861470443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-2.8421709430404007E-13</v>
      </c>
      <c r="EK163" s="18">
        <f>EJ163*VLOOKUP('Données projet'!$B$15,Paramètres!$A$1:$I$89,3,0)*VLOOKUP('Données projet'!$B$15,Paramètres!$A$1:$I$89,5,0)</f>
        <v>-2.7489477361086758E-13</v>
      </c>
      <c r="EL163" s="14" t="e">
        <f t="shared" si="179"/>
        <v>#NUM!</v>
      </c>
      <c r="EM163" s="22" t="e">
        <f t="shared" si="180"/>
        <v>#NUM!</v>
      </c>
      <c r="EN163" s="62" t="e">
        <f t="shared" si="128"/>
        <v>#NUM!</v>
      </c>
      <c r="EO163" s="62">
        <f ca="1">AVERAGE(OFFSET($EN$3,0,0,'Données projet'!$E$15+1,1))-AVERAGE(OFFSET($H$3,0,0,'Données projet'!$E$15+1,1))</f>
        <v>364.22267539944085</v>
      </c>
      <c r="EP163" s="62">
        <f t="shared" si="154"/>
        <v>241.947139538615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85.945066933730288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85.945066933730288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-1.7053025658242404E-13</v>
      </c>
      <c r="FF163" s="18">
        <f>FE163*VLOOKUP('Données projet'!$B$16,Paramètres!$A$1:$I$89,3,0)*VLOOKUP('Données projet'!$B$16,Paramètres!$A$1:$I$89,5,0)</f>
        <v>-1.4897523215040567E-13</v>
      </c>
      <c r="FG163" s="14" t="e">
        <f t="shared" si="182"/>
        <v>#NUM!</v>
      </c>
      <c r="FH163" s="22" t="e">
        <f t="shared" si="183"/>
        <v>#NUM!</v>
      </c>
      <c r="FI163" s="62" t="e">
        <f t="shared" si="131"/>
        <v>#NUM!</v>
      </c>
      <c r="FJ163" s="62">
        <f ca="1">AVERAGE(OFFSET($FI$3,0,0,'Données projet'!$E$16+1,1))-AVERAGE(OFFSET($H$3,0,0,'Données projet'!$E$16+1,1))</f>
        <v>286.59837239471312</v>
      </c>
      <c r="FK163" s="62">
        <f t="shared" si="156"/>
        <v>319.26091328564689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16.967818947766187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16.967818947766187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-1.7053025658242404E-13</v>
      </c>
      <c r="GA163" s="18">
        <f>FZ163*VLOOKUP('Données projet'!$B$17,Paramètres!$A$1:$I$89,3,0)*VLOOKUP('Données projet'!$B$17,Paramètres!$A$1:$I$89,5,0)</f>
        <v>-1.1439169611549005E-13</v>
      </c>
      <c r="GB163" s="14" t="e">
        <f t="shared" si="185"/>
        <v>#NUM!</v>
      </c>
      <c r="GC163" s="22" t="e">
        <f t="shared" si="186"/>
        <v>#NUM!</v>
      </c>
      <c r="GD163" s="62" t="e">
        <f t="shared" si="134"/>
        <v>#NUM!</v>
      </c>
      <c r="GE163" s="62">
        <f ca="1">AVERAGE(OFFSET($GD$3,0,0,'Données projet'!$E$17+1,1))-AVERAGE(OFFSET($H$3,0,0,'Données projet'!$E$17+1,1))</f>
        <v>277.37570531842186</v>
      </c>
      <c r="GF163" s="62">
        <f t="shared" si="158"/>
        <v>310.00874200911312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projet'!$B$17,Paramètres!$A$1:$I$89,3,0)*0.475*44/12</f>
        <v>19.925006378037185</v>
      </c>
      <c r="GM163" s="23">
        <f>EXP(-LN(2)/25)*GM162+(1-EXP(-LN(2)/25))/(LN(2)/25)*Calculateur!GH163*Calculateur!GJ163*VLOOKUP('Données projet'!$B$17,Paramètres!$A$1:$I$89,3,0)*0.475*44/12</f>
        <v>0</v>
      </c>
      <c r="GN163" s="23">
        <f>EXP(-LN(2)/2)*GN162+(1-EXP(-LN(2)/2))/(LN(2)/2)*GH163*GK163*VLOOKUP('Données projet'!$B$17,Paramètres!$A$1:$I$89,3,0)*0.475*44/12</f>
        <v>0</v>
      </c>
      <c r="GO163" s="23">
        <f t="shared" si="187"/>
        <v>19.925006378037185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-5.6843418860808015E-14</v>
      </c>
      <c r="O164" s="14">
        <f>N164*VLOOKUP('Données projet'!$B$9,Paramètres!$A$1:$I$89,3,0)*VLOOKUP('Données projet'!$B$9,Paramètres!$A$1:$I$89,5,0)</f>
        <v>-4.9658410716801891E-14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401.34220206028908</v>
      </c>
      <c r="T164" s="62">
        <f t="shared" si="142"/>
        <v>265.33314259106987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95.131960668922844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95.131960668922844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1.7053025658242404E-13</v>
      </c>
      <c r="AJ164" s="14">
        <f>AI164*VLOOKUP('Données projet'!$B$10,Paramètres!$A$1:$I$89,3,0)*VLOOKUP('Données projet'!$B$10,Paramètres!$A$1:$I$89,5,0)</f>
        <v>7.9808160080574461E-14</v>
      </c>
      <c r="AK164" s="14">
        <f t="shared" si="164"/>
        <v>1.2308384591775343E-12</v>
      </c>
      <c r="AL164" s="22">
        <f t="shared" si="165"/>
        <v>2.282709528541206E-12</v>
      </c>
      <c r="AM164" s="62">
        <f t="shared" si="113"/>
        <v>287.85577846762197</v>
      </c>
      <c r="AN164" s="62">
        <f ca="1">AVERAGE(OFFSET($AM$3,0,0,'Données projet'!$E$10+1,1))-AVERAGE(OFFSET($H$3,0,0,'Données projet'!$E$10+1,1))</f>
        <v>253.48761861464732</v>
      </c>
      <c r="AO164" s="62">
        <f t="shared" si="144"/>
        <v>219.50855998133855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37.83078719371283</v>
      </c>
      <c r="AV164" s="23">
        <f>EXP(-LN(2)/25)*AV163+(1-EXP(-LN(2)/25))/(LN(2)/25)*Calculateur!AQ164*Calculateur!AS164*VLOOKUP('Données projet'!$B$10,Paramètres!$A$1:$I$89,3,0)*0.475*44/12</f>
        <v>5.3445698743900705</v>
      </c>
      <c r="AW164" s="23">
        <f>EXP(-LN(2)/2)*AW163+(1-EXP(-LN(2)/2))/(LN(2)/2)*AQ164*AT164*VLOOKUP('Données projet'!$B$10,Paramètres!$A$1:$I$89,3,0)*0.475*44/12</f>
        <v>1.5700092236957409E-8</v>
      </c>
      <c r="AX164" s="23">
        <f t="shared" si="166"/>
        <v>43.175357083802993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482.85256243111911</v>
      </c>
      <c r="BJ164" s="62">
        <f t="shared" si="146"/>
        <v>517.78430032567064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16.010319120970347</v>
      </c>
      <c r="BQ164" s="23">
        <f>EXP(-LN(2)/25)*BQ163+(1-EXP(-LN(2)/25))/(LN(2)/25)*Calculateur!BL164*Calculateur!BN164*VLOOKUP('Données projet'!$B$11,Paramètres!$A$1:$I$89,3,0)*0.475*44/12</f>
        <v>1.8308952296683263</v>
      </c>
      <c r="BR164" s="23">
        <f>EXP(-LN(2)/2)*BR163+(1-EXP(-LN(2)/2))/(LN(2)/2)*BL164*BO164*VLOOKUP('Données projet'!$B$11,Paramètres!$A$1:$I$89,3,0)*0.475*44/12</f>
        <v>3.658683922980608E-14</v>
      </c>
      <c r="BS164" s="24">
        <f t="shared" si="169"/>
        <v>17.841214350638708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>
        <f>BY164*VLOOKUP('Données projet'!$B$12,Paramètres!$A$1:$I$89,3,0)*VLOOKUP('Données projet'!$B$12,Paramètres!$A$1:$I$89,5,0)</f>
        <v>0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275.76900776033335</v>
      </c>
      <c r="CE164" s="62">
        <f t="shared" si="148"/>
        <v>299.36898480605191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15.343222490929916</v>
      </c>
      <c r="CL164" s="23">
        <f>EXP(-LN(2)/25)*CL163+(1-EXP(-LN(2)/25))/(LN(2)/25)*Calculateur!CG164*Calculateur!CI164*VLOOKUP('Données projet'!$B$12,Paramètres!$A$1:$I$89,3,0)*0.475*44/12</f>
        <v>1.7546079284321479</v>
      </c>
      <c r="CM164" s="23">
        <f>EXP(-LN(2)/2)*CM163+(1-EXP(-LN(2)/2))/(LN(2)/2)*CG164*CJ164*VLOOKUP('Données projet'!$B$12,Paramètres!$A$1:$I$89,3,0)*0.475*44/12</f>
        <v>3.5062387595230796E-14</v>
      </c>
      <c r="CN164" s="24">
        <f t="shared" si="172"/>
        <v>17.097830419362101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-5.6843418860808015E-14</v>
      </c>
      <c r="CU164" s="18">
        <f>CT164*VLOOKUP('Données projet'!$B$13,Paramètres!$A$1:$I$89,3,0)*VLOOKUP('Données projet'!$B$13,Paramètres!$A$1:$I$89,5,0)</f>
        <v>-6.2073013396002344E-14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482.24068797679558</v>
      </c>
      <c r="CZ164" s="62">
        <f t="shared" si="150"/>
        <v>316.28941055521693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118.91495083615352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118.91495083615352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-1.7053025658242404E-13</v>
      </c>
      <c r="DP164" s="18">
        <f>DO164*VLOOKUP('Données projet'!$B$14,Paramètres!$A$1:$I$89,3,0)*VLOOKUP('Données projet'!$B$14,Paramètres!$A$1:$I$89,5,0)</f>
        <v>-1.383341441396624E-13</v>
      </c>
      <c r="DQ164" s="14" t="e">
        <f t="shared" si="176"/>
        <v>#NUM!</v>
      </c>
      <c r="DR164" s="22" t="e">
        <f t="shared" si="177"/>
        <v>#NUM!</v>
      </c>
      <c r="DS164" s="62" t="e">
        <f t="shared" si="125"/>
        <v>#NUM!</v>
      </c>
      <c r="DT164" s="62">
        <f ca="1">AVERAGE(OFFSET($DS$3,0,0,'Données projet'!$E$14+1,1))-AVERAGE(OFFSET($H$3,0,0,'Données projet'!$E$14+1,1))</f>
        <v>325.58538970226539</v>
      </c>
      <c r="DU164" s="62">
        <f t="shared" si="152"/>
        <v>361.81085660423457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19.16571766250798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19.16571766250798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-2.8421709430404007E-13</v>
      </c>
      <c r="EK164" s="18">
        <f>EJ164*VLOOKUP('Données projet'!$B$15,Paramètres!$A$1:$I$89,3,0)*VLOOKUP('Données projet'!$B$15,Paramètres!$A$1:$I$89,5,0)</f>
        <v>-2.7489477361086758E-13</v>
      </c>
      <c r="EL164" s="14" t="e">
        <f t="shared" si="179"/>
        <v>#NUM!</v>
      </c>
      <c r="EM164" s="22" t="e">
        <f t="shared" si="180"/>
        <v>#NUM!</v>
      </c>
      <c r="EN164" s="62" t="e">
        <f t="shared" si="128"/>
        <v>#NUM!</v>
      </c>
      <c r="EO164" s="62">
        <f ca="1">AVERAGE(OFFSET($EN$3,0,0,'Données projet'!$E$15+1,1))-AVERAGE(OFFSET($H$3,0,0,'Données projet'!$E$15+1,1))</f>
        <v>364.22267539944085</v>
      </c>
      <c r="EP164" s="62">
        <f t="shared" si="154"/>
        <v>241.947139538615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84.259736592474496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84.259736592474496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-1.7053025658242404E-13</v>
      </c>
      <c r="FF164" s="18">
        <f>FE164*VLOOKUP('Données projet'!$B$16,Paramètres!$A$1:$I$89,3,0)*VLOOKUP('Données projet'!$B$16,Paramètres!$A$1:$I$89,5,0)</f>
        <v>-1.4897523215040567E-13</v>
      </c>
      <c r="FG164" s="14" t="e">
        <f t="shared" si="182"/>
        <v>#NUM!</v>
      </c>
      <c r="FH164" s="22" t="e">
        <f t="shared" si="183"/>
        <v>#NUM!</v>
      </c>
      <c r="FI164" s="62" t="e">
        <f t="shared" si="131"/>
        <v>#NUM!</v>
      </c>
      <c r="FJ164" s="62">
        <f ca="1">AVERAGE(OFFSET($FI$3,0,0,'Données projet'!$E$16+1,1))-AVERAGE(OFFSET($H$3,0,0,'Données projet'!$E$16+1,1))</f>
        <v>286.59837239471312</v>
      </c>
      <c r="FK164" s="62">
        <f t="shared" si="156"/>
        <v>319.26091328564689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16.635090367548138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16.635090367548138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-1.7053025658242404E-13</v>
      </c>
      <c r="GA164" s="18">
        <f>FZ164*VLOOKUP('Données projet'!$B$17,Paramètres!$A$1:$I$89,3,0)*VLOOKUP('Données projet'!$B$17,Paramètres!$A$1:$I$89,5,0)</f>
        <v>-1.1439169611549005E-13</v>
      </c>
      <c r="GB164" s="14" t="e">
        <f t="shared" si="185"/>
        <v>#NUM!</v>
      </c>
      <c r="GC164" s="22" t="e">
        <f t="shared" si="186"/>
        <v>#NUM!</v>
      </c>
      <c r="GD164" s="62" t="e">
        <f t="shared" si="134"/>
        <v>#NUM!</v>
      </c>
      <c r="GE164" s="62">
        <f ca="1">AVERAGE(OFFSET($GD$3,0,0,'Données projet'!$E$17+1,1))-AVERAGE(OFFSET($H$3,0,0,'Données projet'!$E$17+1,1))</f>
        <v>277.37570531842186</v>
      </c>
      <c r="GF164" s="62">
        <f t="shared" si="158"/>
        <v>310.00874200911312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projet'!$B$17,Paramètres!$A$1:$I$89,3,0)*0.475*44/12</f>
        <v>19.534289156017753</v>
      </c>
      <c r="GM164" s="23">
        <f>EXP(-LN(2)/25)*GM163+(1-EXP(-LN(2)/25))/(LN(2)/25)*Calculateur!GH164*Calculateur!GJ164*VLOOKUP('Données projet'!$B$17,Paramètres!$A$1:$I$89,3,0)*0.475*44/12</f>
        <v>0</v>
      </c>
      <c r="GN164" s="23">
        <f>EXP(-LN(2)/2)*GN163+(1-EXP(-LN(2)/2))/(LN(2)/2)*GH164*GK164*VLOOKUP('Données projet'!$B$17,Paramètres!$A$1:$I$89,3,0)*0.475*44/12</f>
        <v>0</v>
      </c>
      <c r="GO164" s="23">
        <f t="shared" si="187"/>
        <v>19.534289156017753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-5.6843418860808015E-14</v>
      </c>
      <c r="O165" s="14">
        <f>N165*VLOOKUP('Données projet'!$B$9,Paramètres!$A$1:$I$89,3,0)*VLOOKUP('Données projet'!$B$9,Paramètres!$A$1:$I$89,5,0)</f>
        <v>-4.9658410716801891E-14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401.34220206028908</v>
      </c>
      <c r="T165" s="62">
        <f t="shared" si="142"/>
        <v>265.33314259106987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93.266480944971804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93.266480944971804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1.7053025658242404E-13</v>
      </c>
      <c r="AJ165" s="14">
        <f>AI165*VLOOKUP('Données projet'!$B$10,Paramètres!$A$1:$I$89,3,0)*VLOOKUP('Données projet'!$B$10,Paramètres!$A$1:$I$89,5,0)</f>
        <v>7.9808160080574461E-14</v>
      </c>
      <c r="AK165" s="14">
        <f t="shared" si="164"/>
        <v>1.2308384591775343E-12</v>
      </c>
      <c r="AL165" s="22">
        <f t="shared" si="165"/>
        <v>2.282709528541206E-12</v>
      </c>
      <c r="AM165" s="62">
        <f t="shared" si="113"/>
        <v>287.95080179856399</v>
      </c>
      <c r="AN165" s="62">
        <f ca="1">AVERAGE(OFFSET($AM$3,0,0,'Données projet'!$E$10+1,1))-AVERAGE(OFFSET($H$3,0,0,'Données projet'!$E$10+1,1))</f>
        <v>253.48761861464732</v>
      </c>
      <c r="AO165" s="62">
        <f t="shared" si="144"/>
        <v>219.50855998133855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37.088948531345892</v>
      </c>
      <c r="AV165" s="23">
        <f>EXP(-LN(2)/25)*AV164+(1-EXP(-LN(2)/25))/(LN(2)/25)*Calculateur!AQ165*Calculateur!AS165*VLOOKUP('Données projet'!$B$10,Paramètres!$A$1:$I$89,3,0)*0.475*44/12</f>
        <v>5.1984223301161592</v>
      </c>
      <c r="AW165" s="23">
        <f>EXP(-LN(2)/2)*AW164+(1-EXP(-LN(2)/2))/(LN(2)/2)*AQ165*AT165*VLOOKUP('Données projet'!$B$10,Paramètres!$A$1:$I$89,3,0)*0.475*44/12</f>
        <v>1.1101641686006856E-8</v>
      </c>
      <c r="AX165" s="23">
        <f t="shared" si="166"/>
        <v>42.287370872563692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482.85256243111911</v>
      </c>
      <c r="BJ165" s="62">
        <f t="shared" si="146"/>
        <v>517.78430032567064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15.696366528338537</v>
      </c>
      <c r="BQ165" s="23">
        <f>EXP(-LN(2)/25)*BQ164+(1-EXP(-LN(2)/25))/(LN(2)/25)*Calculateur!BL165*Calculateur!BN165*VLOOKUP('Données projet'!$B$11,Paramètres!$A$1:$I$89,3,0)*0.475*44/12</f>
        <v>1.7808293033304503</v>
      </c>
      <c r="BR165" s="23">
        <f>EXP(-LN(2)/2)*BR164+(1-EXP(-LN(2)/2))/(LN(2)/2)*BL165*BO165*VLOOKUP('Données projet'!$B$11,Paramètres!$A$1:$I$89,3,0)*0.475*44/12</f>
        <v>2.5870802121577881E-14</v>
      </c>
      <c r="BS165" s="24">
        <f t="shared" si="169"/>
        <v>17.477195831669011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>
        <f>BY165*VLOOKUP('Données projet'!$B$12,Paramètres!$A$1:$I$89,3,0)*VLOOKUP('Données projet'!$B$12,Paramètres!$A$1:$I$89,5,0)</f>
        <v>0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275.76900776033335</v>
      </c>
      <c r="CE165" s="62">
        <f t="shared" si="148"/>
        <v>299.36898480605191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15.04235125632443</v>
      </c>
      <c r="CL165" s="23">
        <f>EXP(-LN(2)/25)*CL164+(1-EXP(-LN(2)/25))/(LN(2)/25)*Calculateur!CG165*Calculateur!CI165*VLOOKUP('Données projet'!$B$12,Paramètres!$A$1:$I$89,3,0)*0.475*44/12</f>
        <v>1.70662808235835</v>
      </c>
      <c r="CM165" s="23">
        <f>EXP(-LN(2)/2)*CM164+(1-EXP(-LN(2)/2))/(LN(2)/2)*CG165*CJ165*VLOOKUP('Données projet'!$B$12,Paramètres!$A$1:$I$89,3,0)*0.475*44/12</f>
        <v>2.4792852033178781E-14</v>
      </c>
      <c r="CN165" s="24">
        <f t="shared" si="172"/>
        <v>16.748979338682805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-5.6843418860808015E-14</v>
      </c>
      <c r="CU165" s="18">
        <f>CT165*VLOOKUP('Données projet'!$B$13,Paramètres!$A$1:$I$89,3,0)*VLOOKUP('Données projet'!$B$13,Paramètres!$A$1:$I$89,5,0)</f>
        <v>-6.2073013396002344E-14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482.24068797679558</v>
      </c>
      <c r="CZ165" s="62">
        <f t="shared" si="150"/>
        <v>316.28941055521693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116.58310118121473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116.58310118121473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-1.7053025658242404E-13</v>
      </c>
      <c r="DP165" s="18">
        <f>DO165*VLOOKUP('Données projet'!$B$14,Paramètres!$A$1:$I$89,3,0)*VLOOKUP('Données projet'!$B$14,Paramètres!$A$1:$I$89,5,0)</f>
        <v>-1.383341441396624E-13</v>
      </c>
      <c r="DQ165" s="14" t="e">
        <f t="shared" si="176"/>
        <v>#NUM!</v>
      </c>
      <c r="DR165" s="22" t="e">
        <f t="shared" si="177"/>
        <v>#NUM!</v>
      </c>
      <c r="DS165" s="62" t="e">
        <f t="shared" si="125"/>
        <v>#NUM!</v>
      </c>
      <c r="DT165" s="62">
        <f ca="1">AVERAGE(OFFSET($DS$3,0,0,'Données projet'!$E$14+1,1))-AVERAGE(OFFSET($H$3,0,0,'Données projet'!$E$14+1,1))</f>
        <v>325.58538970226539</v>
      </c>
      <c r="DU165" s="62">
        <f t="shared" si="152"/>
        <v>361.81085660423457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18.789889629079688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18.789889629079688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-2.8421709430404007E-13</v>
      </c>
      <c r="EK165" s="18">
        <f>EJ165*VLOOKUP('Données projet'!$B$15,Paramètres!$A$1:$I$89,3,0)*VLOOKUP('Données projet'!$B$15,Paramètres!$A$1:$I$89,5,0)</f>
        <v>-2.7489477361086758E-13</v>
      </c>
      <c r="EL165" s="14" t="e">
        <f t="shared" si="179"/>
        <v>#NUM!</v>
      </c>
      <c r="EM165" s="22" t="e">
        <f t="shared" si="180"/>
        <v>#NUM!</v>
      </c>
      <c r="EN165" s="62" t="e">
        <f t="shared" si="128"/>
        <v>#NUM!</v>
      </c>
      <c r="EO165" s="62">
        <f ca="1">AVERAGE(OFFSET($EN$3,0,0,'Données projet'!$E$15+1,1))-AVERAGE(OFFSET($H$3,0,0,'Données projet'!$E$15+1,1))</f>
        <v>364.22267539944085</v>
      </c>
      <c r="EP165" s="62">
        <f t="shared" si="154"/>
        <v>241.947139538615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82.607454551260716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82.607454551260716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-1.7053025658242404E-13</v>
      </c>
      <c r="FF165" s="18">
        <f>FE165*VLOOKUP('Données projet'!$B$16,Paramètres!$A$1:$I$89,3,0)*VLOOKUP('Données projet'!$B$16,Paramètres!$A$1:$I$89,5,0)</f>
        <v>-1.4897523215040567E-13</v>
      </c>
      <c r="FG165" s="14" t="e">
        <f t="shared" si="182"/>
        <v>#NUM!</v>
      </c>
      <c r="FH165" s="22" t="e">
        <f t="shared" si="183"/>
        <v>#NUM!</v>
      </c>
      <c r="FI165" s="62" t="e">
        <f t="shared" si="131"/>
        <v>#NUM!</v>
      </c>
      <c r="FJ165" s="62">
        <f ca="1">AVERAGE(OFFSET($FI$3,0,0,'Données projet'!$E$16+1,1))-AVERAGE(OFFSET($H$3,0,0,'Données projet'!$E$16+1,1))</f>
        <v>286.59837239471312</v>
      </c>
      <c r="FK165" s="62">
        <f t="shared" si="156"/>
        <v>319.26091328564689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16.308886391843767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16.308886391843767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-1.7053025658242404E-13</v>
      </c>
      <c r="GA165" s="18">
        <f>FZ165*VLOOKUP('Données projet'!$B$17,Paramètres!$A$1:$I$89,3,0)*VLOOKUP('Données projet'!$B$17,Paramètres!$A$1:$I$89,5,0)</f>
        <v>-1.1439169611549005E-13</v>
      </c>
      <c r="GB165" s="14" t="e">
        <f t="shared" si="185"/>
        <v>#NUM!</v>
      </c>
      <c r="GC165" s="22" t="e">
        <f t="shared" si="186"/>
        <v>#NUM!</v>
      </c>
      <c r="GD165" s="62" t="e">
        <f t="shared" si="134"/>
        <v>#NUM!</v>
      </c>
      <c r="GE165" s="62">
        <f ca="1">AVERAGE(OFFSET($GD$3,0,0,'Données projet'!$E$17+1,1))-AVERAGE(OFFSET($H$3,0,0,'Données projet'!$E$17+1,1))</f>
        <v>277.37570531842186</v>
      </c>
      <c r="GF165" s="62">
        <f t="shared" si="158"/>
        <v>310.00874200911312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projet'!$B$17,Paramètres!$A$1:$I$89,3,0)*0.475*44/12</f>
        <v>19.151233660408145</v>
      </c>
      <c r="GM165" s="23">
        <f>EXP(-LN(2)/25)*GM164+(1-EXP(-LN(2)/25))/(LN(2)/25)*Calculateur!GH165*Calculateur!GJ165*VLOOKUP('Données projet'!$B$17,Paramètres!$A$1:$I$89,3,0)*0.475*44/12</f>
        <v>0</v>
      </c>
      <c r="GN165" s="23">
        <f>EXP(-LN(2)/2)*GN164+(1-EXP(-LN(2)/2))/(LN(2)/2)*GH165*GK165*VLOOKUP('Données projet'!$B$17,Paramètres!$A$1:$I$89,3,0)*0.475*44/12</f>
        <v>0</v>
      </c>
      <c r="GO165" s="23">
        <f t="shared" si="187"/>
        <v>19.151233660408145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-5.6843418860808015E-14</v>
      </c>
      <c r="O166" s="14">
        <f>N166*VLOOKUP('Données projet'!$B$9,Paramètres!$A$1:$I$89,3,0)*VLOOKUP('Données projet'!$B$9,Paramètres!$A$1:$I$89,5,0)</f>
        <v>-4.9658410716801891E-14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401.34220206028908</v>
      </c>
      <c r="T166" s="62">
        <f t="shared" si="142"/>
        <v>265.33314259106987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91.437582140577163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91.437582140577163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1.7053025658242404E-13</v>
      </c>
      <c r="AJ166" s="14">
        <f>AI166*VLOOKUP('Données projet'!$B$10,Paramètres!$A$1:$I$89,3,0)*VLOOKUP('Données projet'!$B$10,Paramètres!$A$1:$I$89,5,0)</f>
        <v>7.9808160080574461E-14</v>
      </c>
      <c r="AK166" s="14">
        <f t="shared" si="164"/>
        <v>1.2308384591775343E-12</v>
      </c>
      <c r="AL166" s="22">
        <f t="shared" si="165"/>
        <v>2.282709528541206E-12</v>
      </c>
      <c r="AM166" s="62">
        <f t="shared" si="113"/>
        <v>288.0441766871545</v>
      </c>
      <c r="AN166" s="62">
        <f ca="1">AVERAGE(OFFSET($AM$3,0,0,'Données projet'!$E$10+1,1))-AVERAGE(OFFSET($H$3,0,0,'Données projet'!$E$10+1,1))</f>
        <v>253.48761861464732</v>
      </c>
      <c r="AO166" s="62">
        <f t="shared" si="144"/>
        <v>219.50855998133855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36.361656872671063</v>
      </c>
      <c r="AV166" s="23">
        <f>EXP(-LN(2)/25)*AV165+(1-EXP(-LN(2)/25))/(LN(2)/25)*Calculateur!AQ166*Calculateur!AS166*VLOOKUP('Données projet'!$B$10,Paramètres!$A$1:$I$89,3,0)*0.475*44/12</f>
        <v>5.0562711981259838</v>
      </c>
      <c r="AW166" s="23">
        <f>EXP(-LN(2)/2)*AW165+(1-EXP(-LN(2)/2))/(LN(2)/2)*AQ166*AT166*VLOOKUP('Données projet'!$B$10,Paramètres!$A$1:$I$89,3,0)*0.475*44/12</f>
        <v>7.8500461184787043E-9</v>
      </c>
      <c r="AX166" s="23">
        <f t="shared" si="166"/>
        <v>41.417928078647094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482.85256243111911</v>
      </c>
      <c r="BJ166" s="62">
        <f t="shared" si="146"/>
        <v>517.78430032567064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15.388570354556062</v>
      </c>
      <c r="BQ166" s="23">
        <f>EXP(-LN(2)/25)*BQ165+(1-EXP(-LN(2)/25))/(LN(2)/25)*Calculateur!BL166*Calculateur!BN166*VLOOKUP('Données projet'!$B$11,Paramètres!$A$1:$I$89,3,0)*0.475*44/12</f>
        <v>1.7321324323811362</v>
      </c>
      <c r="BR166" s="23">
        <f>EXP(-LN(2)/2)*BR165+(1-EXP(-LN(2)/2))/(LN(2)/2)*BL166*BO166*VLOOKUP('Données projet'!$B$11,Paramètres!$A$1:$I$89,3,0)*0.475*44/12</f>
        <v>1.829341961490304E-14</v>
      </c>
      <c r="BS166" s="24">
        <f t="shared" si="169"/>
        <v>17.120702786937215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>
        <f>BY166*VLOOKUP('Données projet'!$B$12,Paramètres!$A$1:$I$89,3,0)*VLOOKUP('Données projet'!$B$12,Paramètres!$A$1:$I$89,5,0)</f>
        <v>0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275.76900776033335</v>
      </c>
      <c r="CE166" s="62">
        <f t="shared" si="148"/>
        <v>299.36898480605191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14.747379923116226</v>
      </c>
      <c r="CL166" s="23">
        <f>EXP(-LN(2)/25)*CL165+(1-EXP(-LN(2)/25))/(LN(2)/25)*Calculateur!CG166*Calculateur!CI166*VLOOKUP('Données projet'!$B$12,Paramètres!$A$1:$I$89,3,0)*0.475*44/12</f>
        <v>1.6599602476985906</v>
      </c>
      <c r="CM166" s="23">
        <f>EXP(-LN(2)/2)*CM165+(1-EXP(-LN(2)/2))/(LN(2)/2)*CG166*CJ166*VLOOKUP('Données projet'!$B$12,Paramètres!$A$1:$I$89,3,0)*0.475*44/12</f>
        <v>1.7531193797615398E-14</v>
      </c>
      <c r="CN166" s="24">
        <f t="shared" si="172"/>
        <v>16.407340170814834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-5.6843418860808015E-14</v>
      </c>
      <c r="CU166" s="18">
        <f>CT166*VLOOKUP('Données projet'!$B$13,Paramètres!$A$1:$I$89,3,0)*VLOOKUP('Données projet'!$B$13,Paramètres!$A$1:$I$89,5,0)</f>
        <v>-6.2073013396002344E-14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482.24068797679558</v>
      </c>
      <c r="CZ166" s="62">
        <f t="shared" si="150"/>
        <v>316.28941055521693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114.29697767572144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114.29697767572144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-1.7053025658242404E-13</v>
      </c>
      <c r="DP166" s="18">
        <f>DO166*VLOOKUP('Données projet'!$B$14,Paramètres!$A$1:$I$89,3,0)*VLOOKUP('Données projet'!$B$14,Paramètres!$A$1:$I$89,5,0)</f>
        <v>-1.383341441396624E-13</v>
      </c>
      <c r="DQ166" s="14" t="e">
        <f t="shared" si="176"/>
        <v>#NUM!</v>
      </c>
      <c r="DR166" s="22" t="e">
        <f t="shared" si="177"/>
        <v>#NUM!</v>
      </c>
      <c r="DS166" s="62" t="e">
        <f t="shared" si="125"/>
        <v>#NUM!</v>
      </c>
      <c r="DT166" s="62">
        <f ca="1">AVERAGE(OFFSET($DS$3,0,0,'Données projet'!$E$14+1,1))-AVERAGE(OFFSET($H$3,0,0,'Données projet'!$E$14+1,1))</f>
        <v>325.58538970226539</v>
      </c>
      <c r="DU166" s="62">
        <f t="shared" si="152"/>
        <v>361.81085660423457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18.421431354154461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18.421431354154461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-2.8421709430404007E-13</v>
      </c>
      <c r="EK166" s="18">
        <f>EJ166*VLOOKUP('Données projet'!$B$15,Paramètres!$A$1:$I$89,3,0)*VLOOKUP('Données projet'!$B$15,Paramètres!$A$1:$I$89,5,0)</f>
        <v>-2.7489477361086758E-13</v>
      </c>
      <c r="EL166" s="14" t="e">
        <f t="shared" si="179"/>
        <v>#NUM!</v>
      </c>
      <c r="EM166" s="22" t="e">
        <f t="shared" si="180"/>
        <v>#NUM!</v>
      </c>
      <c r="EN166" s="62" t="e">
        <f t="shared" si="128"/>
        <v>#NUM!</v>
      </c>
      <c r="EO166" s="62">
        <f ca="1">AVERAGE(OFFSET($EN$3,0,0,'Données projet'!$E$15+1,1))-AVERAGE(OFFSET($H$3,0,0,'Données projet'!$E$15+1,1))</f>
        <v>364.22267539944085</v>
      </c>
      <c r="EP166" s="62">
        <f t="shared" si="154"/>
        <v>241.947139538615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80.987572753082603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80.987572753082603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-1.7053025658242404E-13</v>
      </c>
      <c r="FF166" s="18">
        <f>FE166*VLOOKUP('Données projet'!$B$16,Paramètres!$A$1:$I$89,3,0)*VLOOKUP('Données projet'!$B$16,Paramètres!$A$1:$I$89,5,0)</f>
        <v>-1.4897523215040567E-13</v>
      </c>
      <c r="FG166" s="14" t="e">
        <f t="shared" si="182"/>
        <v>#NUM!</v>
      </c>
      <c r="FH166" s="22" t="e">
        <f t="shared" si="183"/>
        <v>#NUM!</v>
      </c>
      <c r="FI166" s="62" t="e">
        <f t="shared" si="131"/>
        <v>#NUM!</v>
      </c>
      <c r="FJ166" s="62">
        <f ca="1">AVERAGE(OFFSET($FI$3,0,0,'Données projet'!$E$16+1,1))-AVERAGE(OFFSET($H$3,0,0,'Données projet'!$E$16+1,1))</f>
        <v>286.59837239471312</v>
      </c>
      <c r="FK166" s="62">
        <f t="shared" si="156"/>
        <v>319.26091328564689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15.989079077138182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15.989079077138182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-1.7053025658242404E-13</v>
      </c>
      <c r="GA166" s="18">
        <f>FZ166*VLOOKUP('Données projet'!$B$17,Paramètres!$A$1:$I$89,3,0)*VLOOKUP('Données projet'!$B$17,Paramètres!$A$1:$I$89,5,0)</f>
        <v>-1.1439169611549005E-13</v>
      </c>
      <c r="GB166" s="14" t="e">
        <f t="shared" si="185"/>
        <v>#NUM!</v>
      </c>
      <c r="GC166" s="22" t="e">
        <f t="shared" si="186"/>
        <v>#NUM!</v>
      </c>
      <c r="GD166" s="62" t="e">
        <f t="shared" si="134"/>
        <v>#NUM!</v>
      </c>
      <c r="GE166" s="62">
        <f ca="1">AVERAGE(OFFSET($GD$3,0,0,'Données projet'!$E$17+1,1))-AVERAGE(OFFSET($H$3,0,0,'Données projet'!$E$17+1,1))</f>
        <v>277.37570531842186</v>
      </c>
      <c r="GF166" s="62">
        <f t="shared" si="158"/>
        <v>310.00874200911312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projet'!$B$17,Paramètres!$A$1:$I$89,3,0)*0.475*44/12</f>
        <v>18.775689649426663</v>
      </c>
      <c r="GM166" s="23">
        <f>EXP(-LN(2)/25)*GM165+(1-EXP(-LN(2)/25))/(LN(2)/25)*Calculateur!GH166*Calculateur!GJ166*VLOOKUP('Données projet'!$B$17,Paramètres!$A$1:$I$89,3,0)*0.475*44/12</f>
        <v>0</v>
      </c>
      <c r="GN166" s="23">
        <f>EXP(-LN(2)/2)*GN165+(1-EXP(-LN(2)/2))/(LN(2)/2)*GH166*GK166*VLOOKUP('Données projet'!$B$17,Paramètres!$A$1:$I$89,3,0)*0.475*44/12</f>
        <v>0</v>
      </c>
      <c r="GO166" s="23">
        <f t="shared" si="187"/>
        <v>18.775689649426663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-5.6843418860808015E-14</v>
      </c>
      <c r="O167" s="14">
        <f>N167*VLOOKUP('Données projet'!$B$9,Paramètres!$A$1:$I$89,3,0)*VLOOKUP('Données projet'!$B$9,Paramètres!$A$1:$I$89,5,0)</f>
        <v>-4.9658410716801891E-14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401.34220206028908</v>
      </c>
      <c r="T167" s="62">
        <f t="shared" si="142"/>
        <v>265.33314259106987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89.644546926218581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89.644546926218581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1.7053025658242404E-13</v>
      </c>
      <c r="AJ167" s="14">
        <f>AI167*VLOOKUP('Données projet'!$B$10,Paramètres!$A$1:$I$89,3,0)*VLOOKUP('Données projet'!$B$10,Paramètres!$A$1:$I$89,5,0)</f>
        <v>7.9808160080574461E-14</v>
      </c>
      <c r="AK167" s="14">
        <f t="shared" si="164"/>
        <v>1.2308384591775343E-12</v>
      </c>
      <c r="AL167" s="22">
        <f t="shared" si="165"/>
        <v>2.282709528541206E-12</v>
      </c>
      <c r="AM167" s="62">
        <f t="shared" si="113"/>
        <v>288.13593173018296</v>
      </c>
      <c r="AN167" s="62">
        <f ca="1">AVERAGE(OFFSET($AM$3,0,0,'Données projet'!$E$10+1,1))-AVERAGE(OFFSET($H$3,0,0,'Données projet'!$E$10+1,1))</f>
        <v>253.48761861464732</v>
      </c>
      <c r="AO167" s="62">
        <f t="shared" si="144"/>
        <v>219.50855998133855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35.648626959818735</v>
      </c>
      <c r="AV167" s="23">
        <f>EXP(-LN(2)/25)*AV166+(1-EXP(-LN(2)/25))/(LN(2)/25)*Calculateur!AQ167*Calculateur!AS167*VLOOKUP('Données projet'!$B$10,Paramètres!$A$1:$I$89,3,0)*0.475*44/12</f>
        <v>4.9180071963154823</v>
      </c>
      <c r="AW167" s="23">
        <f>EXP(-LN(2)/2)*AW166+(1-EXP(-LN(2)/2))/(LN(2)/2)*AQ167*AT167*VLOOKUP('Données projet'!$B$10,Paramètres!$A$1:$I$89,3,0)*0.475*44/12</f>
        <v>5.550820843003428E-9</v>
      </c>
      <c r="AX167" s="23">
        <f t="shared" si="166"/>
        <v>40.566634161685037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482.85256243111911</v>
      </c>
      <c r="BJ167" s="62">
        <f t="shared" si="146"/>
        <v>517.78430032567064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15.086809876004335</v>
      </c>
      <c r="BQ167" s="23">
        <f>EXP(-LN(2)/25)*BQ166+(1-EXP(-LN(2)/25))/(LN(2)/25)*Calculateur!BL167*Calculateur!BN167*VLOOKUP('Données projet'!$B$11,Paramètres!$A$1:$I$89,3,0)*0.475*44/12</f>
        <v>1.6847671799287882</v>
      </c>
      <c r="BR167" s="23">
        <f>EXP(-LN(2)/2)*BR166+(1-EXP(-LN(2)/2))/(LN(2)/2)*BL167*BO167*VLOOKUP('Données projet'!$B$11,Paramètres!$A$1:$I$89,3,0)*0.475*44/12</f>
        <v>1.2935401060788941E-14</v>
      </c>
      <c r="BS167" s="24">
        <f t="shared" si="169"/>
        <v>16.771577055933136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>
        <f>BY167*VLOOKUP('Données projet'!$B$12,Paramètres!$A$1:$I$89,3,0)*VLOOKUP('Données projet'!$B$12,Paramètres!$A$1:$I$89,5,0)</f>
        <v>0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275.76900776033335</v>
      </c>
      <c r="CE167" s="62">
        <f t="shared" si="148"/>
        <v>299.36898480605191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14.458192797837485</v>
      </c>
      <c r="CL167" s="23">
        <f>EXP(-LN(2)/25)*CL166+(1-EXP(-LN(2)/25))/(LN(2)/25)*Calculateur!CG167*Calculateur!CI167*VLOOKUP('Données projet'!$B$12,Paramètres!$A$1:$I$89,3,0)*0.475*44/12</f>
        <v>1.614568547431757</v>
      </c>
      <c r="CM167" s="23">
        <f>EXP(-LN(2)/2)*CM166+(1-EXP(-LN(2)/2))/(LN(2)/2)*CG167*CJ167*VLOOKUP('Données projet'!$B$12,Paramètres!$A$1:$I$89,3,0)*0.475*44/12</f>
        <v>1.2396426016589391E-14</v>
      </c>
      <c r="CN167" s="24">
        <f t="shared" si="172"/>
        <v>16.072761345269253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-5.6843418860808015E-14</v>
      </c>
      <c r="CU167" s="18">
        <f>CT167*VLOOKUP('Données projet'!$B$13,Paramètres!$A$1:$I$89,3,0)*VLOOKUP('Données projet'!$B$13,Paramètres!$A$1:$I$89,5,0)</f>
        <v>-6.2073013396002344E-14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482.24068797679558</v>
      </c>
      <c r="CZ167" s="62">
        <f t="shared" si="150"/>
        <v>316.28941055521693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112.0556836577732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112.0556836577732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-1.7053025658242404E-13</v>
      </c>
      <c r="DP167" s="18">
        <f>DO167*VLOOKUP('Données projet'!$B$14,Paramètres!$A$1:$I$89,3,0)*VLOOKUP('Données projet'!$B$14,Paramètres!$A$1:$I$89,5,0)</f>
        <v>-1.383341441396624E-13</v>
      </c>
      <c r="DQ167" s="14" t="e">
        <f t="shared" si="176"/>
        <v>#NUM!</v>
      </c>
      <c r="DR167" s="22" t="e">
        <f t="shared" si="177"/>
        <v>#NUM!</v>
      </c>
      <c r="DS167" s="62" t="e">
        <f t="shared" si="125"/>
        <v>#NUM!</v>
      </c>
      <c r="DT167" s="62">
        <f ca="1">AVERAGE(OFFSET($DS$3,0,0,'Données projet'!$E$14+1,1))-AVERAGE(OFFSET($H$3,0,0,'Données projet'!$E$14+1,1))</f>
        <v>325.58538970226539</v>
      </c>
      <c r="DU167" s="62">
        <f t="shared" si="152"/>
        <v>361.81085660423457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18.060198321263158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18.060198321263158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-2.8421709430404007E-13</v>
      </c>
      <c r="EK167" s="18">
        <f>EJ167*VLOOKUP('Données projet'!$B$15,Paramètres!$A$1:$I$89,3,0)*VLOOKUP('Données projet'!$B$15,Paramètres!$A$1:$I$89,5,0)</f>
        <v>-2.7489477361086758E-13</v>
      </c>
      <c r="EL167" s="14" t="e">
        <f t="shared" si="179"/>
        <v>#NUM!</v>
      </c>
      <c r="EM167" s="22" t="e">
        <f t="shared" si="180"/>
        <v>#NUM!</v>
      </c>
      <c r="EN167" s="62" t="e">
        <f t="shared" si="128"/>
        <v>#NUM!</v>
      </c>
      <c r="EO167" s="62">
        <f ca="1">AVERAGE(OFFSET($EN$3,0,0,'Données projet'!$E$15+1,1))-AVERAGE(OFFSET($H$3,0,0,'Données projet'!$E$15+1,1))</f>
        <v>364.22267539944085</v>
      </c>
      <c r="EP167" s="62">
        <f t="shared" si="154"/>
        <v>241.947139538615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79.399455848936427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79.399455848936427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-1.7053025658242404E-13</v>
      </c>
      <c r="FF167" s="18">
        <f>FE167*VLOOKUP('Données projet'!$B$16,Paramètres!$A$1:$I$89,3,0)*VLOOKUP('Données projet'!$B$16,Paramètres!$A$1:$I$89,5,0)</f>
        <v>-1.4897523215040567E-13</v>
      </c>
      <c r="FG167" s="14" t="e">
        <f t="shared" si="182"/>
        <v>#NUM!</v>
      </c>
      <c r="FH167" s="22" t="e">
        <f t="shared" si="183"/>
        <v>#NUM!</v>
      </c>
      <c r="FI167" s="62" t="e">
        <f t="shared" si="131"/>
        <v>#NUM!</v>
      </c>
      <c r="FJ167" s="62">
        <f ca="1">AVERAGE(OFFSET($FI$3,0,0,'Données projet'!$E$16+1,1))-AVERAGE(OFFSET($H$3,0,0,'Données projet'!$E$16+1,1))</f>
        <v>286.59837239471312</v>
      </c>
      <c r="FK167" s="62">
        <f t="shared" si="156"/>
        <v>319.26091328564689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15.675542988810772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15.675542988810772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-1.7053025658242404E-13</v>
      </c>
      <c r="GA167" s="18">
        <f>FZ167*VLOOKUP('Données projet'!$B$17,Paramètres!$A$1:$I$89,3,0)*VLOOKUP('Données projet'!$B$17,Paramètres!$A$1:$I$89,5,0)</f>
        <v>-1.1439169611549005E-13</v>
      </c>
      <c r="GB167" s="14" t="e">
        <f t="shared" si="185"/>
        <v>#NUM!</v>
      </c>
      <c r="GC167" s="22" t="e">
        <f t="shared" si="186"/>
        <v>#NUM!</v>
      </c>
      <c r="GD167" s="62" t="e">
        <f t="shared" si="134"/>
        <v>#NUM!</v>
      </c>
      <c r="GE167" s="62">
        <f ca="1">AVERAGE(OFFSET($GD$3,0,0,'Données projet'!$E$17+1,1))-AVERAGE(OFFSET($H$3,0,0,'Données projet'!$E$17+1,1))</f>
        <v>277.37570531842186</v>
      </c>
      <c r="GF167" s="62">
        <f t="shared" si="158"/>
        <v>310.00874200911312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projet'!$B$17,Paramètres!$A$1:$I$89,3,0)*0.475*44/12</f>
        <v>18.407509827441299</v>
      </c>
      <c r="GM167" s="23">
        <f>EXP(-LN(2)/25)*GM166+(1-EXP(-LN(2)/25))/(LN(2)/25)*Calculateur!GH167*Calculateur!GJ167*VLOOKUP('Données projet'!$B$17,Paramètres!$A$1:$I$89,3,0)*0.475*44/12</f>
        <v>0</v>
      </c>
      <c r="GN167" s="23">
        <f>EXP(-LN(2)/2)*GN166+(1-EXP(-LN(2)/2))/(LN(2)/2)*GH167*GK167*VLOOKUP('Données projet'!$B$17,Paramètres!$A$1:$I$89,3,0)*0.475*44/12</f>
        <v>0</v>
      </c>
      <c r="GO167" s="23">
        <f t="shared" si="187"/>
        <v>18.407509827441299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-5.6843418860808015E-14</v>
      </c>
      <c r="O168" s="14">
        <f>N168*VLOOKUP('Données projet'!$B$9,Paramètres!$A$1:$I$89,3,0)*VLOOKUP('Données projet'!$B$9,Paramètres!$A$1:$I$89,5,0)</f>
        <v>-4.9658410716801891E-14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401.34220206028908</v>
      </c>
      <c r="T168" s="62">
        <f t="shared" si="142"/>
        <v>265.33314259106987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87.886672038770072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87.886672038770072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1.7053025658242404E-13</v>
      </c>
      <c r="AJ168" s="14">
        <f>AI168*VLOOKUP('Données projet'!$B$10,Paramètres!$A$1:$I$89,3,0)*VLOOKUP('Données projet'!$B$10,Paramètres!$A$1:$I$89,5,0)</f>
        <v>7.9808160080574461E-14</v>
      </c>
      <c r="AK168" s="14">
        <f t="shared" si="164"/>
        <v>1.2308384591775343E-12</v>
      </c>
      <c r="AL168" s="22">
        <f t="shared" si="165"/>
        <v>2.282709528541206E-12</v>
      </c>
      <c r="AM168" s="62">
        <f t="shared" si="113"/>
        <v>288.22609502834842</v>
      </c>
      <c r="AN168" s="62">
        <f ca="1">AVERAGE(OFFSET($AM$3,0,0,'Données projet'!$E$10+1,1))-AVERAGE(OFFSET($H$3,0,0,'Données projet'!$E$10+1,1))</f>
        <v>253.48761861464732</v>
      </c>
      <c r="AO168" s="62">
        <f t="shared" si="144"/>
        <v>219.50855998133855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34.94957912865214</v>
      </c>
      <c r="AV168" s="23">
        <f>EXP(-LN(2)/25)*AV167+(1-EXP(-LN(2)/25))/(LN(2)/25)*Calculateur!AQ168*Calculateur!AS168*VLOOKUP('Données projet'!$B$10,Paramètres!$A$1:$I$89,3,0)*0.475*44/12</f>
        <v>4.7835240309054772</v>
      </c>
      <c r="AW168" s="23">
        <f>EXP(-LN(2)/2)*AW167+(1-EXP(-LN(2)/2))/(LN(2)/2)*AQ168*AT168*VLOOKUP('Données projet'!$B$10,Paramètres!$A$1:$I$89,3,0)*0.475*44/12</f>
        <v>3.9250230592393522E-9</v>
      </c>
      <c r="AX168" s="23">
        <f t="shared" si="166"/>
        <v>39.733103163482639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482.85256243111911</v>
      </c>
      <c r="BJ168" s="62">
        <f t="shared" si="146"/>
        <v>517.78430032567064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14.790966736381288</v>
      </c>
      <c r="BQ168" s="23">
        <f>EXP(-LN(2)/25)*BQ167+(1-EXP(-LN(2)/25))/(LN(2)/25)*Calculateur!BL168*Calculateur!BN168*VLOOKUP('Données projet'!$B$11,Paramètres!$A$1:$I$89,3,0)*0.475*44/12</f>
        <v>1.6386971327955802</v>
      </c>
      <c r="BR168" s="23">
        <f>EXP(-LN(2)/2)*BR167+(1-EXP(-LN(2)/2))/(LN(2)/2)*BL168*BO168*VLOOKUP('Données projet'!$B$11,Paramètres!$A$1:$I$89,3,0)*0.475*44/12</f>
        <v>9.1467098074515201E-15</v>
      </c>
      <c r="BS168" s="24">
        <f t="shared" si="169"/>
        <v>16.429663869176878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>
        <f>BY168*VLOOKUP('Données projet'!$B$12,Paramètres!$A$1:$I$89,3,0)*VLOOKUP('Données projet'!$B$12,Paramètres!$A$1:$I$89,5,0)</f>
        <v>0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275.76900776033335</v>
      </c>
      <c r="CE168" s="62">
        <f t="shared" si="148"/>
        <v>299.36898480605191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14.174676455698732</v>
      </c>
      <c r="CL168" s="23">
        <f>EXP(-LN(2)/25)*CL167+(1-EXP(-LN(2)/25))/(LN(2)/25)*Calculateur!CG168*Calculateur!CI168*VLOOKUP('Données projet'!$B$12,Paramètres!$A$1:$I$89,3,0)*0.475*44/12</f>
        <v>1.5704180855957659</v>
      </c>
      <c r="CM168" s="23">
        <f>EXP(-LN(2)/2)*CM167+(1-EXP(-LN(2)/2))/(LN(2)/2)*CG168*CJ168*VLOOKUP('Données projet'!$B$12,Paramètres!$A$1:$I$89,3,0)*0.475*44/12</f>
        <v>8.7655968988076991E-15</v>
      </c>
      <c r="CN168" s="24">
        <f t="shared" si="172"/>
        <v>15.745094541294506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-5.6843418860808015E-14</v>
      </c>
      <c r="CU168" s="18">
        <f>CT168*VLOOKUP('Données projet'!$B$13,Paramètres!$A$1:$I$89,3,0)*VLOOKUP('Données projet'!$B$13,Paramètres!$A$1:$I$89,5,0)</f>
        <v>-6.2073013396002344E-14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482.24068797679558</v>
      </c>
      <c r="CZ168" s="62">
        <f t="shared" si="150"/>
        <v>316.28941055521693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109.85834004846258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109.85834004846258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-1.7053025658242404E-13</v>
      </c>
      <c r="DP168" s="18">
        <f>DO168*VLOOKUP('Données projet'!$B$14,Paramètres!$A$1:$I$89,3,0)*VLOOKUP('Données projet'!$B$14,Paramètres!$A$1:$I$89,5,0)</f>
        <v>-1.383341441396624E-13</v>
      </c>
      <c r="DQ168" s="14" t="e">
        <f t="shared" si="176"/>
        <v>#NUM!</v>
      </c>
      <c r="DR168" s="22" t="e">
        <f t="shared" si="177"/>
        <v>#NUM!</v>
      </c>
      <c r="DS168" s="62" t="e">
        <f t="shared" si="125"/>
        <v>#NUM!</v>
      </c>
      <c r="DT168" s="62">
        <f ca="1">AVERAGE(OFFSET($DS$3,0,0,'Données projet'!$E$14+1,1))-AVERAGE(OFFSET($H$3,0,0,'Données projet'!$E$14+1,1))</f>
        <v>325.58538970226539</v>
      </c>
      <c r="DU168" s="62">
        <f t="shared" si="152"/>
        <v>361.81085660423457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17.706048847816461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17.706048847816461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-2.8421709430404007E-13</v>
      </c>
      <c r="EK168" s="18">
        <f>EJ168*VLOOKUP('Données projet'!$B$15,Paramètres!$A$1:$I$89,3,0)*VLOOKUP('Données projet'!$B$15,Paramètres!$A$1:$I$89,5,0)</f>
        <v>-2.7489477361086758E-13</v>
      </c>
      <c r="EL168" s="14" t="e">
        <f t="shared" si="179"/>
        <v>#NUM!</v>
      </c>
      <c r="EM168" s="22" t="e">
        <f t="shared" si="180"/>
        <v>#NUM!</v>
      </c>
      <c r="EN168" s="62" t="e">
        <f t="shared" si="128"/>
        <v>#NUM!</v>
      </c>
      <c r="EO168" s="62">
        <f ca="1">AVERAGE(OFFSET($EN$3,0,0,'Données projet'!$E$15+1,1))-AVERAGE(OFFSET($H$3,0,0,'Données projet'!$E$15+1,1))</f>
        <v>364.22267539944085</v>
      </c>
      <c r="EP168" s="62">
        <f t="shared" si="154"/>
        <v>241.947139538615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77.842480948624896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77.842480948624896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-1.7053025658242404E-13</v>
      </c>
      <c r="FF168" s="18">
        <f>FE168*VLOOKUP('Données projet'!$B$16,Paramètres!$A$1:$I$89,3,0)*VLOOKUP('Données projet'!$B$16,Paramètres!$A$1:$I$89,5,0)</f>
        <v>-1.4897523215040567E-13</v>
      </c>
      <c r="FG168" s="14" t="e">
        <f t="shared" si="182"/>
        <v>#NUM!</v>
      </c>
      <c r="FH168" s="22" t="e">
        <f t="shared" si="183"/>
        <v>#NUM!</v>
      </c>
      <c r="FI168" s="62" t="e">
        <f t="shared" si="131"/>
        <v>#NUM!</v>
      </c>
      <c r="FJ168" s="62">
        <f ca="1">AVERAGE(OFFSET($FI$3,0,0,'Données projet'!$E$16+1,1))-AVERAGE(OFFSET($H$3,0,0,'Données projet'!$E$16+1,1))</f>
        <v>286.59837239471312</v>
      </c>
      <c r="FK168" s="62">
        <f t="shared" si="156"/>
        <v>319.26091328564689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15.368155151937332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15.368155151937332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-1.7053025658242404E-13</v>
      </c>
      <c r="GA168" s="18">
        <f>FZ168*VLOOKUP('Données projet'!$B$17,Paramètres!$A$1:$I$89,3,0)*VLOOKUP('Données projet'!$B$17,Paramètres!$A$1:$I$89,5,0)</f>
        <v>-1.1439169611549005E-13</v>
      </c>
      <c r="GB168" s="14" t="e">
        <f t="shared" si="185"/>
        <v>#NUM!</v>
      </c>
      <c r="GC168" s="22" t="e">
        <f t="shared" si="186"/>
        <v>#NUM!</v>
      </c>
      <c r="GD168" s="62" t="e">
        <f t="shared" si="134"/>
        <v>#NUM!</v>
      </c>
      <c r="GE168" s="62">
        <f ca="1">AVERAGE(OFFSET($GD$3,0,0,'Données projet'!$E$17+1,1))-AVERAGE(OFFSET($H$3,0,0,'Données projet'!$E$17+1,1))</f>
        <v>277.37570531842186</v>
      </c>
      <c r="GF168" s="62">
        <f t="shared" si="158"/>
        <v>310.00874200911312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projet'!$B$17,Paramètres!$A$1:$I$89,3,0)*0.475*44/12</f>
        <v>18.046549787197549</v>
      </c>
      <c r="GM168" s="23">
        <f>EXP(-LN(2)/25)*GM167+(1-EXP(-LN(2)/25))/(LN(2)/25)*Calculateur!GH168*Calculateur!GJ168*VLOOKUP('Données projet'!$B$17,Paramètres!$A$1:$I$89,3,0)*0.475*44/12</f>
        <v>0</v>
      </c>
      <c r="GN168" s="23">
        <f>EXP(-LN(2)/2)*GN167+(1-EXP(-LN(2)/2))/(LN(2)/2)*GH168*GK168*VLOOKUP('Données projet'!$B$17,Paramètres!$A$1:$I$89,3,0)*0.475*44/12</f>
        <v>0</v>
      </c>
      <c r="GO168" s="23">
        <f t="shared" si="187"/>
        <v>18.046549787197549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-5.6843418860808015E-14</v>
      </c>
      <c r="O169" s="14">
        <f>N169*VLOOKUP('Données projet'!$B$9,Paramètres!$A$1:$I$89,3,0)*VLOOKUP('Données projet'!$B$9,Paramètres!$A$1:$I$89,5,0)</f>
        <v>-4.9658410716801891E-14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401.34220206028908</v>
      </c>
      <c r="T169" s="62">
        <f t="shared" si="142"/>
        <v>265.33314259106987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86.163268005666623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86.163268005666623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1.7053025658242404E-13</v>
      </c>
      <c r="AJ169" s="14">
        <f>AI169*VLOOKUP('Données projet'!$B$10,Paramètres!$A$1:$I$89,3,0)*VLOOKUP('Données projet'!$B$10,Paramètres!$A$1:$I$89,5,0)</f>
        <v>7.9808160080574461E-14</v>
      </c>
      <c r="AK169" s="14">
        <f t="shared" si="164"/>
        <v>1.2308384591775343E-12</v>
      </c>
      <c r="AL169" s="22">
        <f t="shared" si="165"/>
        <v>2.282709528541206E-12</v>
      </c>
      <c r="AM169" s="62">
        <f t="shared" si="113"/>
        <v>288.31469419486569</v>
      </c>
      <c r="AN169" s="62">
        <f ca="1">AVERAGE(OFFSET($AM$3,0,0,'Données projet'!$E$10+1,1))-AVERAGE(OFFSET($H$3,0,0,'Données projet'!$E$10+1,1))</f>
        <v>253.48761861464732</v>
      </c>
      <c r="AO169" s="62">
        <f t="shared" si="144"/>
        <v>219.50855998133855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34.26423919907765</v>
      </c>
      <c r="AV169" s="23">
        <f>EXP(-LN(2)/25)*AV168+(1-EXP(-LN(2)/25))/(LN(2)/25)*Calculateur!AQ169*Calculateur!AS169*VLOOKUP('Données projet'!$B$10,Paramètres!$A$1:$I$89,3,0)*0.475*44/12</f>
        <v>4.6527183147257709</v>
      </c>
      <c r="AW169" s="23">
        <f>EXP(-LN(2)/2)*AW168+(1-EXP(-LN(2)/2))/(LN(2)/2)*AQ169*AT169*VLOOKUP('Données projet'!$B$10,Paramètres!$A$1:$I$89,3,0)*0.475*44/12</f>
        <v>2.775410421501714E-9</v>
      </c>
      <c r="AX169" s="23">
        <f t="shared" si="166"/>
        <v>38.916957516578833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482.85256243111911</v>
      </c>
      <c r="BJ169" s="62">
        <f t="shared" si="146"/>
        <v>517.78430032567064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14.500924900279751</v>
      </c>
      <c r="BQ169" s="23">
        <f>EXP(-LN(2)/25)*BQ168+(1-EXP(-LN(2)/25))/(LN(2)/25)*Calculateur!BL169*Calculateur!BN169*VLOOKUP('Données projet'!$B$11,Paramètres!$A$1:$I$89,3,0)*0.475*44/12</f>
        <v>1.5938868735239482</v>
      </c>
      <c r="BR169" s="23">
        <f>EXP(-LN(2)/2)*BR168+(1-EXP(-LN(2)/2))/(LN(2)/2)*BL169*BO169*VLOOKUP('Données projet'!$B$11,Paramètres!$A$1:$I$89,3,0)*0.475*44/12</f>
        <v>6.4677005303944704E-15</v>
      </c>
      <c r="BS169" s="24">
        <f t="shared" si="169"/>
        <v>16.094811773803706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>
        <f>BY169*VLOOKUP('Données projet'!$B$12,Paramètres!$A$1:$I$89,3,0)*VLOOKUP('Données projet'!$B$12,Paramètres!$A$1:$I$89,5,0)</f>
        <v>0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275.76900776033335</v>
      </c>
      <c r="CE169" s="62">
        <f t="shared" si="148"/>
        <v>299.36898480605191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13.896719696101426</v>
      </c>
      <c r="CL169" s="23">
        <f>EXP(-LN(2)/25)*CL168+(1-EXP(-LN(2)/25))/(LN(2)/25)*Calculateur!CG169*Calculateur!CI169*VLOOKUP('Données projet'!$B$12,Paramètres!$A$1:$I$89,3,0)*0.475*44/12</f>
        <v>1.5274749204604519</v>
      </c>
      <c r="CM169" s="23">
        <f>EXP(-LN(2)/2)*CM168+(1-EXP(-LN(2)/2))/(LN(2)/2)*CG169*CJ169*VLOOKUP('Données projet'!$B$12,Paramètres!$A$1:$I$89,3,0)*0.475*44/12</f>
        <v>6.1982130082946954E-15</v>
      </c>
      <c r="CN169" s="24">
        <f t="shared" si="172"/>
        <v>15.424194616561884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-5.6843418860808015E-14</v>
      </c>
      <c r="CU169" s="18">
        <f>CT169*VLOOKUP('Données projet'!$B$13,Paramètres!$A$1:$I$89,3,0)*VLOOKUP('Données projet'!$B$13,Paramètres!$A$1:$I$89,5,0)</f>
        <v>-6.2073013396002344E-14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482.24068797679558</v>
      </c>
      <c r="CZ169" s="62">
        <f t="shared" si="150"/>
        <v>316.28941055521693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107.70408500708326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107.70408500708326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-1.7053025658242404E-13</v>
      </c>
      <c r="DP169" s="18">
        <f>DO169*VLOOKUP('Données projet'!$B$14,Paramètres!$A$1:$I$89,3,0)*VLOOKUP('Données projet'!$B$14,Paramètres!$A$1:$I$89,5,0)</f>
        <v>-1.383341441396624E-13</v>
      </c>
      <c r="DQ169" s="14" t="e">
        <f t="shared" si="176"/>
        <v>#NUM!</v>
      </c>
      <c r="DR169" s="22" t="e">
        <f t="shared" si="177"/>
        <v>#NUM!</v>
      </c>
      <c r="DS169" s="62" t="e">
        <f t="shared" si="125"/>
        <v>#NUM!</v>
      </c>
      <c r="DT169" s="62">
        <f ca="1">AVERAGE(OFFSET($DS$3,0,0,'Données projet'!$E$14+1,1))-AVERAGE(OFFSET($H$3,0,0,'Données projet'!$E$14+1,1))</f>
        <v>325.58538970226539</v>
      </c>
      <c r="DU169" s="62">
        <f t="shared" si="152"/>
        <v>361.81085660423457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17.358844029534204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17.358844029534204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-2.8421709430404007E-13</v>
      </c>
      <c r="EK169" s="18">
        <f>EJ169*VLOOKUP('Données projet'!$B$15,Paramètres!$A$1:$I$89,3,0)*VLOOKUP('Données projet'!$B$15,Paramètres!$A$1:$I$89,5,0)</f>
        <v>-2.7489477361086758E-13</v>
      </c>
      <c r="EL169" s="14" t="e">
        <f t="shared" si="179"/>
        <v>#NUM!</v>
      </c>
      <c r="EM169" s="22" t="e">
        <f t="shared" si="180"/>
        <v>#NUM!</v>
      </c>
      <c r="EN169" s="62" t="e">
        <f t="shared" si="128"/>
        <v>#NUM!</v>
      </c>
      <c r="EO169" s="62">
        <f ca="1">AVERAGE(OFFSET($EN$3,0,0,'Données projet'!$E$15+1,1))-AVERAGE(OFFSET($H$3,0,0,'Données projet'!$E$15+1,1))</f>
        <v>364.22267539944085</v>
      </c>
      <c r="EP169" s="62">
        <f t="shared" si="154"/>
        <v>241.947139538615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76.316037376447554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76.316037376447554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-1.7053025658242404E-13</v>
      </c>
      <c r="FF169" s="18">
        <f>FE169*VLOOKUP('Données projet'!$B$16,Paramètres!$A$1:$I$89,3,0)*VLOOKUP('Données projet'!$B$16,Paramètres!$A$1:$I$89,5,0)</f>
        <v>-1.4897523215040567E-13</v>
      </c>
      <c r="FG169" s="14" t="e">
        <f t="shared" si="182"/>
        <v>#NUM!</v>
      </c>
      <c r="FH169" s="22" t="e">
        <f t="shared" si="183"/>
        <v>#NUM!</v>
      </c>
      <c r="FI169" s="62" t="e">
        <f t="shared" si="131"/>
        <v>#NUM!</v>
      </c>
      <c r="FJ169" s="62">
        <f ca="1">AVERAGE(OFFSET($FI$3,0,0,'Données projet'!$E$16+1,1))-AVERAGE(OFFSET($H$3,0,0,'Données projet'!$E$16+1,1))</f>
        <v>286.59837239471312</v>
      </c>
      <c r="FK169" s="62">
        <f t="shared" si="156"/>
        <v>319.26091328564689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15.066795003056912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15.066795003056912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-1.7053025658242404E-13</v>
      </c>
      <c r="GA169" s="18">
        <f>FZ169*VLOOKUP('Données projet'!$B$17,Paramètres!$A$1:$I$89,3,0)*VLOOKUP('Données projet'!$B$17,Paramètres!$A$1:$I$89,5,0)</f>
        <v>-1.1439169611549005E-13</v>
      </c>
      <c r="GB169" s="14" t="e">
        <f t="shared" si="185"/>
        <v>#NUM!</v>
      </c>
      <c r="GC169" s="22" t="e">
        <f t="shared" si="186"/>
        <v>#NUM!</v>
      </c>
      <c r="GD169" s="62" t="e">
        <f t="shared" si="134"/>
        <v>#NUM!</v>
      </c>
      <c r="GE169" s="62">
        <f ca="1">AVERAGE(OFFSET($GD$3,0,0,'Données projet'!$E$17+1,1))-AVERAGE(OFFSET($H$3,0,0,'Données projet'!$E$17+1,1))</f>
        <v>277.37570531842186</v>
      </c>
      <c r="GF169" s="62">
        <f t="shared" si="158"/>
        <v>310.00874200911312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projet'!$B$17,Paramètres!$A$1:$I$89,3,0)*0.475*44/12</f>
        <v>17.692667953179093</v>
      </c>
      <c r="GM169" s="23">
        <f>EXP(-LN(2)/25)*GM168+(1-EXP(-LN(2)/25))/(LN(2)/25)*Calculateur!GH169*Calculateur!GJ169*VLOOKUP('Données projet'!$B$17,Paramètres!$A$1:$I$89,3,0)*0.475*44/12</f>
        <v>0</v>
      </c>
      <c r="GN169" s="23">
        <f>EXP(-LN(2)/2)*GN168+(1-EXP(-LN(2)/2))/(LN(2)/2)*GH169*GK169*VLOOKUP('Données projet'!$B$17,Paramètres!$A$1:$I$89,3,0)*0.475*44/12</f>
        <v>0</v>
      </c>
      <c r="GO169" s="23">
        <f t="shared" si="187"/>
        <v>17.692667953179093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-5.6843418860808015E-14</v>
      </c>
      <c r="O170" s="14">
        <f>N170*VLOOKUP('Données projet'!$B$9,Paramètres!$A$1:$I$89,3,0)*VLOOKUP('Données projet'!$B$9,Paramètres!$A$1:$I$89,5,0)</f>
        <v>-4.9658410716801891E-14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401.34220206028908</v>
      </c>
      <c r="T170" s="62">
        <f t="shared" si="142"/>
        <v>265.33314259106987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84.473658874479668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84.473658874479668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1.7053025658242404E-13</v>
      </c>
      <c r="AJ170" s="14">
        <f>AI170*VLOOKUP('Données projet'!$B$10,Paramètres!$A$1:$I$89,3,0)*VLOOKUP('Données projet'!$B$10,Paramètres!$A$1:$I$89,5,0)</f>
        <v>7.9808160080574461E-14</v>
      </c>
      <c r="AK170" s="14">
        <f t="shared" si="164"/>
        <v>1.2308384591775343E-12</v>
      </c>
      <c r="AL170" s="22">
        <f t="shared" si="165"/>
        <v>2.282709528541206E-12</v>
      </c>
      <c r="AM170" s="62">
        <f t="shared" si="113"/>
        <v>288.40175636392189</v>
      </c>
      <c r="AN170" s="62">
        <f ca="1">AVERAGE(OFFSET($AM$3,0,0,'Données projet'!$E$10+1,1))-AVERAGE(OFFSET($H$3,0,0,'Données projet'!$E$10+1,1))</f>
        <v>253.48761861464732</v>
      </c>
      <c r="AO170" s="62">
        <f t="shared" si="144"/>
        <v>219.50855998133855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33.592338367506031</v>
      </c>
      <c r="AV170" s="23">
        <f>EXP(-LN(2)/25)*AV169+(1-EXP(-LN(2)/25))/(LN(2)/25)*Calculateur!AQ170*Calculateur!AS170*VLOOKUP('Données projet'!$B$10,Paramètres!$A$1:$I$89,3,0)*0.475*44/12</f>
        <v>4.5254894877337728</v>
      </c>
      <c r="AW170" s="23">
        <f>EXP(-LN(2)/2)*AW169+(1-EXP(-LN(2)/2))/(LN(2)/2)*AQ170*AT170*VLOOKUP('Données projet'!$B$10,Paramètres!$A$1:$I$89,3,0)*0.475*44/12</f>
        <v>1.9625115296196761E-9</v>
      </c>
      <c r="AX170" s="23">
        <f t="shared" si="166"/>
        <v>38.117827857202315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482.85256243111911</v>
      </c>
      <c r="BJ170" s="62">
        <f t="shared" si="146"/>
        <v>517.78430032567064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14.216570607676113</v>
      </c>
      <c r="BQ170" s="23">
        <f>EXP(-LN(2)/25)*BQ169+(1-EXP(-LN(2)/25))/(LN(2)/25)*Calculateur!BL170*Calculateur!BN170*VLOOKUP('Données projet'!$B$11,Paramètres!$A$1:$I$89,3,0)*0.475*44/12</f>
        <v>1.550301953148568</v>
      </c>
      <c r="BR170" s="23">
        <f>EXP(-LN(2)/2)*BR169+(1-EXP(-LN(2)/2))/(LN(2)/2)*BL170*BO170*VLOOKUP('Données projet'!$B$11,Paramètres!$A$1:$I$89,3,0)*0.475*44/12</f>
        <v>4.57335490372576E-15</v>
      </c>
      <c r="BS170" s="24">
        <f t="shared" si="169"/>
        <v>15.766872560824686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>
        <f>BY170*VLOOKUP('Données projet'!$B$12,Paramètres!$A$1:$I$89,3,0)*VLOOKUP('Données projet'!$B$12,Paramètres!$A$1:$I$89,5,0)</f>
        <v>0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275.76900776033335</v>
      </c>
      <c r="CE170" s="62">
        <f t="shared" si="148"/>
        <v>299.36898480605191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13.624213499022941</v>
      </c>
      <c r="CL170" s="23">
        <f>EXP(-LN(2)/25)*CL169+(1-EXP(-LN(2)/25))/(LN(2)/25)*Calculateur!CG170*Calculateur!CI170*VLOOKUP('Données projet'!$B$12,Paramètres!$A$1:$I$89,3,0)*0.475*44/12</f>
        <v>1.4857060384340459</v>
      </c>
      <c r="CM170" s="23">
        <f>EXP(-LN(2)/2)*CM169+(1-EXP(-LN(2)/2))/(LN(2)/2)*CG170*CJ170*VLOOKUP('Données projet'!$B$12,Paramètres!$A$1:$I$89,3,0)*0.475*44/12</f>
        <v>4.3827984494038496E-15</v>
      </c>
      <c r="CN170" s="24">
        <f t="shared" si="172"/>
        <v>15.109919537456991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-5.6843418860808015E-14</v>
      </c>
      <c r="CU170" s="18">
        <f>CT170*VLOOKUP('Données projet'!$B$13,Paramètres!$A$1:$I$89,3,0)*VLOOKUP('Données projet'!$B$13,Paramètres!$A$1:$I$89,5,0)</f>
        <v>-6.2073013396002344E-14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482.24068797679558</v>
      </c>
      <c r="CZ170" s="62">
        <f t="shared" si="150"/>
        <v>316.28941055521693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105.59207359309957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105.59207359309957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-1.7053025658242404E-13</v>
      </c>
      <c r="DP170" s="18">
        <f>DO170*VLOOKUP('Données projet'!$B$14,Paramètres!$A$1:$I$89,3,0)*VLOOKUP('Données projet'!$B$14,Paramètres!$A$1:$I$89,5,0)</f>
        <v>-1.383341441396624E-13</v>
      </c>
      <c r="DQ170" s="14" t="e">
        <f t="shared" si="176"/>
        <v>#NUM!</v>
      </c>
      <c r="DR170" s="22" t="e">
        <f t="shared" si="177"/>
        <v>#NUM!</v>
      </c>
      <c r="DS170" s="62" t="e">
        <f t="shared" si="125"/>
        <v>#NUM!</v>
      </c>
      <c r="DT170" s="62">
        <f ca="1">AVERAGE(OFFSET($DS$3,0,0,'Données projet'!$E$14+1,1))-AVERAGE(OFFSET($H$3,0,0,'Données projet'!$E$14+1,1))</f>
        <v>325.58538970226539</v>
      </c>
      <c r="DU170" s="62">
        <f t="shared" si="152"/>
        <v>361.81085660423457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17.018447685964432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17.018447685964432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-2.8421709430404007E-13</v>
      </c>
      <c r="EK170" s="18">
        <f>EJ170*VLOOKUP('Données projet'!$B$15,Paramètres!$A$1:$I$89,3,0)*VLOOKUP('Données projet'!$B$15,Paramètres!$A$1:$I$89,5,0)</f>
        <v>-2.7489477361086758E-13</v>
      </c>
      <c r="EL170" s="14" t="e">
        <f t="shared" si="179"/>
        <v>#NUM!</v>
      </c>
      <c r="EM170" s="22" t="e">
        <f t="shared" si="180"/>
        <v>#NUM!</v>
      </c>
      <c r="EN170" s="62" t="e">
        <f t="shared" si="128"/>
        <v>#NUM!</v>
      </c>
      <c r="EO170" s="62">
        <f ca="1">AVERAGE(OFFSET($EN$3,0,0,'Données projet'!$E$15+1,1))-AVERAGE(OFFSET($H$3,0,0,'Données projet'!$E$15+1,1))</f>
        <v>364.22267539944085</v>
      </c>
      <c r="EP170" s="62">
        <f t="shared" si="154"/>
        <v>241.947139538615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74.819526431681965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74.819526431681965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-1.7053025658242404E-13</v>
      </c>
      <c r="FF170" s="18">
        <f>FE170*VLOOKUP('Données projet'!$B$16,Paramètres!$A$1:$I$89,3,0)*VLOOKUP('Données projet'!$B$16,Paramètres!$A$1:$I$89,5,0)</f>
        <v>-1.4897523215040567E-13</v>
      </c>
      <c r="FG170" s="14" t="e">
        <f t="shared" si="182"/>
        <v>#NUM!</v>
      </c>
      <c r="FH170" s="22" t="e">
        <f t="shared" si="183"/>
        <v>#NUM!</v>
      </c>
      <c r="FI170" s="62" t="e">
        <f t="shared" si="131"/>
        <v>#NUM!</v>
      </c>
      <c r="FJ170" s="62">
        <f ca="1">AVERAGE(OFFSET($FI$3,0,0,'Données projet'!$E$16+1,1))-AVERAGE(OFFSET($H$3,0,0,'Données projet'!$E$16+1,1))</f>
        <v>286.59837239471312</v>
      </c>
      <c r="FK170" s="62">
        <f t="shared" si="156"/>
        <v>319.26091328564689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14.771344342884497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14.771344342884497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-1.7053025658242404E-13</v>
      </c>
      <c r="GA170" s="18">
        <f>FZ170*VLOOKUP('Données projet'!$B$17,Paramètres!$A$1:$I$89,3,0)*VLOOKUP('Données projet'!$B$17,Paramètres!$A$1:$I$89,5,0)</f>
        <v>-1.1439169611549005E-13</v>
      </c>
      <c r="GB170" s="14" t="e">
        <f t="shared" si="185"/>
        <v>#NUM!</v>
      </c>
      <c r="GC170" s="22" t="e">
        <f t="shared" si="186"/>
        <v>#NUM!</v>
      </c>
      <c r="GD170" s="62" t="e">
        <f t="shared" si="134"/>
        <v>#NUM!</v>
      </c>
      <c r="GE170" s="62">
        <f ca="1">AVERAGE(OFFSET($GD$3,0,0,'Données projet'!$E$17+1,1))-AVERAGE(OFFSET($H$3,0,0,'Données projet'!$E$17+1,1))</f>
        <v>277.37570531842186</v>
      </c>
      <c r="GF170" s="62">
        <f t="shared" si="158"/>
        <v>310.00874200911312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projet'!$B$17,Paramètres!$A$1:$I$89,3,0)*0.475*44/12</f>
        <v>17.345725526079136</v>
      </c>
      <c r="GM170" s="23">
        <f>EXP(-LN(2)/25)*GM169+(1-EXP(-LN(2)/25))/(LN(2)/25)*Calculateur!GH170*Calculateur!GJ170*VLOOKUP('Données projet'!$B$17,Paramètres!$A$1:$I$89,3,0)*0.475*44/12</f>
        <v>0</v>
      </c>
      <c r="GN170" s="23">
        <f>EXP(-LN(2)/2)*GN169+(1-EXP(-LN(2)/2))/(LN(2)/2)*GH170*GK170*VLOOKUP('Données projet'!$B$17,Paramètres!$A$1:$I$89,3,0)*0.475*44/12</f>
        <v>0</v>
      </c>
      <c r="GO170" s="23">
        <f t="shared" si="187"/>
        <v>17.345725526079136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-5.6843418860808015E-14</v>
      </c>
      <c r="O171" s="14">
        <f>N171*VLOOKUP('Données projet'!$B$9,Paramètres!$A$1:$I$89,3,0)*VLOOKUP('Données projet'!$B$9,Paramètres!$A$1:$I$89,5,0)</f>
        <v>-4.9658410716801891E-14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401.34220206028908</v>
      </c>
      <c r="T171" s="62">
        <f t="shared" si="142"/>
        <v>265.33314259106987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82.817181947795476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82.817181947795476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1.7053025658242404E-13</v>
      </c>
      <c r="AJ171" s="14">
        <f>AI171*VLOOKUP('Données projet'!$B$10,Paramètres!$A$1:$I$89,3,0)*VLOOKUP('Données projet'!$B$10,Paramètres!$A$1:$I$89,5,0)</f>
        <v>7.9808160080574461E-14</v>
      </c>
      <c r="AK171" s="14">
        <f t="shared" si="164"/>
        <v>1.2308384591775343E-12</v>
      </c>
      <c r="AL171" s="22">
        <f t="shared" si="165"/>
        <v>2.282709528541206E-12</v>
      </c>
      <c r="AM171" s="62">
        <f t="shared" si="113"/>
        <v>288.4873081989868</v>
      </c>
      <c r="AN171" s="62">
        <f ca="1">AVERAGE(OFFSET($AM$3,0,0,'Données projet'!$E$10+1,1))-AVERAGE(OFFSET($H$3,0,0,'Données projet'!$E$10+1,1))</f>
        <v>253.48761861464732</v>
      </c>
      <c r="AO171" s="62">
        <f t="shared" si="144"/>
        <v>219.50855998133855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32.933613101422488</v>
      </c>
      <c r="AV171" s="23">
        <f>EXP(-LN(2)/25)*AV170+(1-EXP(-LN(2)/25))/(LN(2)/25)*Calculateur!AQ171*Calculateur!AS171*VLOOKUP('Données projet'!$B$10,Paramètres!$A$1:$I$89,3,0)*0.475*44/12</f>
        <v>4.4017397397065441</v>
      </c>
      <c r="AW171" s="23">
        <f>EXP(-LN(2)/2)*AW170+(1-EXP(-LN(2)/2))/(LN(2)/2)*AQ171*AT171*VLOOKUP('Données projet'!$B$10,Paramètres!$A$1:$I$89,3,0)*0.475*44/12</f>
        <v>1.387705210750857E-9</v>
      </c>
      <c r="AX171" s="23">
        <f t="shared" si="166"/>
        <v>37.335352842516734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482.85256243111911</v>
      </c>
      <c r="BJ171" s="62">
        <f t="shared" si="146"/>
        <v>517.78430032567064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13.93779232931144</v>
      </c>
      <c r="BQ171" s="23">
        <f>EXP(-LN(2)/25)*BQ170+(1-EXP(-LN(2)/25))/(LN(2)/25)*Calculateur!BL171*Calculateur!BN171*VLOOKUP('Données projet'!$B$11,Paramètres!$A$1:$I$89,3,0)*0.475*44/12</f>
        <v>1.507908864712884</v>
      </c>
      <c r="BR171" s="23">
        <f>EXP(-LN(2)/2)*BR170+(1-EXP(-LN(2)/2))/(LN(2)/2)*BL171*BO171*VLOOKUP('Données projet'!$B$11,Paramètres!$A$1:$I$89,3,0)*0.475*44/12</f>
        <v>3.2338502651972352E-15</v>
      </c>
      <c r="BS171" s="24">
        <f t="shared" si="169"/>
        <v>15.445701194024327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>
        <f>BY171*VLOOKUP('Données projet'!$B$12,Paramètres!$A$1:$I$89,3,0)*VLOOKUP('Données projet'!$B$12,Paramètres!$A$1:$I$89,5,0)</f>
        <v>0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275.76900776033335</v>
      </c>
      <c r="CE171" s="62">
        <f t="shared" si="148"/>
        <v>299.36898480605191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13.357050982256796</v>
      </c>
      <c r="CL171" s="23">
        <f>EXP(-LN(2)/25)*CL170+(1-EXP(-LN(2)/25))/(LN(2)/25)*Calculateur!CG171*Calculateur!CI171*VLOOKUP('Données projet'!$B$12,Paramètres!$A$1:$I$89,3,0)*0.475*44/12</f>
        <v>1.445079328683182</v>
      </c>
      <c r="CM171" s="23">
        <f>EXP(-LN(2)/2)*CM170+(1-EXP(-LN(2)/2))/(LN(2)/2)*CG171*CJ171*VLOOKUP('Données projet'!$B$12,Paramètres!$A$1:$I$89,3,0)*0.475*44/12</f>
        <v>3.0991065041473477E-15</v>
      </c>
      <c r="CN171" s="24">
        <f t="shared" si="172"/>
        <v>14.802130310939981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-5.6843418860808015E-14</v>
      </c>
      <c r="CU171" s="18">
        <f>CT171*VLOOKUP('Données projet'!$B$13,Paramètres!$A$1:$I$89,3,0)*VLOOKUP('Données projet'!$B$13,Paramètres!$A$1:$I$89,5,0)</f>
        <v>-6.2073013396002344E-14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482.24068797679558</v>
      </c>
      <c r="CZ171" s="62">
        <f t="shared" si="150"/>
        <v>316.28941055521693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103.52147743474433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103.52147743474433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-1.7053025658242404E-13</v>
      </c>
      <c r="DP171" s="18">
        <f>DO171*VLOOKUP('Données projet'!$B$14,Paramètres!$A$1:$I$89,3,0)*VLOOKUP('Données projet'!$B$14,Paramètres!$A$1:$I$89,5,0)</f>
        <v>-1.383341441396624E-13</v>
      </c>
      <c r="DQ171" s="14" t="e">
        <f t="shared" si="176"/>
        <v>#NUM!</v>
      </c>
      <c r="DR171" s="22" t="e">
        <f t="shared" si="177"/>
        <v>#NUM!</v>
      </c>
      <c r="DS171" s="62" t="e">
        <f t="shared" si="125"/>
        <v>#NUM!</v>
      </c>
      <c r="DT171" s="62">
        <f ca="1">AVERAGE(OFFSET($DS$3,0,0,'Données projet'!$E$14+1,1))-AVERAGE(OFFSET($H$3,0,0,'Données projet'!$E$14+1,1))</f>
        <v>325.58538970226539</v>
      </c>
      <c r="DU171" s="62">
        <f t="shared" si="152"/>
        <v>361.81085660423457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16.684726307070797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16.684726307070797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-2.8421709430404007E-13</v>
      </c>
      <c r="EK171" s="18">
        <f>EJ171*VLOOKUP('Données projet'!$B$15,Paramètres!$A$1:$I$89,3,0)*VLOOKUP('Données projet'!$B$15,Paramètres!$A$1:$I$89,5,0)</f>
        <v>-2.7489477361086758E-13</v>
      </c>
      <c r="EL171" s="14" t="e">
        <f t="shared" si="179"/>
        <v>#NUM!</v>
      </c>
      <c r="EM171" s="22" t="e">
        <f t="shared" si="180"/>
        <v>#NUM!</v>
      </c>
      <c r="EN171" s="62" t="e">
        <f t="shared" si="128"/>
        <v>#NUM!</v>
      </c>
      <c r="EO171" s="62">
        <f ca="1">AVERAGE(OFFSET($EN$3,0,0,'Données projet'!$E$15+1,1))-AVERAGE(OFFSET($H$3,0,0,'Données projet'!$E$15+1,1))</f>
        <v>364.22267539944085</v>
      </c>
      <c r="EP171" s="62">
        <f t="shared" si="154"/>
        <v>241.947139538615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73.352361153761677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73.352361153761677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-1.7053025658242404E-13</v>
      </c>
      <c r="FF171" s="18">
        <f>FE171*VLOOKUP('Données projet'!$B$16,Paramètres!$A$1:$I$89,3,0)*VLOOKUP('Données projet'!$B$16,Paramètres!$A$1:$I$89,5,0)</f>
        <v>-1.4897523215040567E-13</v>
      </c>
      <c r="FG171" s="14" t="e">
        <f t="shared" si="182"/>
        <v>#NUM!</v>
      </c>
      <c r="FH171" s="22" t="e">
        <f t="shared" si="183"/>
        <v>#NUM!</v>
      </c>
      <c r="FI171" s="62" t="e">
        <f t="shared" si="131"/>
        <v>#NUM!</v>
      </c>
      <c r="FJ171" s="62">
        <f ca="1">AVERAGE(OFFSET($FI$3,0,0,'Données projet'!$E$16+1,1))-AVERAGE(OFFSET($H$3,0,0,'Données projet'!$E$16+1,1))</f>
        <v>286.59837239471312</v>
      </c>
      <c r="FK171" s="62">
        <f t="shared" si="156"/>
        <v>319.26091328564689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14.481687289950953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14.481687289950953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-1.7053025658242404E-13</v>
      </c>
      <c r="GA171" s="18">
        <f>FZ171*VLOOKUP('Données projet'!$B$17,Paramètres!$A$1:$I$89,3,0)*VLOOKUP('Données projet'!$B$17,Paramètres!$A$1:$I$89,5,0)</f>
        <v>-1.1439169611549005E-13</v>
      </c>
      <c r="GB171" s="14" t="e">
        <f t="shared" si="185"/>
        <v>#NUM!</v>
      </c>
      <c r="GC171" s="22" t="e">
        <f t="shared" si="186"/>
        <v>#NUM!</v>
      </c>
      <c r="GD171" s="62" t="e">
        <f t="shared" si="134"/>
        <v>#NUM!</v>
      </c>
      <c r="GE171" s="62">
        <f ca="1">AVERAGE(OFFSET($GD$3,0,0,'Données projet'!$E$17+1,1))-AVERAGE(OFFSET($H$3,0,0,'Données projet'!$E$17+1,1))</f>
        <v>277.37570531842186</v>
      </c>
      <c r="GF171" s="62">
        <f t="shared" si="158"/>
        <v>310.00874200911312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projet'!$B$17,Paramètres!$A$1:$I$89,3,0)*0.475*44/12</f>
        <v>17.005586428360623</v>
      </c>
      <c r="GM171" s="23">
        <f>EXP(-LN(2)/25)*GM170+(1-EXP(-LN(2)/25))/(LN(2)/25)*Calculateur!GH171*Calculateur!GJ171*VLOOKUP('Données projet'!$B$17,Paramètres!$A$1:$I$89,3,0)*0.475*44/12</f>
        <v>0</v>
      </c>
      <c r="GN171" s="23">
        <f>EXP(-LN(2)/2)*GN170+(1-EXP(-LN(2)/2))/(LN(2)/2)*GH171*GK171*VLOOKUP('Données projet'!$B$17,Paramètres!$A$1:$I$89,3,0)*0.475*44/12</f>
        <v>0</v>
      </c>
      <c r="GO171" s="23">
        <f t="shared" si="187"/>
        <v>17.005586428360623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-5.6843418860808015E-14</v>
      </c>
      <c r="O172" s="14">
        <f>N172*VLOOKUP('Données projet'!$B$9,Paramètres!$A$1:$I$89,3,0)*VLOOKUP('Données projet'!$B$9,Paramètres!$A$1:$I$89,5,0)</f>
        <v>-4.9658410716801891E-14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401.34220206028908</v>
      </c>
      <c r="T172" s="62">
        <f t="shared" si="142"/>
        <v>265.33314259106987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81.193187523292394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81.193187523292394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1.7053025658242404E-13</v>
      </c>
      <c r="AJ172" s="14">
        <f>AI172*VLOOKUP('Données projet'!$B$10,Paramètres!$A$1:$I$89,3,0)*VLOOKUP('Données projet'!$B$10,Paramètres!$A$1:$I$89,5,0)</f>
        <v>7.9808160080574461E-14</v>
      </c>
      <c r="AK172" s="14">
        <f t="shared" si="164"/>
        <v>1.2308384591775343E-12</v>
      </c>
      <c r="AL172" s="22">
        <f t="shared" si="165"/>
        <v>2.282709528541206E-12</v>
      </c>
      <c r="AM172" s="62">
        <f t="shared" si="113"/>
        <v>288.57137590097869</v>
      </c>
      <c r="AN172" s="62">
        <f ca="1">AVERAGE(OFFSET($AM$3,0,0,'Données projet'!$E$10+1,1))-AVERAGE(OFFSET($H$3,0,0,'Données projet'!$E$10+1,1))</f>
        <v>253.48761861464732</v>
      </c>
      <c r="AO172" s="62">
        <f t="shared" si="144"/>
        <v>219.50855998133855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32.287805036024103</v>
      </c>
      <c r="AV172" s="23">
        <f>EXP(-LN(2)/25)*AV171+(1-EXP(-LN(2)/25))/(LN(2)/25)*Calculateur!AQ172*Calculateur!AS172*VLOOKUP('Données projet'!$B$10,Paramètres!$A$1:$I$89,3,0)*0.475*44/12</f>
        <v>4.2813739350468358</v>
      </c>
      <c r="AW172" s="23">
        <f>EXP(-LN(2)/2)*AW171+(1-EXP(-LN(2)/2))/(LN(2)/2)*AQ172*AT172*VLOOKUP('Données projet'!$B$10,Paramètres!$A$1:$I$89,3,0)*0.475*44/12</f>
        <v>9.8125576480983804E-10</v>
      </c>
      <c r="AX172" s="23">
        <f t="shared" si="166"/>
        <v>36.569178972052192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482.85256243111911</v>
      </c>
      <c r="BJ172" s="62">
        <f t="shared" si="146"/>
        <v>517.78430032567064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13.664480722947539</v>
      </c>
      <c r="BQ172" s="23">
        <f>EXP(-LN(2)/25)*BQ171+(1-EXP(-LN(2)/25))/(LN(2)/25)*Calculateur!BL172*Calculateur!BN172*VLOOKUP('Données projet'!$B$11,Paramètres!$A$1:$I$89,3,0)*0.475*44/12</f>
        <v>1.4666750175098293</v>
      </c>
      <c r="BR172" s="23">
        <f>EXP(-LN(2)/2)*BR171+(1-EXP(-LN(2)/2))/(LN(2)/2)*BL172*BO172*VLOOKUP('Données projet'!$B$11,Paramètres!$A$1:$I$89,3,0)*0.475*44/12</f>
        <v>2.28667745186288E-15</v>
      </c>
      <c r="BS172" s="24">
        <f t="shared" si="169"/>
        <v>15.13115574045737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>
        <f>BY172*VLOOKUP('Données projet'!$B$12,Paramètres!$A$1:$I$89,3,0)*VLOOKUP('Données projet'!$B$12,Paramètres!$A$1:$I$89,5,0)</f>
        <v>0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275.76900776033335</v>
      </c>
      <c r="CE172" s="62">
        <f t="shared" si="148"/>
        <v>299.36898480605191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13.095127359491391</v>
      </c>
      <c r="CL172" s="23">
        <f>EXP(-LN(2)/25)*CL171+(1-EXP(-LN(2)/25))/(LN(2)/25)*Calculateur!CG172*Calculateur!CI172*VLOOKUP('Données projet'!$B$12,Paramètres!$A$1:$I$89,3,0)*0.475*44/12</f>
        <v>1.4055635584469213</v>
      </c>
      <c r="CM172" s="23">
        <f>EXP(-LN(2)/2)*CM171+(1-EXP(-LN(2)/2))/(LN(2)/2)*CG172*CJ172*VLOOKUP('Données projet'!$B$12,Paramètres!$A$1:$I$89,3,0)*0.475*44/12</f>
        <v>2.1913992247019248E-15</v>
      </c>
      <c r="CN172" s="24">
        <f t="shared" si="172"/>
        <v>14.500690917938314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-5.6843418860808015E-14</v>
      </c>
      <c r="CU172" s="18">
        <f>CT172*VLOOKUP('Données projet'!$B$13,Paramètres!$A$1:$I$89,3,0)*VLOOKUP('Données projet'!$B$13,Paramètres!$A$1:$I$89,5,0)</f>
        <v>-6.2073013396002344E-14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482.24068797679558</v>
      </c>
      <c r="CZ172" s="62">
        <f t="shared" si="150"/>
        <v>316.28941055521693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101.49148440411548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101.49148440411548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-1.7053025658242404E-13</v>
      </c>
      <c r="DP172" s="18">
        <f>DO172*VLOOKUP('Données projet'!$B$14,Paramètres!$A$1:$I$89,3,0)*VLOOKUP('Données projet'!$B$14,Paramètres!$A$1:$I$89,5,0)</f>
        <v>-1.383341441396624E-13</v>
      </c>
      <c r="DQ172" s="14" t="e">
        <f t="shared" si="176"/>
        <v>#NUM!</v>
      </c>
      <c r="DR172" s="22" t="e">
        <f t="shared" si="177"/>
        <v>#NUM!</v>
      </c>
      <c r="DS172" s="62" t="e">
        <f t="shared" si="125"/>
        <v>#NUM!</v>
      </c>
      <c r="DT172" s="62">
        <f ca="1">AVERAGE(OFFSET($DS$3,0,0,'Données projet'!$E$14+1,1))-AVERAGE(OFFSET($H$3,0,0,'Données projet'!$E$14+1,1))</f>
        <v>325.58538970226539</v>
      </c>
      <c r="DU172" s="62">
        <f t="shared" si="152"/>
        <v>361.81085660423457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16.357549000867323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16.357549000867323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-2.8421709430404007E-13</v>
      </c>
      <c r="EK172" s="18">
        <f>EJ172*VLOOKUP('Données projet'!$B$15,Paramètres!$A$1:$I$89,3,0)*VLOOKUP('Données projet'!$B$15,Paramètres!$A$1:$I$89,5,0)</f>
        <v>-2.7489477361086758E-13</v>
      </c>
      <c r="EL172" s="14" t="e">
        <f t="shared" si="179"/>
        <v>#NUM!</v>
      </c>
      <c r="EM172" s="22" t="e">
        <f t="shared" si="180"/>
        <v>#NUM!</v>
      </c>
      <c r="EN172" s="62" t="e">
        <f t="shared" si="128"/>
        <v>#NUM!</v>
      </c>
      <c r="EO172" s="62">
        <f ca="1">AVERAGE(OFFSET($EN$3,0,0,'Données projet'!$E$15+1,1))-AVERAGE(OFFSET($H$3,0,0,'Données projet'!$E$15+1,1))</f>
        <v>364.22267539944085</v>
      </c>
      <c r="EP172" s="62">
        <f t="shared" si="154"/>
        <v>241.947139538615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71.913966092058956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71.913966092058956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-1.7053025658242404E-13</v>
      </c>
      <c r="FF172" s="18">
        <f>FE172*VLOOKUP('Données projet'!$B$16,Paramètres!$A$1:$I$89,3,0)*VLOOKUP('Données projet'!$B$16,Paramètres!$A$1:$I$89,5,0)</f>
        <v>-1.4897523215040567E-13</v>
      </c>
      <c r="FG172" s="14" t="e">
        <f t="shared" si="182"/>
        <v>#NUM!</v>
      </c>
      <c r="FH172" s="22" t="e">
        <f t="shared" si="183"/>
        <v>#NUM!</v>
      </c>
      <c r="FI172" s="62" t="e">
        <f t="shared" si="131"/>
        <v>#NUM!</v>
      </c>
      <c r="FJ172" s="62">
        <f ca="1">AVERAGE(OFFSET($FI$3,0,0,'Données projet'!$E$16+1,1))-AVERAGE(OFFSET($H$3,0,0,'Données projet'!$E$16+1,1))</f>
        <v>286.59837239471312</v>
      </c>
      <c r="FK172" s="62">
        <f t="shared" si="156"/>
        <v>319.26091328564689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14.19771023515208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14.19771023515208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-1.7053025658242404E-13</v>
      </c>
      <c r="GA172" s="18">
        <f>FZ172*VLOOKUP('Données projet'!$B$17,Paramètres!$A$1:$I$89,3,0)*VLOOKUP('Données projet'!$B$17,Paramètres!$A$1:$I$89,5,0)</f>
        <v>-1.1439169611549005E-13</v>
      </c>
      <c r="GB172" s="14" t="e">
        <f t="shared" si="185"/>
        <v>#NUM!</v>
      </c>
      <c r="GC172" s="22" t="e">
        <f t="shared" si="186"/>
        <v>#NUM!</v>
      </c>
      <c r="GD172" s="62" t="e">
        <f t="shared" si="134"/>
        <v>#NUM!</v>
      </c>
      <c r="GE172" s="62">
        <f ca="1">AVERAGE(OFFSET($GD$3,0,0,'Données projet'!$E$17+1,1))-AVERAGE(OFFSET($H$3,0,0,'Données projet'!$E$17+1,1))</f>
        <v>277.37570531842186</v>
      </c>
      <c r="GF172" s="62">
        <f t="shared" si="158"/>
        <v>310.00874200911312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projet'!$B$17,Paramètres!$A$1:$I$89,3,0)*0.475*44/12</f>
        <v>16.672117250884003</v>
      </c>
      <c r="GM172" s="23">
        <f>EXP(-LN(2)/25)*GM171+(1-EXP(-LN(2)/25))/(LN(2)/25)*Calculateur!GH172*Calculateur!GJ172*VLOOKUP('Données projet'!$B$17,Paramètres!$A$1:$I$89,3,0)*0.475*44/12</f>
        <v>0</v>
      </c>
      <c r="GN172" s="23">
        <f>EXP(-LN(2)/2)*GN171+(1-EXP(-LN(2)/2))/(LN(2)/2)*GH172*GK172*VLOOKUP('Données projet'!$B$17,Paramètres!$A$1:$I$89,3,0)*0.475*44/12</f>
        <v>0</v>
      </c>
      <c r="GO172" s="23">
        <f t="shared" si="187"/>
        <v>16.672117250884003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-5.6843418860808015E-14</v>
      </c>
      <c r="O173" s="14">
        <f>N173*VLOOKUP('Données projet'!$B$9,Paramètres!$A$1:$I$89,3,0)*VLOOKUP('Données projet'!$B$9,Paramètres!$A$1:$I$89,5,0)</f>
        <v>-4.9658410716801891E-14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401.34220206028908</v>
      </c>
      <c r="T173" s="62">
        <f t="shared" si="142"/>
        <v>265.33314259106987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79.601038638915028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79.601038638915028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1.7053025658242404E-13</v>
      </c>
      <c r="AJ173" s="14">
        <f>AI173*VLOOKUP('Données projet'!$B$10,Paramètres!$A$1:$I$89,3,0)*VLOOKUP('Données projet'!$B$10,Paramètres!$A$1:$I$89,5,0)</f>
        <v>7.9808160080574461E-14</v>
      </c>
      <c r="AK173" s="14">
        <f t="shared" si="164"/>
        <v>1.2308384591775343E-12</v>
      </c>
      <c r="AL173" s="22">
        <f t="shared" si="165"/>
        <v>2.282709528541206E-12</v>
      </c>
      <c r="AM173" s="62">
        <f t="shared" si="113"/>
        <v>288.65398521628816</v>
      </c>
      <c r="AN173" s="62">
        <f ca="1">AVERAGE(OFFSET($AM$3,0,0,'Données projet'!$E$10+1,1))-AVERAGE(OFFSET($H$3,0,0,'Données projet'!$E$10+1,1))</f>
        <v>253.48761861464732</v>
      </c>
      <c r="AO173" s="62">
        <f t="shared" si="144"/>
        <v>219.50855998133855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31.654660872884161</v>
      </c>
      <c r="AV173" s="23">
        <f>EXP(-LN(2)/25)*AV172+(1-EXP(-LN(2)/25))/(LN(2)/25)*Calculateur!AQ173*Calculateur!AS173*VLOOKUP('Données projet'!$B$10,Paramètres!$A$1:$I$89,3,0)*0.475*44/12</f>
        <v>4.1642995396453104</v>
      </c>
      <c r="AW173" s="23">
        <f>EXP(-LN(2)/2)*AW172+(1-EXP(-LN(2)/2))/(LN(2)/2)*AQ173*AT173*VLOOKUP('Données projet'!$B$10,Paramètres!$A$1:$I$89,3,0)*0.475*44/12</f>
        <v>6.9385260537542849E-10</v>
      </c>
      <c r="AX173" s="23">
        <f t="shared" si="166"/>
        <v>35.818960413223323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482.85256243111911</v>
      </c>
      <c r="BJ173" s="62">
        <f t="shared" si="146"/>
        <v>517.78430032567064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13.396528590480814</v>
      </c>
      <c r="BQ173" s="23">
        <f>EXP(-LN(2)/25)*BQ172+(1-EXP(-LN(2)/25))/(LN(2)/25)*Calculateur!BL173*Calculateur!BN173*VLOOKUP('Données projet'!$B$11,Paramètres!$A$1:$I$89,3,0)*0.475*44/12</f>
        <v>1.4265687120269359</v>
      </c>
      <c r="BR173" s="23">
        <f>EXP(-LN(2)/2)*BR172+(1-EXP(-LN(2)/2))/(LN(2)/2)*BL173*BO173*VLOOKUP('Données projet'!$B$11,Paramètres!$A$1:$I$89,3,0)*0.475*44/12</f>
        <v>1.6169251325986176E-15</v>
      </c>
      <c r="BS173" s="24">
        <f t="shared" si="169"/>
        <v>14.823097302507753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>
        <f>BY173*VLOOKUP('Données projet'!$B$12,Paramètres!$A$1:$I$89,3,0)*VLOOKUP('Données projet'!$B$12,Paramètres!$A$1:$I$89,5,0)</f>
        <v>0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275.76900776033335</v>
      </c>
      <c r="CE173" s="62">
        <f t="shared" si="148"/>
        <v>299.36898480605191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12.83833989921078</v>
      </c>
      <c r="CL173" s="23">
        <f>EXP(-LN(2)/25)*CL172+(1-EXP(-LN(2)/25))/(LN(2)/25)*Calculateur!CG173*Calculateur!CI173*VLOOKUP('Données projet'!$B$12,Paramètres!$A$1:$I$89,3,0)*0.475*44/12</f>
        <v>1.367128349025815</v>
      </c>
      <c r="CM173" s="23">
        <f>EXP(-LN(2)/2)*CM172+(1-EXP(-LN(2)/2))/(LN(2)/2)*CG173*CJ173*VLOOKUP('Données projet'!$B$12,Paramètres!$A$1:$I$89,3,0)*0.475*44/12</f>
        <v>1.5495532520736738E-15</v>
      </c>
      <c r="CN173" s="24">
        <f t="shared" si="172"/>
        <v>14.205468248236597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-5.6843418860808015E-14</v>
      </c>
      <c r="CU173" s="18">
        <f>CT173*VLOOKUP('Données projet'!$B$13,Paramètres!$A$1:$I$89,3,0)*VLOOKUP('Données projet'!$B$13,Paramètres!$A$1:$I$89,5,0)</f>
        <v>-6.2073013396002344E-14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482.24068797679558</v>
      </c>
      <c r="CZ173" s="62">
        <f t="shared" si="150"/>
        <v>316.28941055521693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99.501298298643789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99.501298298643789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-1.7053025658242404E-13</v>
      </c>
      <c r="DP173" s="18">
        <f>DO173*VLOOKUP('Données projet'!$B$14,Paramètres!$A$1:$I$89,3,0)*VLOOKUP('Données projet'!$B$14,Paramètres!$A$1:$I$89,5,0)</f>
        <v>-1.383341441396624E-13</v>
      </c>
      <c r="DQ173" s="14" t="e">
        <f t="shared" si="176"/>
        <v>#NUM!</v>
      </c>
      <c r="DR173" s="22" t="e">
        <f t="shared" si="177"/>
        <v>#NUM!</v>
      </c>
      <c r="DS173" s="62" t="e">
        <f t="shared" si="125"/>
        <v>#NUM!</v>
      </c>
      <c r="DT173" s="62">
        <f ca="1">AVERAGE(OFFSET($DS$3,0,0,'Données projet'!$E$14+1,1))-AVERAGE(OFFSET($H$3,0,0,'Données projet'!$E$14+1,1))</f>
        <v>325.58538970226539</v>
      </c>
      <c r="DU173" s="62">
        <f t="shared" si="152"/>
        <v>361.81085660423457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16.036787442080048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16.036787442080048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-2.8421709430404007E-13</v>
      </c>
      <c r="EK173" s="18">
        <f>EJ173*VLOOKUP('Données projet'!$B$15,Paramètres!$A$1:$I$89,3,0)*VLOOKUP('Données projet'!$B$15,Paramètres!$A$1:$I$89,5,0)</f>
        <v>-2.7489477361086758E-13</v>
      </c>
      <c r="EL173" s="14" t="e">
        <f t="shared" si="179"/>
        <v>#NUM!</v>
      </c>
      <c r="EM173" s="22" t="e">
        <f t="shared" si="180"/>
        <v>#NUM!</v>
      </c>
      <c r="EN173" s="62" t="e">
        <f t="shared" si="128"/>
        <v>#NUM!</v>
      </c>
      <c r="EO173" s="62">
        <f ca="1">AVERAGE(OFFSET($EN$3,0,0,'Données projet'!$E$15+1,1))-AVERAGE(OFFSET($H$3,0,0,'Données projet'!$E$15+1,1))</f>
        <v>364.22267539944085</v>
      </c>
      <c r="EP173" s="62">
        <f t="shared" si="154"/>
        <v>241.947139538615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70.503777080181862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70.503777080181862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-1.7053025658242404E-13</v>
      </c>
      <c r="FF173" s="18">
        <f>FE173*VLOOKUP('Données projet'!$B$16,Paramètres!$A$1:$I$89,3,0)*VLOOKUP('Données projet'!$B$16,Paramètres!$A$1:$I$89,5,0)</f>
        <v>-1.4897523215040567E-13</v>
      </c>
      <c r="FG173" s="14" t="e">
        <f t="shared" si="182"/>
        <v>#NUM!</v>
      </c>
      <c r="FH173" s="22" t="e">
        <f t="shared" si="183"/>
        <v>#NUM!</v>
      </c>
      <c r="FI173" s="62" t="e">
        <f t="shared" si="131"/>
        <v>#NUM!</v>
      </c>
      <c r="FJ173" s="62">
        <f ca="1">AVERAGE(OFFSET($FI$3,0,0,'Données projet'!$E$16+1,1))-AVERAGE(OFFSET($H$3,0,0,'Données projet'!$E$16+1,1))</f>
        <v>286.59837239471312</v>
      </c>
      <c r="FK173" s="62">
        <f t="shared" si="156"/>
        <v>319.26091328564689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13.919301797188911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13.919301797188911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-1.7053025658242404E-13</v>
      </c>
      <c r="GA173" s="18">
        <f>FZ173*VLOOKUP('Données projet'!$B$17,Paramètres!$A$1:$I$89,3,0)*VLOOKUP('Données projet'!$B$17,Paramètres!$A$1:$I$89,5,0)</f>
        <v>-1.1439169611549005E-13</v>
      </c>
      <c r="GB173" s="14" t="e">
        <f t="shared" si="185"/>
        <v>#NUM!</v>
      </c>
      <c r="GC173" s="22" t="e">
        <f t="shared" si="186"/>
        <v>#NUM!</v>
      </c>
      <c r="GD173" s="62" t="e">
        <f t="shared" si="134"/>
        <v>#NUM!</v>
      </c>
      <c r="GE173" s="62">
        <f ca="1">AVERAGE(OFFSET($GD$3,0,0,'Données projet'!$E$17+1,1))-AVERAGE(OFFSET($H$3,0,0,'Données projet'!$E$17+1,1))</f>
        <v>277.37570531842186</v>
      </c>
      <c r="GF173" s="62">
        <f t="shared" si="158"/>
        <v>310.00874200911312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projet'!$B$17,Paramètres!$A$1:$I$89,3,0)*0.475*44/12</f>
        <v>16.345187200581588</v>
      </c>
      <c r="GM173" s="23">
        <f>EXP(-LN(2)/25)*GM172+(1-EXP(-LN(2)/25))/(LN(2)/25)*Calculateur!GH173*Calculateur!GJ173*VLOOKUP('Données projet'!$B$17,Paramètres!$A$1:$I$89,3,0)*0.475*44/12</f>
        <v>0</v>
      </c>
      <c r="GN173" s="23">
        <f>EXP(-LN(2)/2)*GN172+(1-EXP(-LN(2)/2))/(LN(2)/2)*GH173*GK173*VLOOKUP('Données projet'!$B$17,Paramètres!$A$1:$I$89,3,0)*0.475*44/12</f>
        <v>0</v>
      </c>
      <c r="GO173" s="23">
        <f t="shared" si="187"/>
        <v>16.345187200581588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-5.6843418860808015E-14</v>
      </c>
      <c r="O174" s="14">
        <f>N174*VLOOKUP('Données projet'!$B$9,Paramètres!$A$1:$I$89,3,0)*VLOOKUP('Données projet'!$B$9,Paramètres!$A$1:$I$89,5,0)</f>
        <v>-4.9658410716801891E-14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401.34220206028908</v>
      </c>
      <c r="T174" s="62">
        <f t="shared" si="142"/>
        <v>265.33314259106987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78.040110823045381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78.040110823045381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1.7053025658242404E-13</v>
      </c>
      <c r="AJ174" s="14">
        <f>AI174*VLOOKUP('Données projet'!$B$10,Paramètres!$A$1:$I$89,3,0)*VLOOKUP('Données projet'!$B$10,Paramètres!$A$1:$I$89,5,0)</f>
        <v>7.9808160080574461E-14</v>
      </c>
      <c r="AK174" s="14">
        <f t="shared" si="164"/>
        <v>1.2308384591775343E-12</v>
      </c>
      <c r="AL174" s="22">
        <f t="shared" si="165"/>
        <v>2.282709528541206E-12</v>
      </c>
      <c r="AM174" s="62">
        <f t="shared" si="113"/>
        <v>288.73516144466379</v>
      </c>
      <c r="AN174" s="62">
        <f ca="1">AVERAGE(OFFSET($AM$3,0,0,'Données projet'!$E$10+1,1))-AVERAGE(OFFSET($H$3,0,0,'Données projet'!$E$10+1,1))</f>
        <v>253.48761861464732</v>
      </c>
      <c r="AO174" s="62">
        <f t="shared" si="144"/>
        <v>219.50855998133855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31.033932280603583</v>
      </c>
      <c r="AV174" s="23">
        <f>EXP(-LN(2)/25)*AV173+(1-EXP(-LN(2)/25))/(LN(2)/25)*Calculateur!AQ174*Calculateur!AS174*VLOOKUP('Données projet'!$B$10,Paramètres!$A$1:$I$89,3,0)*0.475*44/12</f>
        <v>4.0504265497427143</v>
      </c>
      <c r="AW174" s="23">
        <f>EXP(-LN(2)/2)*AW173+(1-EXP(-LN(2)/2))/(LN(2)/2)*AQ174*AT174*VLOOKUP('Données projet'!$B$10,Paramètres!$A$1:$I$89,3,0)*0.475*44/12</f>
        <v>4.9062788240491902E-10</v>
      </c>
      <c r="AX174" s="23">
        <f t="shared" si="166"/>
        <v>35.084358830836926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482.85256243111911</v>
      </c>
      <c r="BJ174" s="62">
        <f t="shared" si="146"/>
        <v>517.78430032567064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13.133830835897099</v>
      </c>
      <c r="BQ174" s="23">
        <f>EXP(-LN(2)/25)*BQ173+(1-EXP(-LN(2)/25))/(LN(2)/25)*Calculateur!BL174*Calculateur!BN174*VLOOKUP('Données projet'!$B$11,Paramètres!$A$1:$I$89,3,0)*0.475*44/12</f>
        <v>1.3875591155765712</v>
      </c>
      <c r="BR174" s="23">
        <f>EXP(-LN(2)/2)*BR173+(1-EXP(-LN(2)/2))/(LN(2)/2)*BL174*BO174*VLOOKUP('Données projet'!$B$11,Paramètres!$A$1:$I$89,3,0)*0.475*44/12</f>
        <v>1.14333872593144E-15</v>
      </c>
      <c r="BS174" s="24">
        <f t="shared" si="169"/>
        <v>14.521389951473672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>
        <f>BY174*VLOOKUP('Données projet'!$B$12,Paramètres!$A$1:$I$89,3,0)*VLOOKUP('Données projet'!$B$12,Paramètres!$A$1:$I$89,5,0)</f>
        <v>0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275.76900776033335</v>
      </c>
      <c r="CE174" s="62">
        <f t="shared" si="148"/>
        <v>299.36898480605191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12.586587884401386</v>
      </c>
      <c r="CL174" s="23">
        <f>EXP(-LN(2)/25)*CL173+(1-EXP(-LN(2)/25))/(LN(2)/25)*Calculateur!CG174*Calculateur!CI174*VLOOKUP('Données projet'!$B$12,Paramètres!$A$1:$I$89,3,0)*0.475*44/12</f>
        <v>1.3297441524275488</v>
      </c>
      <c r="CM174" s="23">
        <f>EXP(-LN(2)/2)*CM173+(1-EXP(-LN(2)/2))/(LN(2)/2)*CG174*CJ174*VLOOKUP('Données projet'!$B$12,Paramètres!$A$1:$I$89,3,0)*0.475*44/12</f>
        <v>1.0956996123509624E-15</v>
      </c>
      <c r="CN174" s="24">
        <f t="shared" si="172"/>
        <v>13.916332036828937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-5.6843418860808015E-14</v>
      </c>
      <c r="CU174" s="18">
        <f>CT174*VLOOKUP('Données projet'!$B$13,Paramètres!$A$1:$I$89,3,0)*VLOOKUP('Données projet'!$B$13,Paramètres!$A$1:$I$89,5,0)</f>
        <v>-6.2073013396002344E-14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482.24068797679558</v>
      </c>
      <c r="CZ174" s="62">
        <f t="shared" si="150"/>
        <v>316.28941055521693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97.550138528806727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97.550138528806727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-1.7053025658242404E-13</v>
      </c>
      <c r="DP174" s="18">
        <f>DO174*VLOOKUP('Données projet'!$B$14,Paramètres!$A$1:$I$89,3,0)*VLOOKUP('Données projet'!$B$14,Paramètres!$A$1:$I$89,5,0)</f>
        <v>-1.383341441396624E-13</v>
      </c>
      <c r="DQ174" s="14" t="e">
        <f t="shared" si="176"/>
        <v>#NUM!</v>
      </c>
      <c r="DR174" s="22" t="e">
        <f t="shared" si="177"/>
        <v>#NUM!</v>
      </c>
      <c r="DS174" s="62" t="e">
        <f t="shared" si="125"/>
        <v>#NUM!</v>
      </c>
      <c r="DT174" s="62">
        <f ca="1">AVERAGE(OFFSET($DS$3,0,0,'Données projet'!$E$14+1,1))-AVERAGE(OFFSET($H$3,0,0,'Données projet'!$E$14+1,1))</f>
        <v>325.58538970226539</v>
      </c>
      <c r="DU174" s="62">
        <f t="shared" si="152"/>
        <v>361.81085660423457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15.722315821815357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15.722315821815357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-2.8421709430404007E-13</v>
      </c>
      <c r="EK174" s="18">
        <f>EJ174*VLOOKUP('Données projet'!$B$15,Paramètres!$A$1:$I$89,3,0)*VLOOKUP('Données projet'!$B$15,Paramètres!$A$1:$I$89,5,0)</f>
        <v>-2.7489477361086758E-13</v>
      </c>
      <c r="EL174" s="14" t="e">
        <f t="shared" si="179"/>
        <v>#NUM!</v>
      </c>
      <c r="EM174" s="22" t="e">
        <f t="shared" si="180"/>
        <v>#NUM!</v>
      </c>
      <c r="EN174" s="62" t="e">
        <f t="shared" si="128"/>
        <v>#NUM!</v>
      </c>
      <c r="EO174" s="62">
        <f ca="1">AVERAGE(OFFSET($EN$3,0,0,'Données projet'!$E$15+1,1))-AVERAGE(OFFSET($H$3,0,0,'Données projet'!$E$15+1,1))</f>
        <v>364.22267539944085</v>
      </c>
      <c r="EP174" s="62">
        <f t="shared" si="154"/>
        <v>241.947139538615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69.121241014697318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69.121241014697318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-1.7053025658242404E-13</v>
      </c>
      <c r="FF174" s="18">
        <f>FE174*VLOOKUP('Données projet'!$B$16,Paramètres!$A$1:$I$89,3,0)*VLOOKUP('Données projet'!$B$16,Paramètres!$A$1:$I$89,5,0)</f>
        <v>-1.4897523215040567E-13</v>
      </c>
      <c r="FG174" s="14" t="e">
        <f t="shared" si="182"/>
        <v>#NUM!</v>
      </c>
      <c r="FH174" s="22" t="e">
        <f t="shared" si="183"/>
        <v>#NUM!</v>
      </c>
      <c r="FI174" s="62" t="e">
        <f t="shared" si="131"/>
        <v>#NUM!</v>
      </c>
      <c r="FJ174" s="62">
        <f ca="1">AVERAGE(OFFSET($FI$3,0,0,'Données projet'!$E$16+1,1))-AVERAGE(OFFSET($H$3,0,0,'Données projet'!$E$16+1,1))</f>
        <v>286.59837239471312</v>
      </c>
      <c r="FK174" s="62">
        <f t="shared" si="156"/>
        <v>319.26091328564689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13.646352778881822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13.646352778881822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-1.7053025658242404E-13</v>
      </c>
      <c r="GA174" s="18">
        <f>FZ174*VLOOKUP('Données projet'!$B$17,Paramètres!$A$1:$I$89,3,0)*VLOOKUP('Données projet'!$B$17,Paramètres!$A$1:$I$89,5,0)</f>
        <v>-1.1439169611549005E-13</v>
      </c>
      <c r="GB174" s="14" t="e">
        <f t="shared" si="185"/>
        <v>#NUM!</v>
      </c>
      <c r="GC174" s="22" t="e">
        <f t="shared" si="186"/>
        <v>#NUM!</v>
      </c>
      <c r="GD174" s="62" t="e">
        <f t="shared" si="134"/>
        <v>#NUM!</v>
      </c>
      <c r="GE174" s="62">
        <f ca="1">AVERAGE(OFFSET($GD$3,0,0,'Données projet'!$E$17+1,1))-AVERAGE(OFFSET($H$3,0,0,'Données projet'!$E$17+1,1))</f>
        <v>277.37570531842186</v>
      </c>
      <c r="GF174" s="62">
        <f t="shared" si="158"/>
        <v>310.00874200911312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projet'!$B$17,Paramètres!$A$1:$I$89,3,0)*0.475*44/12</f>
        <v>16.02466804915796</v>
      </c>
      <c r="GM174" s="23">
        <f>EXP(-LN(2)/25)*GM173+(1-EXP(-LN(2)/25))/(LN(2)/25)*Calculateur!GH174*Calculateur!GJ174*VLOOKUP('Données projet'!$B$17,Paramètres!$A$1:$I$89,3,0)*0.475*44/12</f>
        <v>0</v>
      </c>
      <c r="GN174" s="23">
        <f>EXP(-LN(2)/2)*GN173+(1-EXP(-LN(2)/2))/(LN(2)/2)*GH174*GK174*VLOOKUP('Données projet'!$B$17,Paramètres!$A$1:$I$89,3,0)*0.475*44/12</f>
        <v>0</v>
      </c>
      <c r="GO174" s="23">
        <f t="shared" si="187"/>
        <v>16.02466804915796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-5.6843418860808015E-14</v>
      </c>
      <c r="O175" s="14">
        <f>N175*VLOOKUP('Données projet'!$B$9,Paramètres!$A$1:$I$89,3,0)*VLOOKUP('Données projet'!$B$9,Paramètres!$A$1:$I$89,5,0)</f>
        <v>-4.9658410716801891E-14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401.34220206028908</v>
      </c>
      <c r="T175" s="62">
        <f t="shared" si="142"/>
        <v>265.33314259106987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76.509791849572977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76.509791849572977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1.7053025658242404E-13</v>
      </c>
      <c r="AJ175" s="14">
        <f>AI175*VLOOKUP('Données projet'!$B$10,Paramètres!$A$1:$I$89,3,0)*VLOOKUP('Données projet'!$B$10,Paramètres!$A$1:$I$89,5,0)</f>
        <v>7.9808160080574461E-14</v>
      </c>
      <c r="AK175" s="14">
        <f t="shared" si="164"/>
        <v>1.2308384591775343E-12</v>
      </c>
      <c r="AL175" s="22">
        <f t="shared" si="165"/>
        <v>2.282709528541206E-12</v>
      </c>
      <c r="AM175" s="62">
        <f t="shared" si="113"/>
        <v>288.81492944695992</v>
      </c>
      <c r="AN175" s="62">
        <f ca="1">AVERAGE(OFFSET($AM$3,0,0,'Données projet'!$E$10+1,1))-AVERAGE(OFFSET($H$3,0,0,'Données projet'!$E$10+1,1))</f>
        <v>253.48761861464732</v>
      </c>
      <c r="AO175" s="62">
        <f t="shared" si="144"/>
        <v>219.50855998133855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30.42537579741057</v>
      </c>
      <c r="AV175" s="23">
        <f>EXP(-LN(2)/25)*AV174+(1-EXP(-LN(2)/25))/(LN(2)/25)*Calculateur!AQ175*Calculateur!AS175*VLOOKUP('Données projet'!$B$10,Paramètres!$A$1:$I$89,3,0)*0.475*44/12</f>
        <v>3.9396674227373247</v>
      </c>
      <c r="AW175" s="23">
        <f>EXP(-LN(2)/2)*AW174+(1-EXP(-LN(2)/2))/(LN(2)/2)*AQ175*AT175*VLOOKUP('Données projet'!$B$10,Paramètres!$A$1:$I$89,3,0)*0.475*44/12</f>
        <v>3.4692630268771425E-10</v>
      </c>
      <c r="AX175" s="23">
        <f t="shared" si="166"/>
        <v>34.365043220494826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482.85256243111911</v>
      </c>
      <c r="BJ175" s="62">
        <f t="shared" si="146"/>
        <v>517.78430032567064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12.876284424050962</v>
      </c>
      <c r="BQ175" s="23">
        <f>EXP(-LN(2)/25)*BQ174+(1-EXP(-LN(2)/25))/(LN(2)/25)*Calculateur!BL175*Calculateur!BN175*VLOOKUP('Données projet'!$B$11,Paramètres!$A$1:$I$89,3,0)*0.475*44/12</f>
        <v>1.3496162385925672</v>
      </c>
      <c r="BR175" s="23">
        <f>EXP(-LN(2)/2)*BR174+(1-EXP(-LN(2)/2))/(LN(2)/2)*BL175*BO175*VLOOKUP('Données projet'!$B$11,Paramètres!$A$1:$I$89,3,0)*0.475*44/12</f>
        <v>8.0846256629930879E-16</v>
      </c>
      <c r="BS175" s="24">
        <f t="shared" si="169"/>
        <v>14.225900662643529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>
        <f>BY175*VLOOKUP('Données projet'!$B$12,Paramètres!$A$1:$I$89,3,0)*VLOOKUP('Données projet'!$B$12,Paramètres!$A$1:$I$89,5,0)</f>
        <v>0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275.76900776033335</v>
      </c>
      <c r="CE175" s="62">
        <f t="shared" si="148"/>
        <v>299.36898480605191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12.339772573048837</v>
      </c>
      <c r="CL175" s="23">
        <f>EXP(-LN(2)/25)*CL174+(1-EXP(-LN(2)/25))/(LN(2)/25)*Calculateur!CG175*Calculateur!CI175*VLOOKUP('Données projet'!$B$12,Paramètres!$A$1:$I$89,3,0)*0.475*44/12</f>
        <v>1.2933822286512118</v>
      </c>
      <c r="CM175" s="23">
        <f>EXP(-LN(2)/2)*CM174+(1-EXP(-LN(2)/2))/(LN(2)/2)*CG175*CJ175*VLOOKUP('Données projet'!$B$12,Paramètres!$A$1:$I$89,3,0)*0.475*44/12</f>
        <v>7.7477662603683692E-16</v>
      </c>
      <c r="CN175" s="24">
        <f t="shared" si="172"/>
        <v>13.633154801700048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-5.6843418860808015E-14</v>
      </c>
      <c r="CU175" s="18">
        <f>CT175*VLOOKUP('Données projet'!$B$13,Paramètres!$A$1:$I$89,3,0)*VLOOKUP('Données projet'!$B$13,Paramètres!$A$1:$I$89,5,0)</f>
        <v>-6.2073013396002344E-14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482.24068797679558</v>
      </c>
      <c r="CZ175" s="62">
        <f t="shared" si="150"/>
        <v>316.28941055521693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95.637239811966225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95.637239811966225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-1.7053025658242404E-13</v>
      </c>
      <c r="DP175" s="18">
        <f>DO175*VLOOKUP('Données projet'!$B$14,Paramètres!$A$1:$I$89,3,0)*VLOOKUP('Données projet'!$B$14,Paramètres!$A$1:$I$89,5,0)</f>
        <v>-1.383341441396624E-13</v>
      </c>
      <c r="DQ175" s="14" t="e">
        <f t="shared" si="176"/>
        <v>#NUM!</v>
      </c>
      <c r="DR175" s="22" t="e">
        <f t="shared" si="177"/>
        <v>#NUM!</v>
      </c>
      <c r="DS175" s="62" t="e">
        <f t="shared" si="125"/>
        <v>#NUM!</v>
      </c>
      <c r="DT175" s="62">
        <f ca="1">AVERAGE(OFFSET($DS$3,0,0,'Données projet'!$E$14+1,1))-AVERAGE(OFFSET($H$3,0,0,'Données projet'!$E$14+1,1))</f>
        <v>325.58538970226539</v>
      </c>
      <c r="DU175" s="62">
        <f t="shared" si="152"/>
        <v>361.81085660423457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15.414010798215308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15.414010798215308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-2.8421709430404007E-13</v>
      </c>
      <c r="EK175" s="18">
        <f>EJ175*VLOOKUP('Données projet'!$B$15,Paramètres!$A$1:$I$89,3,0)*VLOOKUP('Données projet'!$B$15,Paramètres!$A$1:$I$89,5,0)</f>
        <v>-2.7489477361086758E-13</v>
      </c>
      <c r="EL175" s="14" t="e">
        <f t="shared" si="179"/>
        <v>#NUM!</v>
      </c>
      <c r="EM175" s="22" t="e">
        <f t="shared" si="180"/>
        <v>#NUM!</v>
      </c>
      <c r="EN175" s="62" t="e">
        <f t="shared" si="128"/>
        <v>#NUM!</v>
      </c>
      <c r="EO175" s="62">
        <f ca="1">AVERAGE(OFFSET($EN$3,0,0,'Données projet'!$E$15+1,1))-AVERAGE(OFFSET($H$3,0,0,'Données projet'!$E$15+1,1))</f>
        <v>364.22267539944085</v>
      </c>
      <c r="EP175" s="62">
        <f t="shared" si="154"/>
        <v>241.947139538615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67.765815638193189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67.765815638193189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-1.7053025658242404E-13</v>
      </c>
      <c r="FF175" s="18">
        <f>FE175*VLOOKUP('Données projet'!$B$16,Paramètres!$A$1:$I$89,3,0)*VLOOKUP('Données projet'!$B$16,Paramètres!$A$1:$I$89,5,0)</f>
        <v>-1.4897523215040567E-13</v>
      </c>
      <c r="FG175" s="14" t="e">
        <f t="shared" si="182"/>
        <v>#NUM!</v>
      </c>
      <c r="FH175" s="22" t="e">
        <f t="shared" si="183"/>
        <v>#NUM!</v>
      </c>
      <c r="FI175" s="62" t="e">
        <f t="shared" si="131"/>
        <v>#NUM!</v>
      </c>
      <c r="FJ175" s="62">
        <f ca="1">AVERAGE(OFFSET($FI$3,0,0,'Données projet'!$E$16+1,1))-AVERAGE(OFFSET($H$3,0,0,'Données projet'!$E$16+1,1))</f>
        <v>286.59837239471312</v>
      </c>
      <c r="FK175" s="62">
        <f t="shared" si="156"/>
        <v>319.26091328564689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13.378756124341271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13.378756124341271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-1.7053025658242404E-13</v>
      </c>
      <c r="GA175" s="18">
        <f>FZ175*VLOOKUP('Données projet'!$B$17,Paramètres!$A$1:$I$89,3,0)*VLOOKUP('Données projet'!$B$17,Paramètres!$A$1:$I$89,5,0)</f>
        <v>-1.1439169611549005E-13</v>
      </c>
      <c r="GB175" s="14" t="e">
        <f t="shared" si="185"/>
        <v>#NUM!</v>
      </c>
      <c r="GC175" s="22" t="e">
        <f t="shared" si="186"/>
        <v>#NUM!</v>
      </c>
      <c r="GD175" s="62" t="e">
        <f t="shared" si="134"/>
        <v>#NUM!</v>
      </c>
      <c r="GE175" s="62">
        <f ca="1">AVERAGE(OFFSET($GD$3,0,0,'Données projet'!$E$17+1,1))-AVERAGE(OFFSET($H$3,0,0,'Données projet'!$E$17+1,1))</f>
        <v>277.37570531842186</v>
      </c>
      <c r="GF175" s="62">
        <f t="shared" si="158"/>
        <v>310.00874200911312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projet'!$B$17,Paramètres!$A$1:$I$89,3,0)*0.475*44/12</f>
        <v>15.710434082796372</v>
      </c>
      <c r="GM175" s="23">
        <f>EXP(-LN(2)/25)*GM174+(1-EXP(-LN(2)/25))/(LN(2)/25)*Calculateur!GH175*Calculateur!GJ175*VLOOKUP('Données projet'!$B$17,Paramètres!$A$1:$I$89,3,0)*0.475*44/12</f>
        <v>0</v>
      </c>
      <c r="GN175" s="23">
        <f>EXP(-LN(2)/2)*GN174+(1-EXP(-LN(2)/2))/(LN(2)/2)*GH175*GK175*VLOOKUP('Données projet'!$B$17,Paramètres!$A$1:$I$89,3,0)*0.475*44/12</f>
        <v>0</v>
      </c>
      <c r="GO175" s="23">
        <f t="shared" si="187"/>
        <v>15.710434082796372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-5.6843418860808015E-14</v>
      </c>
      <c r="O176" s="14">
        <f>N176*VLOOKUP('Données projet'!$B$9,Paramètres!$A$1:$I$89,3,0)*VLOOKUP('Données projet'!$B$9,Paramètres!$A$1:$I$89,5,0)</f>
        <v>-4.9658410716801891E-14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401.34220206028908</v>
      </c>
      <c r="T176" s="62">
        <f t="shared" si="142"/>
        <v>265.33314259106987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75.009481497767965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75.009481497767965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1.7053025658242404E-13</v>
      </c>
      <c r="AJ176" s="14">
        <f>AI176*VLOOKUP('Données projet'!$B$10,Paramètres!$A$1:$I$89,3,0)*VLOOKUP('Données projet'!$B$10,Paramètres!$A$1:$I$89,5,0)</f>
        <v>7.9808160080574461E-14</v>
      </c>
      <c r="AK176" s="14">
        <f t="shared" si="164"/>
        <v>1.2308384591775343E-12</v>
      </c>
      <c r="AL176" s="22">
        <f t="shared" si="165"/>
        <v>2.282709528541206E-12</v>
      </c>
      <c r="AM176" s="62">
        <f t="shared" si="113"/>
        <v>288.89331365275075</v>
      </c>
      <c r="AN176" s="62">
        <f ca="1">AVERAGE(OFFSET($AM$3,0,0,'Données projet'!$E$10+1,1))-AVERAGE(OFFSET($H$3,0,0,'Données projet'!$E$10+1,1))</f>
        <v>253.48761861464732</v>
      </c>
      <c r="AO176" s="62">
        <f t="shared" si="144"/>
        <v>219.50855998133855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29.828752735670172</v>
      </c>
      <c r="AV176" s="23">
        <f>EXP(-LN(2)/25)*AV175+(1-EXP(-LN(2)/25))/(LN(2)/25)*Calculateur!AQ176*Calculateur!AS176*VLOOKUP('Données projet'!$B$10,Paramètres!$A$1:$I$89,3,0)*0.475*44/12</f>
        <v>3.8319370098844669</v>
      </c>
      <c r="AW176" s="23">
        <f>EXP(-LN(2)/2)*AW175+(1-EXP(-LN(2)/2))/(LN(2)/2)*AQ176*AT176*VLOOKUP('Données projet'!$B$10,Paramètres!$A$1:$I$89,3,0)*0.475*44/12</f>
        <v>2.4531394120245951E-10</v>
      </c>
      <c r="AX176" s="23">
        <f t="shared" si="166"/>
        <v>33.660689745799957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482.85256243111911</v>
      </c>
      <c r="BJ176" s="62">
        <f t="shared" si="146"/>
        <v>517.78430032567064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12.623788340253327</v>
      </c>
      <c r="BQ176" s="23">
        <f>EXP(-LN(2)/25)*BQ175+(1-EXP(-LN(2)/25))/(LN(2)/25)*Calculateur!BL176*Calculateur!BN176*VLOOKUP('Données projet'!$B$11,Paramètres!$A$1:$I$89,3,0)*0.475*44/12</f>
        <v>1.31271091157502</v>
      </c>
      <c r="BR176" s="23">
        <f>EXP(-LN(2)/2)*BR175+(1-EXP(-LN(2)/2))/(LN(2)/2)*BL176*BO176*VLOOKUP('Données projet'!$B$11,Paramètres!$A$1:$I$89,3,0)*0.475*44/12</f>
        <v>5.7166936296572E-16</v>
      </c>
      <c r="BS176" s="24">
        <f t="shared" si="169"/>
        <v>13.936499251828348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>
        <f>BY176*VLOOKUP('Données projet'!$B$12,Paramètres!$A$1:$I$89,3,0)*VLOOKUP('Données projet'!$B$12,Paramètres!$A$1:$I$89,5,0)</f>
        <v>0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275.76900776033335</v>
      </c>
      <c r="CE176" s="62">
        <f t="shared" si="148"/>
        <v>299.36898480605191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12.097797159409437</v>
      </c>
      <c r="CL176" s="23">
        <f>EXP(-LN(2)/25)*CL175+(1-EXP(-LN(2)/25))/(LN(2)/25)*Calculateur!CG176*Calculateur!CI176*VLOOKUP('Données projet'!$B$12,Paramètres!$A$1:$I$89,3,0)*0.475*44/12</f>
        <v>1.258014623592729</v>
      </c>
      <c r="CM176" s="23">
        <f>EXP(-LN(2)/2)*CM175+(1-EXP(-LN(2)/2))/(LN(2)/2)*CG176*CJ176*VLOOKUP('Données projet'!$B$12,Paramètres!$A$1:$I$89,3,0)*0.475*44/12</f>
        <v>5.4784980617548119E-16</v>
      </c>
      <c r="CN176" s="24">
        <f t="shared" si="172"/>
        <v>13.355811783002165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-5.6843418860808015E-14</v>
      </c>
      <c r="CU176" s="18">
        <f>CT176*VLOOKUP('Données projet'!$B$13,Paramètres!$A$1:$I$89,3,0)*VLOOKUP('Données projet'!$B$13,Paramètres!$A$1:$I$89,5,0)</f>
        <v>-6.2073013396002344E-14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482.24068797679558</v>
      </c>
      <c r="CZ176" s="62">
        <f t="shared" si="150"/>
        <v>316.28941055521693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93.761851872209945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93.761851872209945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-1.7053025658242404E-13</v>
      </c>
      <c r="DP176" s="18">
        <f>DO176*VLOOKUP('Données projet'!$B$14,Paramètres!$A$1:$I$89,3,0)*VLOOKUP('Données projet'!$B$14,Paramètres!$A$1:$I$89,5,0)</f>
        <v>-1.383341441396624E-13</v>
      </c>
      <c r="DQ176" s="14" t="e">
        <f t="shared" si="176"/>
        <v>#NUM!</v>
      </c>
      <c r="DR176" s="22" t="e">
        <f t="shared" si="177"/>
        <v>#NUM!</v>
      </c>
      <c r="DS176" s="62" t="e">
        <f t="shared" si="125"/>
        <v>#NUM!</v>
      </c>
      <c r="DT176" s="62">
        <f ca="1">AVERAGE(OFFSET($DS$3,0,0,'Données projet'!$E$14+1,1))-AVERAGE(OFFSET($H$3,0,0,'Données projet'!$E$14+1,1))</f>
        <v>325.58538970226539</v>
      </c>
      <c r="DU176" s="62">
        <f t="shared" si="152"/>
        <v>361.81085660423457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15.111751448080561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15.111751448080561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-2.8421709430404007E-13</v>
      </c>
      <c r="EK176" s="18">
        <f>EJ176*VLOOKUP('Données projet'!$B$15,Paramètres!$A$1:$I$89,3,0)*VLOOKUP('Données projet'!$B$15,Paramètres!$A$1:$I$89,5,0)</f>
        <v>-2.7489477361086758E-13</v>
      </c>
      <c r="EL176" s="14" t="e">
        <f t="shared" si="179"/>
        <v>#NUM!</v>
      </c>
      <c r="EM176" s="22" t="e">
        <f t="shared" si="180"/>
        <v>#NUM!</v>
      </c>
      <c r="EN176" s="62" t="e">
        <f t="shared" si="128"/>
        <v>#NUM!</v>
      </c>
      <c r="EO176" s="62">
        <f ca="1">AVERAGE(OFFSET($EN$3,0,0,'Données projet'!$E$15+1,1))-AVERAGE(OFFSET($H$3,0,0,'Données projet'!$E$15+1,1))</f>
        <v>364.22267539944085</v>
      </c>
      <c r="EP176" s="62">
        <f t="shared" si="154"/>
        <v>241.947139538615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66.436969326594465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66.436969326594465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-1.7053025658242404E-13</v>
      </c>
      <c r="FF176" s="18">
        <f>FE176*VLOOKUP('Données projet'!$B$16,Paramètres!$A$1:$I$89,3,0)*VLOOKUP('Données projet'!$B$16,Paramètres!$A$1:$I$89,5,0)</f>
        <v>-1.4897523215040567E-13</v>
      </c>
      <c r="FG176" s="14" t="e">
        <f t="shared" si="182"/>
        <v>#NUM!</v>
      </c>
      <c r="FH176" s="22" t="e">
        <f t="shared" si="183"/>
        <v>#NUM!</v>
      </c>
      <c r="FI176" s="62" t="e">
        <f t="shared" si="131"/>
        <v>#NUM!</v>
      </c>
      <c r="FJ176" s="62">
        <f ca="1">AVERAGE(OFFSET($FI$3,0,0,'Données projet'!$E$16+1,1))-AVERAGE(OFFSET($H$3,0,0,'Données projet'!$E$16+1,1))</f>
        <v>286.59837239471312</v>
      </c>
      <c r="FK176" s="62">
        <f t="shared" si="156"/>
        <v>319.26091328564689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13.116406876978418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13.116406876978418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-1.7053025658242404E-13</v>
      </c>
      <c r="GA176" s="18">
        <f>FZ176*VLOOKUP('Données projet'!$B$17,Paramètres!$A$1:$I$89,3,0)*VLOOKUP('Données projet'!$B$17,Paramètres!$A$1:$I$89,5,0)</f>
        <v>-1.1439169611549005E-13</v>
      </c>
      <c r="GB176" s="14" t="e">
        <f t="shared" si="185"/>
        <v>#NUM!</v>
      </c>
      <c r="GC176" s="22" t="e">
        <f t="shared" si="186"/>
        <v>#NUM!</v>
      </c>
      <c r="GD176" s="62" t="e">
        <f t="shared" si="134"/>
        <v>#NUM!</v>
      </c>
      <c r="GE176" s="62">
        <f ca="1">AVERAGE(OFFSET($GD$3,0,0,'Données projet'!$E$17+1,1))-AVERAGE(OFFSET($H$3,0,0,'Données projet'!$E$17+1,1))</f>
        <v>277.37570531842186</v>
      </c>
      <c r="GF176" s="62">
        <f t="shared" si="158"/>
        <v>310.00874200911312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projet'!$B$17,Paramètres!$A$1:$I$89,3,0)*0.475*44/12</f>
        <v>15.402362052851339</v>
      </c>
      <c r="GM176" s="23">
        <f>EXP(-LN(2)/25)*GM175+(1-EXP(-LN(2)/25))/(LN(2)/25)*Calculateur!GH176*Calculateur!GJ176*VLOOKUP('Données projet'!$B$17,Paramètres!$A$1:$I$89,3,0)*0.475*44/12</f>
        <v>0</v>
      </c>
      <c r="GN176" s="23">
        <f>EXP(-LN(2)/2)*GN175+(1-EXP(-LN(2)/2))/(LN(2)/2)*GH176*GK176*VLOOKUP('Données projet'!$B$17,Paramètres!$A$1:$I$89,3,0)*0.475*44/12</f>
        <v>0</v>
      </c>
      <c r="GO176" s="23">
        <f t="shared" si="187"/>
        <v>15.402362052851339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-5.6843418860808015E-14</v>
      </c>
      <c r="O177" s="14">
        <f>N177*VLOOKUP('Données projet'!$B$9,Paramètres!$A$1:$I$89,3,0)*VLOOKUP('Données projet'!$B$9,Paramètres!$A$1:$I$89,5,0)</f>
        <v>-4.9658410716801891E-14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401.34220206028908</v>
      </c>
      <c r="T177" s="62">
        <f t="shared" si="142"/>
        <v>265.33314259106987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73.538591316862892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73.538591316862892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1.7053025658242404E-13</v>
      </c>
      <c r="AJ177" s="14">
        <f>AI177*VLOOKUP('Données projet'!$B$10,Paramètres!$A$1:$I$89,3,0)*VLOOKUP('Données projet'!$B$10,Paramètres!$A$1:$I$89,5,0)</f>
        <v>7.9808160080574461E-14</v>
      </c>
      <c r="AK177" s="14">
        <f t="shared" si="164"/>
        <v>1.2308384591775343E-12</v>
      </c>
      <c r="AL177" s="22">
        <f t="shared" si="165"/>
        <v>2.282709528541206E-12</v>
      </c>
      <c r="AM177" s="62">
        <f t="shared" si="113"/>
        <v>288.97033806781201</v>
      </c>
      <c r="AN177" s="62">
        <f ca="1">AVERAGE(OFFSET($AM$3,0,0,'Données projet'!$E$10+1,1))-AVERAGE(OFFSET($H$3,0,0,'Données projet'!$E$10+1,1))</f>
        <v>253.48761861464732</v>
      </c>
      <c r="AO177" s="62">
        <f t="shared" si="144"/>
        <v>219.50855998133855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29.243829088266367</v>
      </c>
      <c r="AV177" s="23">
        <f>EXP(-LN(2)/25)*AV176+(1-EXP(-LN(2)/25))/(LN(2)/25)*Calculateur!AQ177*Calculateur!AS177*VLOOKUP('Données projet'!$B$10,Paramètres!$A$1:$I$89,3,0)*0.475*44/12</f>
        <v>3.7271524908363669</v>
      </c>
      <c r="AW177" s="23">
        <f>EXP(-LN(2)/2)*AW176+(1-EXP(-LN(2)/2))/(LN(2)/2)*AQ177*AT177*VLOOKUP('Données projet'!$B$10,Paramètres!$A$1:$I$89,3,0)*0.475*44/12</f>
        <v>1.7346315134385712E-10</v>
      </c>
      <c r="AX177" s="23">
        <f t="shared" si="166"/>
        <v>32.970981579276199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482.85256243111911</v>
      </c>
      <c r="BJ177" s="62">
        <f t="shared" si="146"/>
        <v>517.78430032567064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12.37624355065156</v>
      </c>
      <c r="BQ177" s="23">
        <f>EXP(-LN(2)/25)*BQ176+(1-EXP(-LN(2)/25))/(LN(2)/25)*Calculateur!BL177*Calculateur!BN177*VLOOKUP('Données projet'!$B$11,Paramètres!$A$1:$I$89,3,0)*0.475*44/12</f>
        <v>1.2768147626655344</v>
      </c>
      <c r="BR177" s="23">
        <f>EXP(-LN(2)/2)*BR176+(1-EXP(-LN(2)/2))/(LN(2)/2)*BL177*BO177*VLOOKUP('Données projet'!$B$11,Paramètres!$A$1:$I$89,3,0)*0.475*44/12</f>
        <v>4.042312831496544E-16</v>
      </c>
      <c r="BS177" s="24">
        <f t="shared" si="169"/>
        <v>13.653058313317095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>
        <f>BY177*VLOOKUP('Données projet'!$B$12,Paramètres!$A$1:$I$89,3,0)*VLOOKUP('Données projet'!$B$12,Paramètres!$A$1:$I$89,5,0)</f>
        <v>0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275.76900776033335</v>
      </c>
      <c r="CE177" s="62">
        <f t="shared" si="148"/>
        <v>299.36898480605191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11.860566736041076</v>
      </c>
      <c r="CL177" s="23">
        <f>EXP(-LN(2)/25)*CL176+(1-EXP(-LN(2)/25))/(LN(2)/25)*Calculateur!CG177*Calculateur!CI177*VLOOKUP('Données projet'!$B$12,Paramètres!$A$1:$I$89,3,0)*0.475*44/12</f>
        <v>1.223614147554472</v>
      </c>
      <c r="CM177" s="23">
        <f>EXP(-LN(2)/2)*CM176+(1-EXP(-LN(2)/2))/(LN(2)/2)*CG177*CJ177*VLOOKUP('Données projet'!$B$12,Paramètres!$A$1:$I$89,3,0)*0.475*44/12</f>
        <v>3.8738831301841846E-16</v>
      </c>
      <c r="CN177" s="24">
        <f t="shared" si="172"/>
        <v>13.084180883595547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-5.6843418860808015E-14</v>
      </c>
      <c r="CU177" s="18">
        <f>CT177*VLOOKUP('Données projet'!$B$13,Paramètres!$A$1:$I$89,3,0)*VLOOKUP('Données projet'!$B$13,Paramètres!$A$1:$I$89,5,0)</f>
        <v>-6.2073013396002344E-14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482.24068797679558</v>
      </c>
      <c r="CZ177" s="62">
        <f t="shared" si="150"/>
        <v>316.28941055521693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91.9232391460786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91.9232391460786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-1.7053025658242404E-13</v>
      </c>
      <c r="DP177" s="18">
        <f>DO177*VLOOKUP('Données projet'!$B$14,Paramètres!$A$1:$I$89,3,0)*VLOOKUP('Données projet'!$B$14,Paramètres!$A$1:$I$89,5,0)</f>
        <v>-1.383341441396624E-13</v>
      </c>
      <c r="DQ177" s="14" t="e">
        <f t="shared" si="176"/>
        <v>#NUM!</v>
      </c>
      <c r="DR177" s="22" t="e">
        <f t="shared" si="177"/>
        <v>#NUM!</v>
      </c>
      <c r="DS177" s="62" t="e">
        <f t="shared" si="125"/>
        <v>#NUM!</v>
      </c>
      <c r="DT177" s="62">
        <f ca="1">AVERAGE(OFFSET($DS$3,0,0,'Données projet'!$E$14+1,1))-AVERAGE(OFFSET($H$3,0,0,'Données projet'!$E$14+1,1))</f>
        <v>325.58538970226539</v>
      </c>
      <c r="DU177" s="62">
        <f t="shared" si="152"/>
        <v>361.81085660423457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14.815419219441956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14.815419219441956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-2.8421709430404007E-13</v>
      </c>
      <c r="EK177" s="18">
        <f>EJ177*VLOOKUP('Données projet'!$B$15,Paramètres!$A$1:$I$89,3,0)*VLOOKUP('Données projet'!$B$15,Paramètres!$A$1:$I$89,5,0)</f>
        <v>-2.7489477361086758E-13</v>
      </c>
      <c r="EL177" s="14" t="e">
        <f t="shared" si="179"/>
        <v>#NUM!</v>
      </c>
      <c r="EM177" s="22" t="e">
        <f t="shared" si="180"/>
        <v>#NUM!</v>
      </c>
      <c r="EN177" s="62" t="e">
        <f t="shared" si="128"/>
        <v>#NUM!</v>
      </c>
      <c r="EO177" s="62">
        <f ca="1">AVERAGE(OFFSET($EN$3,0,0,'Données projet'!$E$15+1,1))-AVERAGE(OFFSET($H$3,0,0,'Données projet'!$E$15+1,1))</f>
        <v>364.22267539944085</v>
      </c>
      <c r="EP177" s="62">
        <f t="shared" si="154"/>
        <v>241.947139538615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65.134180880649964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65.134180880649964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-1.7053025658242404E-13</v>
      </c>
      <c r="FF177" s="18">
        <f>FE177*VLOOKUP('Données projet'!$B$16,Paramètres!$A$1:$I$89,3,0)*VLOOKUP('Données projet'!$B$16,Paramètres!$A$1:$I$89,5,0)</f>
        <v>-1.4897523215040567E-13</v>
      </c>
      <c r="FG177" s="14" t="e">
        <f t="shared" si="182"/>
        <v>#NUM!</v>
      </c>
      <c r="FH177" s="22" t="e">
        <f t="shared" si="183"/>
        <v>#NUM!</v>
      </c>
      <c r="FI177" s="62" t="e">
        <f t="shared" si="131"/>
        <v>#NUM!</v>
      </c>
      <c r="FJ177" s="62">
        <f ca="1">AVERAGE(OFFSET($FI$3,0,0,'Données projet'!$E$16+1,1))-AVERAGE(OFFSET($H$3,0,0,'Données projet'!$E$16+1,1))</f>
        <v>286.59837239471312</v>
      </c>
      <c r="FK177" s="62">
        <f t="shared" si="156"/>
        <v>319.26091328564689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12.859202138339111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12.859202138339111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-1.7053025658242404E-13</v>
      </c>
      <c r="GA177" s="18">
        <f>FZ177*VLOOKUP('Données projet'!$B$17,Paramètres!$A$1:$I$89,3,0)*VLOOKUP('Données projet'!$B$17,Paramètres!$A$1:$I$89,5,0)</f>
        <v>-1.1439169611549005E-13</v>
      </c>
      <c r="GB177" s="14" t="e">
        <f t="shared" si="185"/>
        <v>#NUM!</v>
      </c>
      <c r="GC177" s="22" t="e">
        <f t="shared" si="186"/>
        <v>#NUM!</v>
      </c>
      <c r="GD177" s="62" t="e">
        <f t="shared" si="134"/>
        <v>#NUM!</v>
      </c>
      <c r="GE177" s="62">
        <f ca="1">AVERAGE(OFFSET($GD$3,0,0,'Données projet'!$E$17+1,1))-AVERAGE(OFFSET($H$3,0,0,'Données projet'!$E$17+1,1))</f>
        <v>277.37570531842186</v>
      </c>
      <c r="GF177" s="62">
        <f t="shared" si="158"/>
        <v>310.00874200911312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projet'!$B$17,Paramètres!$A$1:$I$89,3,0)*0.475*44/12</f>
        <v>15.100331127508145</v>
      </c>
      <c r="GM177" s="23">
        <f>EXP(-LN(2)/25)*GM176+(1-EXP(-LN(2)/25))/(LN(2)/25)*Calculateur!GH177*Calculateur!GJ177*VLOOKUP('Données projet'!$B$17,Paramètres!$A$1:$I$89,3,0)*0.475*44/12</f>
        <v>0</v>
      </c>
      <c r="GN177" s="23">
        <f>EXP(-LN(2)/2)*GN176+(1-EXP(-LN(2)/2))/(LN(2)/2)*GH177*GK177*VLOOKUP('Données projet'!$B$17,Paramètres!$A$1:$I$89,3,0)*0.475*44/12</f>
        <v>0</v>
      </c>
      <c r="GO177" s="23">
        <f t="shared" si="187"/>
        <v>15.100331127508145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-5.6843418860808015E-14</v>
      </c>
      <c r="O178" s="14">
        <f>N178*VLOOKUP('Données projet'!$B$9,Paramètres!$A$1:$I$89,3,0)*VLOOKUP('Données projet'!$B$9,Paramètres!$A$1:$I$89,5,0)</f>
        <v>-4.9658410716801891E-14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401.34220206028908</v>
      </c>
      <c r="T178" s="62">
        <f t="shared" si="142"/>
        <v>265.33314259106987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72.096544395250945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72.096544395250945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1.7053025658242404E-13</v>
      </c>
      <c r="AJ178" s="14">
        <f>AI178*VLOOKUP('Données projet'!$B$10,Paramètres!$A$1:$I$89,3,0)*VLOOKUP('Données projet'!$B$10,Paramètres!$A$1:$I$89,5,0)</f>
        <v>7.9808160080574461E-14</v>
      </c>
      <c r="AK178" s="14">
        <f t="shared" si="164"/>
        <v>1.2308384591775343E-12</v>
      </c>
      <c r="AL178" s="22">
        <f t="shared" si="165"/>
        <v>2.282709528541206E-12</v>
      </c>
      <c r="AM178" s="62">
        <f t="shared" si="113"/>
        <v>289.04602628147268</v>
      </c>
      <c r="AN178" s="62">
        <f ca="1">AVERAGE(OFFSET($AM$3,0,0,'Données projet'!$E$10+1,1))-AVERAGE(OFFSET($H$3,0,0,'Données projet'!$E$10+1,1))</f>
        <v>253.48761861464732</v>
      </c>
      <c r="AO178" s="62">
        <f t="shared" si="144"/>
        <v>219.50855998133855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28.670375436819953</v>
      </c>
      <c r="AV178" s="23">
        <f>EXP(-LN(2)/25)*AV177+(1-EXP(-LN(2)/25))/(LN(2)/25)*Calculateur!AQ178*Calculateur!AS178*VLOOKUP('Données projet'!$B$10,Paramètres!$A$1:$I$89,3,0)*0.475*44/12</f>
        <v>3.6252333099720153</v>
      </c>
      <c r="AW178" s="23">
        <f>EXP(-LN(2)/2)*AW177+(1-EXP(-LN(2)/2))/(LN(2)/2)*AQ178*AT178*VLOOKUP('Données projet'!$B$10,Paramètres!$A$1:$I$89,3,0)*0.475*44/12</f>
        <v>1.2265697060122975E-10</v>
      </c>
      <c r="AX178" s="23">
        <f t="shared" si="166"/>
        <v>32.295608746914624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482.85256243111911</v>
      </c>
      <c r="BJ178" s="62">
        <f t="shared" si="146"/>
        <v>517.78430032567064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12.133552963386471</v>
      </c>
      <c r="BQ178" s="23">
        <f>EXP(-LN(2)/25)*BQ177+(1-EXP(-LN(2)/25))/(LN(2)/25)*Calculateur!BL178*Calculateur!BN178*VLOOKUP('Données projet'!$B$11,Paramètres!$A$1:$I$89,3,0)*0.475*44/12</f>
        <v>1.2419001958356752</v>
      </c>
      <c r="BR178" s="23">
        <f>EXP(-LN(2)/2)*BR177+(1-EXP(-LN(2)/2))/(LN(2)/2)*BL178*BO178*VLOOKUP('Données projet'!$B$11,Paramètres!$A$1:$I$89,3,0)*0.475*44/12</f>
        <v>2.8583468148286E-16</v>
      </c>
      <c r="BS178" s="24">
        <f t="shared" si="169"/>
        <v>13.375453159222147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>
        <f>BY178*VLOOKUP('Données projet'!$B$12,Paramètres!$A$1:$I$89,3,0)*VLOOKUP('Données projet'!$B$12,Paramètres!$A$1:$I$89,5,0)</f>
        <v>0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275.76900776033335</v>
      </c>
      <c r="CE178" s="62">
        <f t="shared" si="148"/>
        <v>299.36898480605191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11.627988256578698</v>
      </c>
      <c r="CL178" s="23">
        <f>EXP(-LN(2)/25)*CL177+(1-EXP(-LN(2)/25))/(LN(2)/25)*Calculateur!CG178*Calculateur!CI178*VLOOKUP('Données projet'!$B$12,Paramètres!$A$1:$I$89,3,0)*0.475*44/12</f>
        <v>1.1901543543425235</v>
      </c>
      <c r="CM178" s="23">
        <f>EXP(-LN(2)/2)*CM177+(1-EXP(-LN(2)/2))/(LN(2)/2)*CG178*CJ178*VLOOKUP('Données projet'!$B$12,Paramètres!$A$1:$I$89,3,0)*0.475*44/12</f>
        <v>2.739249030877406E-16</v>
      </c>
      <c r="CN178" s="24">
        <f t="shared" si="172"/>
        <v>12.818142610921221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-5.6843418860808015E-14</v>
      </c>
      <c r="CU178" s="18">
        <f>CT178*VLOOKUP('Données projet'!$B$13,Paramètres!$A$1:$I$89,3,0)*VLOOKUP('Données projet'!$B$13,Paramètres!$A$1:$I$89,5,0)</f>
        <v>-6.2073013396002344E-14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482.24068797679558</v>
      </c>
      <c r="CZ178" s="62">
        <f t="shared" si="150"/>
        <v>316.28941055521693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90.120680494063663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90.120680494063663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-1.7053025658242404E-13</v>
      </c>
      <c r="DP178" s="18">
        <f>DO178*VLOOKUP('Données projet'!$B$14,Paramètres!$A$1:$I$89,3,0)*VLOOKUP('Données projet'!$B$14,Paramètres!$A$1:$I$89,5,0)</f>
        <v>-1.383341441396624E-13</v>
      </c>
      <c r="DQ178" s="14" t="e">
        <f t="shared" si="176"/>
        <v>#NUM!</v>
      </c>
      <c r="DR178" s="22" t="e">
        <f t="shared" si="177"/>
        <v>#NUM!</v>
      </c>
      <c r="DS178" s="62" t="e">
        <f t="shared" si="125"/>
        <v>#NUM!</v>
      </c>
      <c r="DT178" s="62">
        <f ca="1">AVERAGE(OFFSET($DS$3,0,0,'Données projet'!$E$14+1,1))-AVERAGE(OFFSET($H$3,0,0,'Données projet'!$E$14+1,1))</f>
        <v>325.58538970226539</v>
      </c>
      <c r="DU178" s="62">
        <f t="shared" si="152"/>
        <v>361.81085660423457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14.524897885062142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14.524897885062142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-2.8421709430404007E-13</v>
      </c>
      <c r="EK178" s="18">
        <f>EJ178*VLOOKUP('Données projet'!$B$15,Paramètres!$A$1:$I$89,3,0)*VLOOKUP('Données projet'!$B$15,Paramètres!$A$1:$I$89,5,0)</f>
        <v>-2.7489477361086758E-13</v>
      </c>
      <c r="EL178" s="14" t="e">
        <f t="shared" si="179"/>
        <v>#NUM!</v>
      </c>
      <c r="EM178" s="22" t="e">
        <f t="shared" si="180"/>
        <v>#NUM!</v>
      </c>
      <c r="EN178" s="62" t="e">
        <f t="shared" si="128"/>
        <v>#NUM!</v>
      </c>
      <c r="EO178" s="62">
        <f ca="1">AVERAGE(OFFSET($EN$3,0,0,'Données projet'!$E$15+1,1))-AVERAGE(OFFSET($H$3,0,0,'Données projet'!$E$15+1,1))</f>
        <v>364.22267539944085</v>
      </c>
      <c r="EP178" s="62">
        <f t="shared" si="154"/>
        <v>241.947139538615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63.856939321507951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63.856939321507951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-1.7053025658242404E-13</v>
      </c>
      <c r="FF178" s="18">
        <f>FE178*VLOOKUP('Données projet'!$B$16,Paramètres!$A$1:$I$89,3,0)*VLOOKUP('Données projet'!$B$16,Paramètres!$A$1:$I$89,5,0)</f>
        <v>-1.4897523215040567E-13</v>
      </c>
      <c r="FG178" s="14" t="e">
        <f t="shared" si="182"/>
        <v>#NUM!</v>
      </c>
      <c r="FH178" s="22" t="e">
        <f t="shared" si="183"/>
        <v>#NUM!</v>
      </c>
      <c r="FI178" s="62" t="e">
        <f t="shared" si="131"/>
        <v>#NUM!</v>
      </c>
      <c r="FJ178" s="62">
        <f ca="1">AVERAGE(OFFSET($FI$3,0,0,'Données projet'!$E$16+1,1))-AVERAGE(OFFSET($H$3,0,0,'Données projet'!$E$16+1,1))</f>
        <v>286.59837239471312</v>
      </c>
      <c r="FK178" s="62">
        <f t="shared" si="156"/>
        <v>319.26091328564689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12.607041027745119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12.607041027745119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-1.7053025658242404E-13</v>
      </c>
      <c r="GA178" s="18">
        <f>FZ178*VLOOKUP('Données projet'!$B$17,Paramètres!$A$1:$I$89,3,0)*VLOOKUP('Données projet'!$B$17,Paramètres!$A$1:$I$89,5,0)</f>
        <v>-1.1439169611549005E-13</v>
      </c>
      <c r="GB178" s="14" t="e">
        <f t="shared" si="185"/>
        <v>#NUM!</v>
      </c>
      <c r="GC178" s="22" t="e">
        <f t="shared" si="186"/>
        <v>#NUM!</v>
      </c>
      <c r="GD178" s="62" t="e">
        <f t="shared" si="134"/>
        <v>#NUM!</v>
      </c>
      <c r="GE178" s="62">
        <f ca="1">AVERAGE(OFFSET($GD$3,0,0,'Données projet'!$E$17+1,1))-AVERAGE(OFFSET($H$3,0,0,'Données projet'!$E$17+1,1))</f>
        <v>277.37570531842186</v>
      </c>
      <c r="GF178" s="62">
        <f t="shared" si="158"/>
        <v>310.00874200911312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projet'!$B$17,Paramètres!$A$1:$I$89,3,0)*0.475*44/12</f>
        <v>14.804222844390257</v>
      </c>
      <c r="GM178" s="23">
        <f>EXP(-LN(2)/25)*GM177+(1-EXP(-LN(2)/25))/(LN(2)/25)*Calculateur!GH178*Calculateur!GJ178*VLOOKUP('Données projet'!$B$17,Paramètres!$A$1:$I$89,3,0)*0.475*44/12</f>
        <v>0</v>
      </c>
      <c r="GN178" s="23">
        <f>EXP(-LN(2)/2)*GN177+(1-EXP(-LN(2)/2))/(LN(2)/2)*GH178*GK178*VLOOKUP('Données projet'!$B$17,Paramètres!$A$1:$I$89,3,0)*0.475*44/12</f>
        <v>0</v>
      </c>
      <c r="GO178" s="23">
        <f t="shared" si="187"/>
        <v>14.804222844390257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-5.6843418860808015E-14</v>
      </c>
      <c r="O179" s="14">
        <f>N179*VLOOKUP('Données projet'!$B$9,Paramètres!$A$1:$I$89,3,0)*VLOOKUP('Données projet'!$B$9,Paramètres!$A$1:$I$89,5,0)</f>
        <v>-4.9658410716801891E-14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401.34220206028908</v>
      </c>
      <c r="T179" s="62">
        <f t="shared" si="142"/>
        <v>265.33314259106987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70.682775134210033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70.682775134210033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1.7053025658242404E-13</v>
      </c>
      <c r="AJ179" s="14">
        <f>AI179*VLOOKUP('Données projet'!$B$10,Paramètres!$A$1:$I$89,3,0)*VLOOKUP('Données projet'!$B$10,Paramètres!$A$1:$I$89,5,0)</f>
        <v>7.9808160080574461E-14</v>
      </c>
      <c r="AK179" s="14">
        <f t="shared" si="164"/>
        <v>1.2308384591775343E-12</v>
      </c>
      <c r="AL179" s="22">
        <f t="shared" si="165"/>
        <v>2.282709528541206E-12</v>
      </c>
      <c r="AM179" s="62">
        <f t="shared" si="113"/>
        <v>289.12040147383988</v>
      </c>
      <c r="AN179" s="62">
        <f ca="1">AVERAGE(OFFSET($AM$3,0,0,'Données projet'!$E$10+1,1))-AVERAGE(OFFSET($H$3,0,0,'Données projet'!$E$10+1,1))</f>
        <v>253.48761861464732</v>
      </c>
      <c r="AO179" s="62">
        <f t="shared" si="144"/>
        <v>219.50855998133855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28.108166861706213</v>
      </c>
      <c r="AV179" s="23">
        <f>EXP(-LN(2)/25)*AV178+(1-EXP(-LN(2)/25))/(LN(2)/25)*Calculateur!AQ179*Calculateur!AS179*VLOOKUP('Données projet'!$B$10,Paramètres!$A$1:$I$89,3,0)*0.475*44/12</f>
        <v>3.5261011144680965</v>
      </c>
      <c r="AW179" s="23">
        <f>EXP(-LN(2)/2)*AW178+(1-EXP(-LN(2)/2))/(LN(2)/2)*AQ179*AT179*VLOOKUP('Données projet'!$B$10,Paramètres!$A$1:$I$89,3,0)*0.475*44/12</f>
        <v>8.6731575671928562E-11</v>
      </c>
      <c r="AX179" s="23">
        <f t="shared" si="166"/>
        <v>31.634267976261043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482.85256243111911</v>
      </c>
      <c r="BJ179" s="62">
        <f t="shared" si="146"/>
        <v>517.78430032567064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11.895621390511009</v>
      </c>
      <c r="BQ179" s="23">
        <f>EXP(-LN(2)/25)*BQ178+(1-EXP(-LN(2)/25))/(LN(2)/25)*Calculateur!BL179*Calculateur!BN179*VLOOKUP('Données projet'!$B$11,Paramètres!$A$1:$I$89,3,0)*0.475*44/12</f>
        <v>1.2079403696718558</v>
      </c>
      <c r="BR179" s="23">
        <f>EXP(-LN(2)/2)*BR178+(1-EXP(-LN(2)/2))/(LN(2)/2)*BL179*BO179*VLOOKUP('Données projet'!$B$11,Paramètres!$A$1:$I$89,3,0)*0.475*44/12</f>
        <v>2.021156415748272E-16</v>
      </c>
      <c r="BS179" s="24">
        <f t="shared" si="169"/>
        <v>13.103561760182865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>
        <f>BY179*VLOOKUP('Données projet'!$B$12,Paramètres!$A$1:$I$89,3,0)*VLOOKUP('Données projet'!$B$12,Paramètres!$A$1:$I$89,5,0)</f>
        <v>0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275.76900776033335</v>
      </c>
      <c r="CE179" s="62">
        <f t="shared" si="148"/>
        <v>299.36898480605191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11.399970499239712</v>
      </c>
      <c r="CL179" s="23">
        <f>EXP(-LN(2)/25)*CL178+(1-EXP(-LN(2)/25))/(LN(2)/25)*Calculateur!CG179*Calculateur!CI179*VLOOKUP('Données projet'!$B$12,Paramètres!$A$1:$I$89,3,0)*0.475*44/12</f>
        <v>1.1576095209355297</v>
      </c>
      <c r="CM179" s="23">
        <f>EXP(-LN(2)/2)*CM178+(1-EXP(-LN(2)/2))/(LN(2)/2)*CG179*CJ179*VLOOKUP('Données projet'!$B$12,Paramètres!$A$1:$I$89,3,0)*0.475*44/12</f>
        <v>1.9369415650920923E-16</v>
      </c>
      <c r="CN179" s="24">
        <f t="shared" si="172"/>
        <v>12.557580020175243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-5.6843418860808015E-14</v>
      </c>
      <c r="CU179" s="18">
        <f>CT179*VLOOKUP('Données projet'!$B$13,Paramètres!$A$1:$I$89,3,0)*VLOOKUP('Données projet'!$B$13,Paramètres!$A$1:$I$89,5,0)</f>
        <v>-6.2073013396002344E-14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482.24068797679558</v>
      </c>
      <c r="CZ179" s="62">
        <f t="shared" si="150"/>
        <v>316.28941055521693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88.353468917762513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88.353468917762513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-1.7053025658242404E-13</v>
      </c>
      <c r="DP179" s="18">
        <f>DO179*VLOOKUP('Données projet'!$B$14,Paramètres!$A$1:$I$89,3,0)*VLOOKUP('Données projet'!$B$14,Paramètres!$A$1:$I$89,5,0)</f>
        <v>-1.383341441396624E-13</v>
      </c>
      <c r="DQ179" s="14" t="e">
        <f t="shared" si="176"/>
        <v>#NUM!</v>
      </c>
      <c r="DR179" s="22" t="e">
        <f t="shared" si="177"/>
        <v>#NUM!</v>
      </c>
      <c r="DS179" s="62" t="e">
        <f t="shared" si="125"/>
        <v>#NUM!</v>
      </c>
      <c r="DT179" s="62">
        <f ca="1">AVERAGE(OFFSET($DS$3,0,0,'Données projet'!$E$14+1,1))-AVERAGE(OFFSET($H$3,0,0,'Données projet'!$E$14+1,1))</f>
        <v>325.58538970226539</v>
      </c>
      <c r="DU179" s="62">
        <f t="shared" si="152"/>
        <v>361.81085660423457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14.240073496848998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14.240073496848998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-2.8421709430404007E-13</v>
      </c>
      <c r="EK179" s="18">
        <f>EJ179*VLOOKUP('Données projet'!$B$15,Paramètres!$A$1:$I$89,3,0)*VLOOKUP('Données projet'!$B$15,Paramètres!$A$1:$I$89,5,0)</f>
        <v>-2.7489477361086758E-13</v>
      </c>
      <c r="EL179" s="14" t="e">
        <f t="shared" si="179"/>
        <v>#NUM!</v>
      </c>
      <c r="EM179" s="22" t="e">
        <f t="shared" si="180"/>
        <v>#NUM!</v>
      </c>
      <c r="EN179" s="62" t="e">
        <f t="shared" si="128"/>
        <v>#NUM!</v>
      </c>
      <c r="EO179" s="62">
        <f ca="1">AVERAGE(OFFSET($EN$3,0,0,'Données projet'!$E$15+1,1))-AVERAGE(OFFSET($H$3,0,0,'Données projet'!$E$15+1,1))</f>
        <v>364.22267539944085</v>
      </c>
      <c r="EP179" s="62">
        <f t="shared" si="154"/>
        <v>241.947139538615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62.604743690300282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62.604743690300282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-1.7053025658242404E-13</v>
      </c>
      <c r="FF179" s="18">
        <f>FE179*VLOOKUP('Données projet'!$B$16,Paramètres!$A$1:$I$89,3,0)*VLOOKUP('Données projet'!$B$16,Paramètres!$A$1:$I$89,5,0)</f>
        <v>-1.4897523215040567E-13</v>
      </c>
      <c r="FG179" s="14" t="e">
        <f t="shared" si="182"/>
        <v>#NUM!</v>
      </c>
      <c r="FH179" s="22" t="e">
        <f t="shared" si="183"/>
        <v>#NUM!</v>
      </c>
      <c r="FI179" s="62" t="e">
        <f t="shared" si="131"/>
        <v>#NUM!</v>
      </c>
      <c r="FJ179" s="62">
        <f ca="1">AVERAGE(OFFSET($FI$3,0,0,'Données projet'!$E$16+1,1))-AVERAGE(OFFSET($H$3,0,0,'Données projet'!$E$16+1,1))</f>
        <v>286.59837239471312</v>
      </c>
      <c r="FK179" s="62">
        <f t="shared" si="156"/>
        <v>319.26091328564689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12.359824642726785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12.359824642726785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-1.7053025658242404E-13</v>
      </c>
      <c r="GA179" s="18">
        <f>FZ179*VLOOKUP('Données projet'!$B$17,Paramètres!$A$1:$I$89,3,0)*VLOOKUP('Données projet'!$B$17,Paramètres!$A$1:$I$89,5,0)</f>
        <v>-1.1439169611549005E-13</v>
      </c>
      <c r="GB179" s="14" t="e">
        <f t="shared" si="185"/>
        <v>#NUM!</v>
      </c>
      <c r="GC179" s="22" t="e">
        <f t="shared" si="186"/>
        <v>#NUM!</v>
      </c>
      <c r="GD179" s="62" t="e">
        <f t="shared" si="134"/>
        <v>#NUM!</v>
      </c>
      <c r="GE179" s="62">
        <f ca="1">AVERAGE(OFFSET($GD$3,0,0,'Données projet'!$E$17+1,1))-AVERAGE(OFFSET($H$3,0,0,'Données projet'!$E$17+1,1))</f>
        <v>277.37570531842186</v>
      </c>
      <c r="GF179" s="62">
        <f t="shared" si="158"/>
        <v>310.00874200911312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projet'!$B$17,Paramètres!$A$1:$I$89,3,0)*0.475*44/12</f>
        <v>14.513921064096092</v>
      </c>
      <c r="GM179" s="23">
        <f>EXP(-LN(2)/25)*GM178+(1-EXP(-LN(2)/25))/(LN(2)/25)*Calculateur!GH179*Calculateur!GJ179*VLOOKUP('Données projet'!$B$17,Paramètres!$A$1:$I$89,3,0)*0.475*44/12</f>
        <v>0</v>
      </c>
      <c r="GN179" s="23">
        <f>EXP(-LN(2)/2)*GN178+(1-EXP(-LN(2)/2))/(LN(2)/2)*GH179*GK179*VLOOKUP('Données projet'!$B$17,Paramètres!$A$1:$I$89,3,0)*0.475*44/12</f>
        <v>0</v>
      </c>
      <c r="GO179" s="23">
        <f t="shared" si="187"/>
        <v>14.513921064096092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-5.6843418860808015E-14</v>
      </c>
      <c r="O180" s="14">
        <f>N180*VLOOKUP('Données projet'!$B$9,Paramètres!$A$1:$I$89,3,0)*VLOOKUP('Données projet'!$B$9,Paramètres!$A$1:$I$89,5,0)</f>
        <v>-4.9658410716801891E-14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401.34220206028908</v>
      </c>
      <c r="T180" s="62">
        <f t="shared" si="142"/>
        <v>265.33314259106987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69.296729026064028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69.296729026064028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1.7053025658242404E-13</v>
      </c>
      <c r="AJ180" s="14">
        <f>AI180*VLOOKUP('Données projet'!$B$10,Paramètres!$A$1:$I$89,3,0)*VLOOKUP('Données projet'!$B$10,Paramètres!$A$1:$I$89,5,0)</f>
        <v>7.9808160080574461E-14</v>
      </c>
      <c r="AK180" s="14">
        <f t="shared" si="164"/>
        <v>1.2308384591775343E-12</v>
      </c>
      <c r="AL180" s="22">
        <f t="shared" si="165"/>
        <v>2.282709528541206E-12</v>
      </c>
      <c r="AM180" s="62">
        <f t="shared" si="113"/>
        <v>289.19348642289754</v>
      </c>
      <c r="AN180" s="62">
        <f ca="1">AVERAGE(OFFSET($AM$3,0,0,'Données projet'!$E$10+1,1))-AVERAGE(OFFSET($H$3,0,0,'Données projet'!$E$10+1,1))</f>
        <v>253.48761861464732</v>
      </c>
      <c r="AO180" s="62">
        <f t="shared" si="144"/>
        <v>219.50855998133855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27.556982853837081</v>
      </c>
      <c r="AV180" s="23">
        <f>EXP(-LN(2)/25)*AV179+(1-EXP(-LN(2)/25))/(LN(2)/25)*Calculateur!AQ180*Calculateur!AS180*VLOOKUP('Données projet'!$B$10,Paramètres!$A$1:$I$89,3,0)*0.475*44/12</f>
        <v>3.4296796940633678</v>
      </c>
      <c r="AW180" s="23">
        <f>EXP(-LN(2)/2)*AW179+(1-EXP(-LN(2)/2))/(LN(2)/2)*AQ180*AT180*VLOOKUP('Données projet'!$B$10,Paramètres!$A$1:$I$89,3,0)*0.475*44/12</f>
        <v>6.1328485300614877E-11</v>
      </c>
      <c r="AX180" s="23">
        <f t="shared" si="166"/>
        <v>30.986662547961775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482.85256243111911</v>
      </c>
      <c r="BJ180" s="62">
        <f t="shared" si="146"/>
        <v>517.78430032567064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11.662355510655704</v>
      </c>
      <c r="BQ180" s="23">
        <f>EXP(-LN(2)/25)*BQ179+(1-EXP(-LN(2)/25))/(LN(2)/25)*Calculateur!BL180*Calculateur!BN180*VLOOKUP('Données projet'!$B$11,Paramètres!$A$1:$I$89,3,0)*0.475*44/12</f>
        <v>1.1749091767403557</v>
      </c>
      <c r="BR180" s="23">
        <f>EXP(-LN(2)/2)*BR179+(1-EXP(-LN(2)/2))/(LN(2)/2)*BL180*BO180*VLOOKUP('Données projet'!$B$11,Paramètres!$A$1:$I$89,3,0)*0.475*44/12</f>
        <v>1.4291734074143E-16</v>
      </c>
      <c r="BS180" s="24">
        <f t="shared" si="169"/>
        <v>12.837264687396059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>
        <f>BY180*VLOOKUP('Données projet'!$B$12,Paramètres!$A$1:$I$89,3,0)*VLOOKUP('Données projet'!$B$12,Paramètres!$A$1:$I$89,5,0)</f>
        <v>0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275.76900776033335</v>
      </c>
      <c r="CE180" s="62">
        <f t="shared" si="148"/>
        <v>299.36898480605191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11.176424031045045</v>
      </c>
      <c r="CL180" s="23">
        <f>EXP(-LN(2)/25)*CL179+(1-EXP(-LN(2)/25))/(LN(2)/25)*Calculateur!CG180*Calculateur!CI180*VLOOKUP('Données projet'!$B$12,Paramètres!$A$1:$I$89,3,0)*0.475*44/12</f>
        <v>1.1259546277095087</v>
      </c>
      <c r="CM180" s="23">
        <f>EXP(-LN(2)/2)*CM179+(1-EXP(-LN(2)/2))/(LN(2)/2)*CG180*CJ180*VLOOKUP('Données projet'!$B$12,Paramètres!$A$1:$I$89,3,0)*0.475*44/12</f>
        <v>1.369624515438703E-16</v>
      </c>
      <c r="CN180" s="24">
        <f t="shared" si="172"/>
        <v>12.302378658754554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-5.6843418860808015E-14</v>
      </c>
      <c r="CU180" s="18">
        <f>CT180*VLOOKUP('Données projet'!$B$13,Paramètres!$A$1:$I$89,3,0)*VLOOKUP('Données projet'!$B$13,Paramètres!$A$1:$I$89,5,0)</f>
        <v>-6.2073013396002344E-14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482.24068797679558</v>
      </c>
      <c r="CZ180" s="62">
        <f t="shared" si="150"/>
        <v>316.28941055521693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86.62091128258001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86.62091128258001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-1.7053025658242404E-13</v>
      </c>
      <c r="DP180" s="18">
        <f>DO180*VLOOKUP('Données projet'!$B$14,Paramètres!$A$1:$I$89,3,0)*VLOOKUP('Données projet'!$B$14,Paramètres!$A$1:$I$89,5,0)</f>
        <v>-1.383341441396624E-13</v>
      </c>
      <c r="DQ180" s="14" t="e">
        <f t="shared" si="176"/>
        <v>#NUM!</v>
      </c>
      <c r="DR180" s="22" t="e">
        <f t="shared" si="177"/>
        <v>#NUM!</v>
      </c>
      <c r="DS180" s="62" t="e">
        <f t="shared" si="125"/>
        <v>#NUM!</v>
      </c>
      <c r="DT180" s="62">
        <f ca="1">AVERAGE(OFFSET($DS$3,0,0,'Données projet'!$E$14+1,1))-AVERAGE(OFFSET($H$3,0,0,'Données projet'!$E$14+1,1))</f>
        <v>325.58538970226539</v>
      </c>
      <c r="DU180" s="62">
        <f t="shared" si="152"/>
        <v>361.81085660423457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13.960834341162991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13.960834341162991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-2.8421709430404007E-13</v>
      </c>
      <c r="EK180" s="18">
        <f>EJ180*VLOOKUP('Données projet'!$B$15,Paramètres!$A$1:$I$89,3,0)*VLOOKUP('Données projet'!$B$15,Paramètres!$A$1:$I$89,5,0)</f>
        <v>-2.7489477361086758E-13</v>
      </c>
      <c r="EL180" s="14" t="e">
        <f t="shared" si="179"/>
        <v>#NUM!</v>
      </c>
      <c r="EM180" s="22" t="e">
        <f t="shared" si="180"/>
        <v>#NUM!</v>
      </c>
      <c r="EN180" s="62" t="e">
        <f t="shared" si="128"/>
        <v>#NUM!</v>
      </c>
      <c r="EO180" s="62">
        <f ca="1">AVERAGE(OFFSET($EN$3,0,0,'Données projet'!$E$15+1,1))-AVERAGE(OFFSET($H$3,0,0,'Données projet'!$E$15+1,1))</f>
        <v>364.22267539944085</v>
      </c>
      <c r="EP180" s="62">
        <f t="shared" si="154"/>
        <v>241.947139538615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61.37710285165668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61.37710285165668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-1.7053025658242404E-13</v>
      </c>
      <c r="FF180" s="18">
        <f>FE180*VLOOKUP('Données projet'!$B$16,Paramètres!$A$1:$I$89,3,0)*VLOOKUP('Données projet'!$B$16,Paramètres!$A$1:$I$89,5,0)</f>
        <v>-1.4897523215040567E-13</v>
      </c>
      <c r="FG180" s="14" t="e">
        <f t="shared" si="182"/>
        <v>#NUM!</v>
      </c>
      <c r="FH180" s="22" t="e">
        <f t="shared" si="183"/>
        <v>#NUM!</v>
      </c>
      <c r="FI180" s="62" t="e">
        <f t="shared" si="131"/>
        <v>#NUM!</v>
      </c>
      <c r="FJ180" s="62">
        <f ca="1">AVERAGE(OFFSET($FI$3,0,0,'Données projet'!$E$16+1,1))-AVERAGE(OFFSET($H$3,0,0,'Données projet'!$E$16+1,1))</f>
        <v>286.59837239471312</v>
      </c>
      <c r="FK180" s="62">
        <f t="shared" si="156"/>
        <v>319.26091328564689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12.117456020231556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12.117456020231556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-1.7053025658242404E-13</v>
      </c>
      <c r="GA180" s="18">
        <f>FZ180*VLOOKUP('Données projet'!$B$17,Paramètres!$A$1:$I$89,3,0)*VLOOKUP('Données projet'!$B$17,Paramètres!$A$1:$I$89,5,0)</f>
        <v>-1.1439169611549005E-13</v>
      </c>
      <c r="GB180" s="14" t="e">
        <f t="shared" si="185"/>
        <v>#NUM!</v>
      </c>
      <c r="GC180" s="22" t="e">
        <f t="shared" si="186"/>
        <v>#NUM!</v>
      </c>
      <c r="GD180" s="62" t="e">
        <f t="shared" si="134"/>
        <v>#NUM!</v>
      </c>
      <c r="GE180" s="62">
        <f ca="1">AVERAGE(OFFSET($GD$3,0,0,'Données projet'!$E$17+1,1))-AVERAGE(OFFSET($H$3,0,0,'Données projet'!$E$17+1,1))</f>
        <v>277.37570531842186</v>
      </c>
      <c r="GF180" s="62">
        <f t="shared" si="158"/>
        <v>310.00874200911312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projet'!$B$17,Paramètres!$A$1:$I$89,3,0)*0.475*44/12</f>
        <v>14.229311924646893</v>
      </c>
      <c r="GM180" s="23">
        <f>EXP(-LN(2)/25)*GM179+(1-EXP(-LN(2)/25))/(LN(2)/25)*Calculateur!GH180*Calculateur!GJ180*VLOOKUP('Données projet'!$B$17,Paramètres!$A$1:$I$89,3,0)*0.475*44/12</f>
        <v>0</v>
      </c>
      <c r="GN180" s="23">
        <f>EXP(-LN(2)/2)*GN179+(1-EXP(-LN(2)/2))/(LN(2)/2)*GH180*GK180*VLOOKUP('Données projet'!$B$17,Paramètres!$A$1:$I$89,3,0)*0.475*44/12</f>
        <v>0</v>
      </c>
      <c r="GO180" s="23">
        <f t="shared" si="187"/>
        <v>14.229311924646893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-5.6843418860808015E-14</v>
      </c>
      <c r="O181" s="14">
        <f>N181*VLOOKUP('Données projet'!$B$9,Paramètres!$A$1:$I$89,3,0)*VLOOKUP('Données projet'!$B$9,Paramètres!$A$1:$I$89,5,0)</f>
        <v>-4.9658410716801891E-14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401.34220206028908</v>
      </c>
      <c r="T181" s="62">
        <f t="shared" si="142"/>
        <v>265.33314259106987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67.937862436694118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67.937862436694118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1.7053025658242404E-13</v>
      </c>
      <c r="AJ181" s="14">
        <f>AI181*VLOOKUP('Données projet'!$B$10,Paramètres!$A$1:$I$89,3,0)*VLOOKUP('Données projet'!$B$10,Paramètres!$A$1:$I$89,5,0)</f>
        <v>7.9808160080574461E-14</v>
      </c>
      <c r="AK181" s="14">
        <f t="shared" si="164"/>
        <v>1.2308384591775343E-12</v>
      </c>
      <c r="AL181" s="22">
        <f t="shared" si="165"/>
        <v>2.282709528541206E-12</v>
      </c>
      <c r="AM181" s="62">
        <f t="shared" si="113"/>
        <v>289.26530351148244</v>
      </c>
      <c r="AN181" s="62">
        <f ca="1">AVERAGE(OFFSET($AM$3,0,0,'Données projet'!$E$10+1,1))-AVERAGE(OFFSET($H$3,0,0,'Données projet'!$E$10+1,1))</f>
        <v>253.48761861464732</v>
      </c>
      <c r="AO181" s="62">
        <f t="shared" si="144"/>
        <v>219.50855998133855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27.016607228173214</v>
      </c>
      <c r="AV181" s="23">
        <f>EXP(-LN(2)/25)*AV180+(1-EXP(-LN(2)/25))/(LN(2)/25)*Calculateur!AQ181*Calculateur!AS181*VLOOKUP('Données projet'!$B$10,Paramètres!$A$1:$I$89,3,0)*0.475*44/12</f>
        <v>3.3358949224701884</v>
      </c>
      <c r="AW181" s="23">
        <f>EXP(-LN(2)/2)*AW180+(1-EXP(-LN(2)/2))/(LN(2)/2)*AQ181*AT181*VLOOKUP('Données projet'!$B$10,Paramètres!$A$1:$I$89,3,0)*0.475*44/12</f>
        <v>4.3365787835964281E-11</v>
      </c>
      <c r="AX181" s="23">
        <f t="shared" si="166"/>
        <v>30.352502150686767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482.85256243111911</v>
      </c>
      <c r="BJ181" s="62">
        <f t="shared" si="146"/>
        <v>517.78430032567064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11.433663832426223</v>
      </c>
      <c r="BQ181" s="23">
        <f>EXP(-LN(2)/25)*BQ180+(1-EXP(-LN(2)/25))/(LN(2)/25)*Calculateur!BL181*Calculateur!BN181*VLOOKUP('Données projet'!$B$11,Paramètres!$A$1:$I$89,3,0)*0.475*44/12</f>
        <v>1.1427812235166024</v>
      </c>
      <c r="BR181" s="23">
        <f>EXP(-LN(2)/2)*BR180+(1-EXP(-LN(2)/2))/(LN(2)/2)*BL181*BO181*VLOOKUP('Données projet'!$B$11,Paramètres!$A$1:$I$89,3,0)*0.475*44/12</f>
        <v>1.010578207874136E-16</v>
      </c>
      <c r="BS181" s="24">
        <f t="shared" si="169"/>
        <v>12.576445055942825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>
        <f>BY181*VLOOKUP('Données projet'!$B$12,Paramètres!$A$1:$I$89,3,0)*VLOOKUP('Données projet'!$B$12,Paramètres!$A$1:$I$89,5,0)</f>
        <v>0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275.76900776033335</v>
      </c>
      <c r="CE181" s="62">
        <f t="shared" si="148"/>
        <v>299.36898480605191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10.957261172741793</v>
      </c>
      <c r="CL181" s="23">
        <f>EXP(-LN(2)/25)*CL180+(1-EXP(-LN(2)/25))/(LN(2)/25)*Calculateur!CG181*Calculateur!CI181*VLOOKUP('Données projet'!$B$12,Paramètres!$A$1:$I$89,3,0)*0.475*44/12</f>
        <v>1.0951653392034117</v>
      </c>
      <c r="CM181" s="23">
        <f>EXP(-LN(2)/2)*CM180+(1-EXP(-LN(2)/2))/(LN(2)/2)*CG181*CJ181*VLOOKUP('Données projet'!$B$12,Paramètres!$A$1:$I$89,3,0)*0.475*44/12</f>
        <v>9.6847078254604615E-17</v>
      </c>
      <c r="CN181" s="24">
        <f t="shared" si="172"/>
        <v>12.052426511945205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-5.6843418860808015E-14</v>
      </c>
      <c r="CU181" s="18">
        <f>CT181*VLOOKUP('Données projet'!$B$13,Paramètres!$A$1:$I$89,3,0)*VLOOKUP('Données projet'!$B$13,Paramètres!$A$1:$I$89,5,0)</f>
        <v>-6.2073013396002344E-14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482.24068797679558</v>
      </c>
      <c r="CZ181" s="62">
        <f t="shared" si="150"/>
        <v>316.28941055521693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84.922328045867616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84.922328045867616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-1.7053025658242404E-13</v>
      </c>
      <c r="DP181" s="18">
        <f>DO181*VLOOKUP('Données projet'!$B$14,Paramètres!$A$1:$I$89,3,0)*VLOOKUP('Données projet'!$B$14,Paramètres!$A$1:$I$89,5,0)</f>
        <v>-1.383341441396624E-13</v>
      </c>
      <c r="DQ181" s="14" t="e">
        <f t="shared" si="176"/>
        <v>#NUM!</v>
      </c>
      <c r="DR181" s="22" t="e">
        <f t="shared" si="177"/>
        <v>#NUM!</v>
      </c>
      <c r="DS181" s="62" t="e">
        <f t="shared" si="125"/>
        <v>#NUM!</v>
      </c>
      <c r="DT181" s="62">
        <f ca="1">AVERAGE(OFFSET($DS$3,0,0,'Données projet'!$E$14+1,1))-AVERAGE(OFFSET($H$3,0,0,'Données projet'!$E$14+1,1))</f>
        <v>325.58538970226539</v>
      </c>
      <c r="DU181" s="62">
        <f t="shared" si="152"/>
        <v>361.81085660423457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13.68707089500092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13.68707089500092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-2.8421709430404007E-13</v>
      </c>
      <c r="EK181" s="18">
        <f>EJ181*VLOOKUP('Données projet'!$B$15,Paramètres!$A$1:$I$89,3,0)*VLOOKUP('Données projet'!$B$15,Paramètres!$A$1:$I$89,5,0)</f>
        <v>-2.7489477361086758E-13</v>
      </c>
      <c r="EL181" s="14" t="e">
        <f t="shared" si="179"/>
        <v>#NUM!</v>
      </c>
      <c r="EM181" s="22" t="e">
        <f t="shared" si="180"/>
        <v>#NUM!</v>
      </c>
      <c r="EN181" s="62" t="e">
        <f t="shared" si="128"/>
        <v>#NUM!</v>
      </c>
      <c r="EO181" s="62">
        <f ca="1">AVERAGE(OFFSET($EN$3,0,0,'Données projet'!$E$15+1,1))-AVERAGE(OFFSET($H$3,0,0,'Données projet'!$E$15+1,1))</f>
        <v>364.22267539944085</v>
      </c>
      <c r="EP181" s="62">
        <f t="shared" si="154"/>
        <v>241.947139538615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60.173535301071901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60.173535301071901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-1.7053025658242404E-13</v>
      </c>
      <c r="FF181" s="18">
        <f>FE181*VLOOKUP('Données projet'!$B$16,Paramètres!$A$1:$I$89,3,0)*VLOOKUP('Données projet'!$B$16,Paramètres!$A$1:$I$89,5,0)</f>
        <v>-1.4897523215040567E-13</v>
      </c>
      <c r="FG181" s="14" t="e">
        <f t="shared" si="182"/>
        <v>#NUM!</v>
      </c>
      <c r="FH181" s="22" t="e">
        <f t="shared" si="183"/>
        <v>#NUM!</v>
      </c>
      <c r="FI181" s="62" t="e">
        <f t="shared" si="131"/>
        <v>#NUM!</v>
      </c>
      <c r="FJ181" s="62">
        <f ca="1">AVERAGE(OFFSET($FI$3,0,0,'Données projet'!$E$16+1,1))-AVERAGE(OFFSET($H$3,0,0,'Données projet'!$E$16+1,1))</f>
        <v>286.59837239471312</v>
      </c>
      <c r="FK181" s="62">
        <f t="shared" si="156"/>
        <v>319.26091328564689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11.879840098593196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11.879840098593196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-1.7053025658242404E-13</v>
      </c>
      <c r="GA181" s="18">
        <f>FZ181*VLOOKUP('Données projet'!$B$17,Paramètres!$A$1:$I$89,3,0)*VLOOKUP('Données projet'!$B$17,Paramètres!$A$1:$I$89,5,0)</f>
        <v>-1.1439169611549005E-13</v>
      </c>
      <c r="GB181" s="14" t="e">
        <f t="shared" si="185"/>
        <v>#NUM!</v>
      </c>
      <c r="GC181" s="22" t="e">
        <f t="shared" si="186"/>
        <v>#NUM!</v>
      </c>
      <c r="GD181" s="62" t="e">
        <f t="shared" si="134"/>
        <v>#NUM!</v>
      </c>
      <c r="GE181" s="62">
        <f ca="1">AVERAGE(OFFSET($GD$3,0,0,'Données projet'!$E$17+1,1))-AVERAGE(OFFSET($H$3,0,0,'Données projet'!$E$17+1,1))</f>
        <v>277.37570531842186</v>
      </c>
      <c r="GF181" s="62">
        <f t="shared" si="158"/>
        <v>310.00874200911312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projet'!$B$17,Paramètres!$A$1:$I$89,3,0)*0.475*44/12</f>
        <v>13.950283796827859</v>
      </c>
      <c r="GM181" s="23">
        <f>EXP(-LN(2)/25)*GM180+(1-EXP(-LN(2)/25))/(LN(2)/25)*Calculateur!GH181*Calculateur!GJ181*VLOOKUP('Données projet'!$B$17,Paramètres!$A$1:$I$89,3,0)*0.475*44/12</f>
        <v>0</v>
      </c>
      <c r="GN181" s="23">
        <f>EXP(-LN(2)/2)*GN180+(1-EXP(-LN(2)/2))/(LN(2)/2)*GH181*GK181*VLOOKUP('Données projet'!$B$17,Paramètres!$A$1:$I$89,3,0)*0.475*44/12</f>
        <v>0</v>
      </c>
      <c r="GO181" s="23">
        <f t="shared" si="187"/>
        <v>13.950283796827859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-5.6843418860808015E-14</v>
      </c>
      <c r="O182" s="14">
        <f>N182*VLOOKUP('Données projet'!$B$9,Paramètres!$A$1:$I$89,3,0)*VLOOKUP('Données projet'!$B$9,Paramètres!$A$1:$I$89,5,0)</f>
        <v>-4.9658410716801891E-14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401.34220206028908</v>
      </c>
      <c r="T182" s="62">
        <f t="shared" si="142"/>
        <v>265.33314259106987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66.605642392314977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66.605642392314977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1.7053025658242404E-13</v>
      </c>
      <c r="AJ182" s="14">
        <f>AI182*VLOOKUP('Données projet'!$B$10,Paramètres!$A$1:$I$89,3,0)*VLOOKUP('Données projet'!$B$10,Paramètres!$A$1:$I$89,5,0)</f>
        <v>7.9808160080574461E-14</v>
      </c>
      <c r="AK182" s="14">
        <f t="shared" si="164"/>
        <v>1.2308384591775343E-12</v>
      </c>
      <c r="AL182" s="22">
        <f t="shared" si="165"/>
        <v>2.282709528541206E-12</v>
      </c>
      <c r="AM182" s="62">
        <f t="shared" si="113"/>
        <v>289.3358747341394</v>
      </c>
      <c r="AN182" s="62">
        <f ca="1">AVERAGE(OFFSET($AM$3,0,0,'Données projet'!$E$10+1,1))-AVERAGE(OFFSET($H$3,0,0,'Données projet'!$E$10+1,1))</f>
        <v>253.48761861464732</v>
      </c>
      <c r="AO182" s="62">
        <f t="shared" si="144"/>
        <v>219.50855998133855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26.486828038932028</v>
      </c>
      <c r="AV182" s="23">
        <f>EXP(-LN(2)/25)*AV181+(1-EXP(-LN(2)/25))/(LN(2)/25)*Calculateur!AQ182*Calculateur!AS182*VLOOKUP('Données projet'!$B$10,Paramètres!$A$1:$I$89,3,0)*0.475*44/12</f>
        <v>3.2446747003881513</v>
      </c>
      <c r="AW182" s="23">
        <f>EXP(-LN(2)/2)*AW181+(1-EXP(-LN(2)/2))/(LN(2)/2)*AQ182*AT182*VLOOKUP('Données projet'!$B$10,Paramètres!$A$1:$I$89,3,0)*0.475*44/12</f>
        <v>3.0664242650307439E-11</v>
      </c>
      <c r="AX182" s="23">
        <f t="shared" si="166"/>
        <v>29.731502739350844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482.85256243111911</v>
      </c>
      <c r="BJ182" s="62">
        <f t="shared" si="146"/>
        <v>517.78430032567064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11.209456658518672</v>
      </c>
      <c r="BQ182" s="23">
        <f>EXP(-LN(2)/25)*BQ181+(1-EXP(-LN(2)/25))/(LN(2)/25)*Calculateur!BL182*Calculateur!BN182*VLOOKUP('Données projet'!$B$11,Paramètres!$A$1:$I$89,3,0)*0.475*44/12</f>
        <v>1.1115318108632881</v>
      </c>
      <c r="BR182" s="23">
        <f>EXP(-LN(2)/2)*BR181+(1-EXP(-LN(2)/2))/(LN(2)/2)*BL182*BO182*VLOOKUP('Données projet'!$B$11,Paramètres!$A$1:$I$89,3,0)*0.475*44/12</f>
        <v>7.1458670370715001E-17</v>
      </c>
      <c r="BS182" s="24">
        <f t="shared" si="169"/>
        <v>12.320988469381961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>
        <f>BY182*VLOOKUP('Données projet'!$B$12,Paramètres!$A$1:$I$89,3,0)*VLOOKUP('Données projet'!$B$12,Paramètres!$A$1:$I$89,5,0)</f>
        <v>0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275.76900776033335</v>
      </c>
      <c r="CE182" s="62">
        <f t="shared" si="148"/>
        <v>299.36898480605191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10.742395964413724</v>
      </c>
      <c r="CL182" s="23">
        <f>EXP(-LN(2)/25)*CL181+(1-EXP(-LN(2)/25))/(LN(2)/25)*Calculateur!CG182*Calculateur!CI182*VLOOKUP('Données projet'!$B$12,Paramètres!$A$1:$I$89,3,0)*0.475*44/12</f>
        <v>1.0652179854106523</v>
      </c>
      <c r="CM182" s="23">
        <f>EXP(-LN(2)/2)*CM181+(1-EXP(-LN(2)/2))/(LN(2)/2)*CG182*CJ182*VLOOKUP('Données projet'!$B$12,Paramètres!$A$1:$I$89,3,0)*0.475*44/12</f>
        <v>6.8481225771935149E-17</v>
      </c>
      <c r="CN182" s="24">
        <f t="shared" si="172"/>
        <v>11.807613949824376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-5.6843418860808015E-14</v>
      </c>
      <c r="CU182" s="18">
        <f>CT182*VLOOKUP('Données projet'!$B$13,Paramètres!$A$1:$I$89,3,0)*VLOOKUP('Données projet'!$B$13,Paramètres!$A$1:$I$89,5,0)</f>
        <v>-6.2073013396002344E-14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482.24068797679558</v>
      </c>
      <c r="CZ182" s="62">
        <f t="shared" si="150"/>
        <v>316.28941055521693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83.257052990393674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83.257052990393674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-1.7053025658242404E-13</v>
      </c>
      <c r="DP182" s="18">
        <f>DO182*VLOOKUP('Données projet'!$B$14,Paramètres!$A$1:$I$89,3,0)*VLOOKUP('Données projet'!$B$14,Paramètres!$A$1:$I$89,5,0)</f>
        <v>-1.383341441396624E-13</v>
      </c>
      <c r="DQ182" s="14" t="e">
        <f t="shared" si="176"/>
        <v>#NUM!</v>
      </c>
      <c r="DR182" s="22" t="e">
        <f t="shared" si="177"/>
        <v>#NUM!</v>
      </c>
      <c r="DS182" s="62" t="e">
        <f t="shared" si="125"/>
        <v>#NUM!</v>
      </c>
      <c r="DT182" s="62">
        <f ca="1">AVERAGE(OFFSET($DS$3,0,0,'Données projet'!$E$14+1,1))-AVERAGE(OFFSET($H$3,0,0,'Données projet'!$E$14+1,1))</f>
        <v>325.58538970226539</v>
      </c>
      <c r="DU182" s="62">
        <f t="shared" si="152"/>
        <v>361.81085660423457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13.418675783038873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13.418675783038873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-2.8421709430404007E-13</v>
      </c>
      <c r="EK182" s="18">
        <f>EJ182*VLOOKUP('Données projet'!$B$15,Paramètres!$A$1:$I$89,3,0)*VLOOKUP('Données projet'!$B$15,Paramètres!$A$1:$I$89,5,0)</f>
        <v>-2.7489477361086758E-13</v>
      </c>
      <c r="EL182" s="14" t="e">
        <f t="shared" si="179"/>
        <v>#NUM!</v>
      </c>
      <c r="EM182" s="22" t="e">
        <f t="shared" si="180"/>
        <v>#NUM!</v>
      </c>
      <c r="EN182" s="62" t="e">
        <f t="shared" si="128"/>
        <v>#NUM!</v>
      </c>
      <c r="EO182" s="62">
        <f ca="1">AVERAGE(OFFSET($EN$3,0,0,'Données projet'!$E$15+1,1))-AVERAGE(OFFSET($H$3,0,0,'Données projet'!$E$15+1,1))</f>
        <v>364.22267539944085</v>
      </c>
      <c r="EP182" s="62">
        <f t="shared" si="154"/>
        <v>241.947139538615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58.993568976050369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58.993568976050369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-1.7053025658242404E-13</v>
      </c>
      <c r="FF182" s="18">
        <f>FE182*VLOOKUP('Données projet'!$B$16,Paramètres!$A$1:$I$89,3,0)*VLOOKUP('Données projet'!$B$16,Paramètres!$A$1:$I$89,5,0)</f>
        <v>-1.4897523215040567E-13</v>
      </c>
      <c r="FG182" s="14" t="e">
        <f t="shared" si="182"/>
        <v>#NUM!</v>
      </c>
      <c r="FH182" s="22" t="e">
        <f t="shared" si="183"/>
        <v>#NUM!</v>
      </c>
      <c r="FI182" s="62" t="e">
        <f t="shared" si="131"/>
        <v>#NUM!</v>
      </c>
      <c r="FJ182" s="62">
        <f ca="1">AVERAGE(OFFSET($FI$3,0,0,'Données projet'!$E$16+1,1))-AVERAGE(OFFSET($H$3,0,0,'Données projet'!$E$16+1,1))</f>
        <v>286.59837239471312</v>
      </c>
      <c r="FK182" s="62">
        <f t="shared" si="156"/>
        <v>319.26091328564689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11.646883680246761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11.646883680246761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-1.7053025658242404E-13</v>
      </c>
      <c r="GA182" s="18">
        <f>FZ182*VLOOKUP('Données projet'!$B$17,Paramètres!$A$1:$I$89,3,0)*VLOOKUP('Données projet'!$B$17,Paramètres!$A$1:$I$89,5,0)</f>
        <v>-1.1439169611549005E-13</v>
      </c>
      <c r="GB182" s="14" t="e">
        <f t="shared" si="185"/>
        <v>#NUM!</v>
      </c>
      <c r="GC182" s="22" t="e">
        <f t="shared" si="186"/>
        <v>#NUM!</v>
      </c>
      <c r="GD182" s="62" t="e">
        <f t="shared" si="134"/>
        <v>#NUM!</v>
      </c>
      <c r="GE182" s="62">
        <f ca="1">AVERAGE(OFFSET($GD$3,0,0,'Données projet'!$E$17+1,1))-AVERAGE(OFFSET($H$3,0,0,'Données projet'!$E$17+1,1))</f>
        <v>277.37570531842186</v>
      </c>
      <c r="GF182" s="62">
        <f t="shared" si="158"/>
        <v>310.00874200911312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projet'!$B$17,Paramètres!$A$1:$I$89,3,0)*0.475*44/12</f>
        <v>13.676727240405004</v>
      </c>
      <c r="GM182" s="23">
        <f>EXP(-LN(2)/25)*GM181+(1-EXP(-LN(2)/25))/(LN(2)/25)*Calculateur!GH182*Calculateur!GJ182*VLOOKUP('Données projet'!$B$17,Paramètres!$A$1:$I$89,3,0)*0.475*44/12</f>
        <v>0</v>
      </c>
      <c r="GN182" s="23">
        <f>EXP(-LN(2)/2)*GN181+(1-EXP(-LN(2)/2))/(LN(2)/2)*GH182*GK182*VLOOKUP('Données projet'!$B$17,Paramètres!$A$1:$I$89,3,0)*0.475*44/12</f>
        <v>0</v>
      </c>
      <c r="GO182" s="23">
        <f t="shared" si="187"/>
        <v>13.676727240405004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-5.6843418860808015E-14</v>
      </c>
      <c r="O183" s="14">
        <f>N183*VLOOKUP('Données projet'!$B$9,Paramètres!$A$1:$I$89,3,0)*VLOOKUP('Données projet'!$B$9,Paramètres!$A$1:$I$89,5,0)</f>
        <v>-4.9658410716801891E-14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401.34220206028908</v>
      </c>
      <c r="T183" s="62">
        <f t="shared" si="142"/>
        <v>265.33314259106987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65.299546370432111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65.299546370432111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1.7053025658242404E-13</v>
      </c>
      <c r="AJ183" s="14">
        <f>AI183*VLOOKUP('Données projet'!$B$10,Paramètres!$A$1:$I$89,3,0)*VLOOKUP('Données projet'!$B$10,Paramètres!$A$1:$I$89,5,0)</f>
        <v>7.9808160080574461E-14</v>
      </c>
      <c r="AK183" s="14">
        <f t="shared" si="164"/>
        <v>1.2308384591775343E-12</v>
      </c>
      <c r="AL183" s="22">
        <f t="shared" si="165"/>
        <v>2.282709528541206E-12</v>
      </c>
      <c r="AM183" s="62">
        <f t="shared" si="113"/>
        <v>289.40522170385691</v>
      </c>
      <c r="AN183" s="62">
        <f ca="1">AVERAGE(OFFSET($AM$3,0,0,'Données projet'!$E$10+1,1))-AVERAGE(OFFSET($H$3,0,0,'Données projet'!$E$10+1,1))</f>
        <v>253.48761861464732</v>
      </c>
      <c r="AO183" s="62">
        <f t="shared" si="144"/>
        <v>219.50855998133855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25.967437496458466</v>
      </c>
      <c r="AV183" s="23">
        <f>EXP(-LN(2)/25)*AV182+(1-EXP(-LN(2)/25))/(LN(2)/25)*Calculateur!AQ183*Calculateur!AS183*VLOOKUP('Données projet'!$B$10,Paramètres!$A$1:$I$89,3,0)*0.475*44/12</f>
        <v>3.1559489000760106</v>
      </c>
      <c r="AW183" s="23">
        <f>EXP(-LN(2)/2)*AW182+(1-EXP(-LN(2)/2))/(LN(2)/2)*AQ183*AT183*VLOOKUP('Données projet'!$B$10,Paramètres!$A$1:$I$89,3,0)*0.475*44/12</f>
        <v>2.168289391798214E-11</v>
      </c>
      <c r="AX183" s="23">
        <f t="shared" si="166"/>
        <v>29.12338639655616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482.85256243111911</v>
      </c>
      <c r="BJ183" s="62">
        <f t="shared" si="146"/>
        <v>517.78430032567064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10.989646050538575</v>
      </c>
      <c r="BQ183" s="23">
        <f>EXP(-LN(2)/25)*BQ182+(1-EXP(-LN(2)/25))/(LN(2)/25)*Calculateur!BL183*Calculateur!BN183*VLOOKUP('Données projet'!$B$11,Paramètres!$A$1:$I$89,3,0)*0.475*44/12</f>
        <v>1.081136915042314</v>
      </c>
      <c r="BR183" s="23">
        <f>EXP(-LN(2)/2)*BR182+(1-EXP(-LN(2)/2))/(LN(2)/2)*BL183*BO183*VLOOKUP('Données projet'!$B$11,Paramètres!$A$1:$I$89,3,0)*0.475*44/12</f>
        <v>5.05289103937068E-17</v>
      </c>
      <c r="BS183" s="24">
        <f t="shared" si="169"/>
        <v>12.070782965580889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>
        <f>BY183*VLOOKUP('Données projet'!$B$12,Paramètres!$A$1:$I$89,3,0)*VLOOKUP('Données projet'!$B$12,Paramètres!$A$1:$I$89,5,0)</f>
        <v>0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275.76900776033335</v>
      </c>
      <c r="CE183" s="62">
        <f t="shared" si="148"/>
        <v>299.36898480605191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10.531744131766132</v>
      </c>
      <c r="CL183" s="23">
        <f>EXP(-LN(2)/25)*CL182+(1-EXP(-LN(2)/25))/(LN(2)/25)*Calculateur!CG183*Calculateur!CI183*VLOOKUP('Données projet'!$B$12,Paramètres!$A$1:$I$89,3,0)*0.475*44/12</f>
        <v>1.0360895435822186</v>
      </c>
      <c r="CM183" s="23">
        <f>EXP(-LN(2)/2)*CM182+(1-EXP(-LN(2)/2))/(LN(2)/2)*CG183*CJ183*VLOOKUP('Données projet'!$B$12,Paramètres!$A$1:$I$89,3,0)*0.475*44/12</f>
        <v>4.8423539127302308E-17</v>
      </c>
      <c r="CN183" s="24">
        <f t="shared" si="172"/>
        <v>11.56783367534835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-5.6843418860808015E-14</v>
      </c>
      <c r="CU183" s="18">
        <f>CT183*VLOOKUP('Données projet'!$B$13,Paramètres!$A$1:$I$89,3,0)*VLOOKUP('Données projet'!$B$13,Paramètres!$A$1:$I$89,5,0)</f>
        <v>-6.2073013396002344E-14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482.24068797679558</v>
      </c>
      <c r="CZ183" s="62">
        <f t="shared" si="150"/>
        <v>316.28941055521693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81.624432963040093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81.624432963040093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-1.7053025658242404E-13</v>
      </c>
      <c r="DP183" s="18">
        <f>DO183*VLOOKUP('Données projet'!$B$14,Paramètres!$A$1:$I$89,3,0)*VLOOKUP('Données projet'!$B$14,Paramètres!$A$1:$I$89,5,0)</f>
        <v>-1.383341441396624E-13</v>
      </c>
      <c r="DQ183" s="14" t="e">
        <f t="shared" si="176"/>
        <v>#NUM!</v>
      </c>
      <c r="DR183" s="22" t="e">
        <f t="shared" si="177"/>
        <v>#NUM!</v>
      </c>
      <c r="DS183" s="62" t="e">
        <f t="shared" si="125"/>
        <v>#NUM!</v>
      </c>
      <c r="DT183" s="62">
        <f ca="1">AVERAGE(OFFSET($DS$3,0,0,'Données projet'!$E$14+1,1))-AVERAGE(OFFSET($H$3,0,0,'Données projet'!$E$14+1,1))</f>
        <v>325.58538970226539</v>
      </c>
      <c r="DU183" s="62">
        <f t="shared" si="152"/>
        <v>361.81085660423457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13.155543735517549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13.155543735517549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-2.8421709430404007E-13</v>
      </c>
      <c r="EK183" s="18">
        <f>EJ183*VLOOKUP('Données projet'!$B$15,Paramètres!$A$1:$I$89,3,0)*VLOOKUP('Données projet'!$B$15,Paramètres!$A$1:$I$89,5,0)</f>
        <v>-2.7489477361086758E-13</v>
      </c>
      <c r="EL183" s="14" t="e">
        <f t="shared" si="179"/>
        <v>#NUM!</v>
      </c>
      <c r="EM183" s="22" t="e">
        <f t="shared" si="180"/>
        <v>#NUM!</v>
      </c>
      <c r="EN183" s="62" t="e">
        <f t="shared" si="128"/>
        <v>#NUM!</v>
      </c>
      <c r="EO183" s="62">
        <f ca="1">AVERAGE(OFFSET($EN$3,0,0,'Données projet'!$E$15+1,1))-AVERAGE(OFFSET($H$3,0,0,'Données projet'!$E$15+1,1))</f>
        <v>364.22267539944085</v>
      </c>
      <c r="EP183" s="62">
        <f t="shared" si="154"/>
        <v>241.947139538615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57.836741070954119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57.836741070954119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-1.7053025658242404E-13</v>
      </c>
      <c r="FF183" s="18">
        <f>FE183*VLOOKUP('Données projet'!$B$16,Paramètres!$A$1:$I$89,3,0)*VLOOKUP('Données projet'!$B$16,Paramètres!$A$1:$I$89,5,0)</f>
        <v>-1.4897523215040567E-13</v>
      </c>
      <c r="FG183" s="14" t="e">
        <f t="shared" si="182"/>
        <v>#NUM!</v>
      </c>
      <c r="FH183" s="22" t="e">
        <f t="shared" si="183"/>
        <v>#NUM!</v>
      </c>
      <c r="FI183" s="62" t="e">
        <f t="shared" si="131"/>
        <v>#NUM!</v>
      </c>
      <c r="FJ183" s="62">
        <f ca="1">AVERAGE(OFFSET($FI$3,0,0,'Données projet'!$E$16+1,1))-AVERAGE(OFFSET($H$3,0,0,'Données projet'!$E$16+1,1))</f>
        <v>286.59837239471312</v>
      </c>
      <c r="FK183" s="62">
        <f t="shared" si="156"/>
        <v>319.26091328564689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11.418495395174716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11.418495395174716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-1.7053025658242404E-13</v>
      </c>
      <c r="GA183" s="18">
        <f>FZ183*VLOOKUP('Données projet'!$B$17,Paramètres!$A$1:$I$89,3,0)*VLOOKUP('Données projet'!$B$17,Paramètres!$A$1:$I$89,5,0)</f>
        <v>-1.1439169611549005E-13</v>
      </c>
      <c r="GB183" s="14" t="e">
        <f t="shared" si="185"/>
        <v>#NUM!</v>
      </c>
      <c r="GC183" s="22" t="e">
        <f t="shared" si="186"/>
        <v>#NUM!</v>
      </c>
      <c r="GD183" s="62" t="e">
        <f t="shared" si="134"/>
        <v>#NUM!</v>
      </c>
      <c r="GE183" s="62">
        <f ca="1">AVERAGE(OFFSET($GD$3,0,0,'Données projet'!$E$17+1,1))-AVERAGE(OFFSET($H$3,0,0,'Données projet'!$E$17+1,1))</f>
        <v>277.37570531842186</v>
      </c>
      <c r="GF183" s="62">
        <f t="shared" si="158"/>
        <v>310.00874200911312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projet'!$B$17,Paramètres!$A$1:$I$89,3,0)*0.475*44/12</f>
        <v>13.408534961200576</v>
      </c>
      <c r="GM183" s="23">
        <f>EXP(-LN(2)/25)*GM182+(1-EXP(-LN(2)/25))/(LN(2)/25)*Calculateur!GH183*Calculateur!GJ183*VLOOKUP('Données projet'!$B$17,Paramètres!$A$1:$I$89,3,0)*0.475*44/12</f>
        <v>0</v>
      </c>
      <c r="GN183" s="23">
        <f>EXP(-LN(2)/2)*GN182+(1-EXP(-LN(2)/2))/(LN(2)/2)*GH183*GK183*VLOOKUP('Données projet'!$B$17,Paramètres!$A$1:$I$89,3,0)*0.475*44/12</f>
        <v>0</v>
      </c>
      <c r="GO183" s="23">
        <f t="shared" si="187"/>
        <v>13.408534961200576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-5.6843418860808015E-14</v>
      </c>
      <c r="O184" s="14">
        <f>N184*VLOOKUP('Données projet'!$B$9,Paramètres!$A$1:$I$89,3,0)*VLOOKUP('Données projet'!$B$9,Paramètres!$A$1:$I$89,5,0)</f>
        <v>-4.9658410716801891E-14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401.34220206028908</v>
      </c>
      <c r="T184" s="62">
        <f t="shared" si="142"/>
        <v>265.33314259106987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64.019062094898459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64.019062094898459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1.7053025658242404E-13</v>
      </c>
      <c r="AJ184" s="14">
        <f>AI184*VLOOKUP('Données projet'!$B$10,Paramètres!$A$1:$I$89,3,0)*VLOOKUP('Données projet'!$B$10,Paramètres!$A$1:$I$89,5,0)</f>
        <v>7.9808160080574461E-14</v>
      </c>
      <c r="AK184" s="14">
        <f t="shared" si="164"/>
        <v>1.2308384591775343E-12</v>
      </c>
      <c r="AL184" s="22">
        <f t="shared" si="165"/>
        <v>2.282709528541206E-12</v>
      </c>
      <c r="AM184" s="62">
        <f t="shared" si="113"/>
        <v>289.47336565868636</v>
      </c>
      <c r="AN184" s="62">
        <f ca="1">AVERAGE(OFFSET($AM$3,0,0,'Données projet'!$E$10+1,1))-AVERAGE(OFFSET($H$3,0,0,'Données projet'!$E$10+1,1))</f>
        <v>253.48761861464732</v>
      </c>
      <c r="AO184" s="62">
        <f t="shared" si="144"/>
        <v>219.50855998133855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25.458231885725858</v>
      </c>
      <c r="AV184" s="23">
        <f>EXP(-LN(2)/25)*AV183+(1-EXP(-LN(2)/25))/(LN(2)/25)*Calculateur!AQ184*Calculateur!AS184*VLOOKUP('Données projet'!$B$10,Paramètres!$A$1:$I$89,3,0)*0.475*44/12</f>
        <v>3.0696493114392926</v>
      </c>
      <c r="AW184" s="23">
        <f>EXP(-LN(2)/2)*AW183+(1-EXP(-LN(2)/2))/(LN(2)/2)*AQ184*AT184*VLOOKUP('Données projet'!$B$10,Paramètres!$A$1:$I$89,3,0)*0.475*44/12</f>
        <v>1.5332121325153719E-11</v>
      </c>
      <c r="AX184" s="23">
        <f t="shared" si="166"/>
        <v>28.527881197180484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482.85256243111911</v>
      </c>
      <c r="BJ184" s="62">
        <f t="shared" si="146"/>
        <v>517.78430032567064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10.774145794509735</v>
      </c>
      <c r="BQ184" s="23">
        <f>EXP(-LN(2)/25)*BQ183+(1-EXP(-LN(2)/25))/(LN(2)/25)*Calculateur!BL184*Calculateur!BN184*VLOOKUP('Données projet'!$B$11,Paramètres!$A$1:$I$89,3,0)*0.475*44/12</f>
        <v>1.0515731692459624</v>
      </c>
      <c r="BR184" s="23">
        <f>EXP(-LN(2)/2)*BR183+(1-EXP(-LN(2)/2))/(LN(2)/2)*BL184*BO184*VLOOKUP('Données projet'!$B$11,Paramètres!$A$1:$I$89,3,0)*0.475*44/12</f>
        <v>3.57293351853575E-17</v>
      </c>
      <c r="BS184" s="24">
        <f t="shared" si="169"/>
        <v>11.825718963755698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>
        <f>BY184*VLOOKUP('Données projet'!$B$12,Paramètres!$A$1:$I$89,3,0)*VLOOKUP('Données projet'!$B$12,Paramètres!$A$1:$I$89,5,0)</f>
        <v>0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275.76900776033335</v>
      </c>
      <c r="CE184" s="62">
        <f t="shared" si="148"/>
        <v>299.36898480605191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10.325223053071827</v>
      </c>
      <c r="CL184" s="23">
        <f>EXP(-LN(2)/25)*CL183+(1-EXP(-LN(2)/25))/(LN(2)/25)*Calculateur!CG184*Calculateur!CI184*VLOOKUP('Données projet'!$B$12,Paramètres!$A$1:$I$89,3,0)*0.475*44/12</f>
        <v>1.0077576205273817</v>
      </c>
      <c r="CM184" s="23">
        <f>EXP(-LN(2)/2)*CM183+(1-EXP(-LN(2)/2))/(LN(2)/2)*CG184*CJ184*VLOOKUP('Données projet'!$B$12,Paramètres!$A$1:$I$89,3,0)*0.475*44/12</f>
        <v>3.4240612885967575E-17</v>
      </c>
      <c r="CN184" s="24">
        <f t="shared" si="172"/>
        <v>11.332980673599209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-5.6843418860808015E-14</v>
      </c>
      <c r="CU184" s="18">
        <f>CT184*VLOOKUP('Données projet'!$B$13,Paramètres!$A$1:$I$89,3,0)*VLOOKUP('Données projet'!$B$13,Paramètres!$A$1:$I$89,5,0)</f>
        <v>-6.2073013396002344E-14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482.24068797679558</v>
      </c>
      <c r="CZ184" s="62">
        <f t="shared" si="150"/>
        <v>316.28941055521693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80.023827618623031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80.023827618623031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-1.7053025658242404E-13</v>
      </c>
      <c r="DP184" s="18">
        <f>DO184*VLOOKUP('Données projet'!$B$14,Paramètres!$A$1:$I$89,3,0)*VLOOKUP('Données projet'!$B$14,Paramètres!$A$1:$I$89,5,0)</f>
        <v>-1.383341441396624E-13</v>
      </c>
      <c r="DQ184" s="14" t="e">
        <f t="shared" si="176"/>
        <v>#NUM!</v>
      </c>
      <c r="DR184" s="22" t="e">
        <f t="shared" si="177"/>
        <v>#NUM!</v>
      </c>
      <c r="DS184" s="62" t="e">
        <f t="shared" si="125"/>
        <v>#NUM!</v>
      </c>
      <c r="DT184" s="62">
        <f ca="1">AVERAGE(OFFSET($DS$3,0,0,'Données projet'!$E$14+1,1))-AVERAGE(OFFSET($H$3,0,0,'Données projet'!$E$14+1,1))</f>
        <v>325.58538970226539</v>
      </c>
      <c r="DU184" s="62">
        <f t="shared" si="152"/>
        <v>361.81085660423457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12.897571546953415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12.897571546953415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-2.8421709430404007E-13</v>
      </c>
      <c r="EK184" s="18">
        <f>EJ184*VLOOKUP('Données projet'!$B$15,Paramètres!$A$1:$I$89,3,0)*VLOOKUP('Données projet'!$B$15,Paramètres!$A$1:$I$89,5,0)</f>
        <v>-2.7489477361086758E-13</v>
      </c>
      <c r="EL184" s="14" t="e">
        <f t="shared" si="179"/>
        <v>#NUM!</v>
      </c>
      <c r="EM184" s="22" t="e">
        <f t="shared" si="180"/>
        <v>#NUM!</v>
      </c>
      <c r="EN184" s="62" t="e">
        <f t="shared" si="128"/>
        <v>#NUM!</v>
      </c>
      <c r="EO184" s="62">
        <f ca="1">AVERAGE(OFFSET($EN$3,0,0,'Données projet'!$E$15+1,1))-AVERAGE(OFFSET($H$3,0,0,'Données projet'!$E$15+1,1))</f>
        <v>364.22267539944085</v>
      </c>
      <c r="EP184" s="62">
        <f t="shared" si="154"/>
        <v>241.947139538615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56.702597855481457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56.702597855481457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-1.7053025658242404E-13</v>
      </c>
      <c r="FF184" s="18">
        <f>FE184*VLOOKUP('Données projet'!$B$16,Paramètres!$A$1:$I$89,3,0)*VLOOKUP('Données projet'!$B$16,Paramètres!$A$1:$I$89,5,0)</f>
        <v>-1.4897523215040567E-13</v>
      </c>
      <c r="FG184" s="14" t="e">
        <f t="shared" si="182"/>
        <v>#NUM!</v>
      </c>
      <c r="FH184" s="22" t="e">
        <f t="shared" si="183"/>
        <v>#NUM!</v>
      </c>
      <c r="FI184" s="62" t="e">
        <f t="shared" si="131"/>
        <v>#NUM!</v>
      </c>
      <c r="FJ184" s="62">
        <f ca="1">AVERAGE(OFFSET($FI$3,0,0,'Données projet'!$E$16+1,1))-AVERAGE(OFFSET($H$3,0,0,'Données projet'!$E$16+1,1))</f>
        <v>286.59837239471312</v>
      </c>
      <c r="FK184" s="62">
        <f t="shared" si="156"/>
        <v>319.26091328564689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11.194585665069834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11.194585665069834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-1.7053025658242404E-13</v>
      </c>
      <c r="GA184" s="18">
        <f>FZ184*VLOOKUP('Données projet'!$B$17,Paramètres!$A$1:$I$89,3,0)*VLOOKUP('Données projet'!$B$17,Paramètres!$A$1:$I$89,5,0)</f>
        <v>-1.1439169611549005E-13</v>
      </c>
      <c r="GB184" s="14" t="e">
        <f t="shared" si="185"/>
        <v>#NUM!</v>
      </c>
      <c r="GC184" s="22" t="e">
        <f t="shared" si="186"/>
        <v>#NUM!</v>
      </c>
      <c r="GD184" s="62" t="e">
        <f t="shared" si="134"/>
        <v>#NUM!</v>
      </c>
      <c r="GE184" s="62">
        <f ca="1">AVERAGE(OFFSET($GD$3,0,0,'Données projet'!$E$17+1,1))-AVERAGE(OFFSET($H$3,0,0,'Données projet'!$E$17+1,1))</f>
        <v>277.37570531842186</v>
      </c>
      <c r="GF184" s="62">
        <f t="shared" si="158"/>
        <v>310.00874200911312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projet'!$B$17,Paramètres!$A$1:$I$89,3,0)*0.475*44/12</f>
        <v>13.145601769010209</v>
      </c>
      <c r="GM184" s="23">
        <f>EXP(-LN(2)/25)*GM183+(1-EXP(-LN(2)/25))/(LN(2)/25)*Calculateur!GH184*Calculateur!GJ184*VLOOKUP('Données projet'!$B$17,Paramètres!$A$1:$I$89,3,0)*0.475*44/12</f>
        <v>0</v>
      </c>
      <c r="GN184" s="23">
        <f>EXP(-LN(2)/2)*GN183+(1-EXP(-LN(2)/2))/(LN(2)/2)*GH184*GK184*VLOOKUP('Données projet'!$B$17,Paramètres!$A$1:$I$89,3,0)*0.475*44/12</f>
        <v>0</v>
      </c>
      <c r="GO184" s="23">
        <f t="shared" si="187"/>
        <v>13.145601769010209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-5.6843418860808015E-14</v>
      </c>
      <c r="O185" s="14">
        <f>N185*VLOOKUP('Données projet'!$B$9,Paramètres!$A$1:$I$89,3,0)*VLOOKUP('Données projet'!$B$9,Paramètres!$A$1:$I$89,5,0)</f>
        <v>-4.9658410716801891E-14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401.34220206028908</v>
      </c>
      <c r="T185" s="62">
        <f t="shared" si="142"/>
        <v>265.33314259106987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62.763687334989733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62.763687334989733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1.7053025658242404E-13</v>
      </c>
      <c r="AJ185" s="14">
        <f>AI185*VLOOKUP('Données projet'!$B$10,Paramètres!$A$1:$I$89,3,0)*VLOOKUP('Données projet'!$B$10,Paramètres!$A$1:$I$89,5,0)</f>
        <v>7.9808160080574461E-14</v>
      </c>
      <c r="AK185" s="14">
        <f t="shared" si="164"/>
        <v>1.2308384591775343E-12</v>
      </c>
      <c r="AL185" s="22">
        <f t="shared" si="165"/>
        <v>2.282709528541206E-12</v>
      </c>
      <c r="AM185" s="62">
        <f t="shared" si="113"/>
        <v>289.54032746824669</v>
      </c>
      <c r="AN185" s="62">
        <f ca="1">AVERAGE(OFFSET($AM$3,0,0,'Données projet'!$E$10+1,1))-AVERAGE(OFFSET($H$3,0,0,'Données projet'!$E$10+1,1))</f>
        <v>253.48761861464732</v>
      </c>
      <c r="AO185" s="62">
        <f t="shared" si="144"/>
        <v>219.50855998133855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24.959011486434964</v>
      </c>
      <c r="AV185" s="23">
        <f>EXP(-LN(2)/25)*AV184+(1-EXP(-LN(2)/25))/(LN(2)/25)*Calculateur!AQ185*Calculateur!AS185*VLOOKUP('Données projet'!$B$10,Paramètres!$A$1:$I$89,3,0)*0.475*44/12</f>
        <v>2.9857095895921435</v>
      </c>
      <c r="AW185" s="23">
        <f>EXP(-LN(2)/2)*AW184+(1-EXP(-LN(2)/2))/(LN(2)/2)*AQ185*AT185*VLOOKUP('Données projet'!$B$10,Paramètres!$A$1:$I$89,3,0)*0.475*44/12</f>
        <v>1.084144695899107E-11</v>
      </c>
      <c r="AX185" s="23">
        <f t="shared" si="166"/>
        <v>27.944721076037951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482.85256243111911</v>
      </c>
      <c r="BJ185" s="62">
        <f t="shared" si="146"/>
        <v>517.78430032567064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10.562871367059444</v>
      </c>
      <c r="BQ185" s="23">
        <f>EXP(-LN(2)/25)*BQ184+(1-EXP(-LN(2)/25))/(LN(2)/25)*Calculateur!BL185*Calculateur!BN185*VLOOKUP('Données projet'!$B$11,Paramètres!$A$1:$I$89,3,0)*0.475*44/12</f>
        <v>1.0228178456331021</v>
      </c>
      <c r="BR185" s="23">
        <f>EXP(-LN(2)/2)*BR184+(1-EXP(-LN(2)/2))/(LN(2)/2)*BL185*BO185*VLOOKUP('Données projet'!$B$11,Paramètres!$A$1:$I$89,3,0)*0.475*44/12</f>
        <v>2.52644551968534E-17</v>
      </c>
      <c r="BS185" s="24">
        <f t="shared" si="169"/>
        <v>11.585689212692547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>
        <f>BY185*VLOOKUP('Données projet'!$B$12,Paramètres!$A$1:$I$89,3,0)*VLOOKUP('Données projet'!$B$12,Paramètres!$A$1:$I$89,5,0)</f>
        <v>0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275.76900776033335</v>
      </c>
      <c r="CE185" s="62">
        <f t="shared" si="148"/>
        <v>299.36898480605191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10.122751726765298</v>
      </c>
      <c r="CL185" s="23">
        <f>EXP(-LN(2)/25)*CL184+(1-EXP(-LN(2)/25))/(LN(2)/25)*Calculateur!CG185*Calculateur!CI185*VLOOKUP('Données projet'!$B$12,Paramètres!$A$1:$I$89,3,0)*0.475*44/12</f>
        <v>0.98020043539839041</v>
      </c>
      <c r="CM185" s="23">
        <f>EXP(-LN(2)/2)*CM184+(1-EXP(-LN(2)/2))/(LN(2)/2)*CG185*CJ185*VLOOKUP('Données projet'!$B$12,Paramètres!$A$1:$I$89,3,0)*0.475*44/12</f>
        <v>2.4211769563651154E-17</v>
      </c>
      <c r="CN185" s="24">
        <f t="shared" si="172"/>
        <v>11.102952162163689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-5.6843418860808015E-14</v>
      </c>
      <c r="CU185" s="18">
        <f>CT185*VLOOKUP('Données projet'!$B$13,Paramètres!$A$1:$I$89,3,0)*VLOOKUP('Données projet'!$B$13,Paramètres!$A$1:$I$89,5,0)</f>
        <v>-6.2073013396002344E-14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482.24068797679558</v>
      </c>
      <c r="CZ185" s="62">
        <f t="shared" si="150"/>
        <v>316.28941055521693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78.454609168737122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78.454609168737122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-1.7053025658242404E-13</v>
      </c>
      <c r="DP185" s="18">
        <f>DO185*VLOOKUP('Données projet'!$B$14,Paramètres!$A$1:$I$89,3,0)*VLOOKUP('Données projet'!$B$14,Paramètres!$A$1:$I$89,5,0)</f>
        <v>-1.383341441396624E-13</v>
      </c>
      <c r="DQ185" s="14" t="e">
        <f t="shared" si="176"/>
        <v>#NUM!</v>
      </c>
      <c r="DR185" s="22" t="e">
        <f t="shared" si="177"/>
        <v>#NUM!</v>
      </c>
      <c r="DS185" s="62" t="e">
        <f t="shared" si="125"/>
        <v>#NUM!</v>
      </c>
      <c r="DT185" s="62">
        <f ca="1">AVERAGE(OFFSET($DS$3,0,0,'Données projet'!$E$14+1,1))-AVERAGE(OFFSET($H$3,0,0,'Données projet'!$E$14+1,1))</f>
        <v>325.58538970226539</v>
      </c>
      <c r="DU185" s="62">
        <f t="shared" si="152"/>
        <v>361.81085660423457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12.644658035659527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12.644658035659527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-2.8421709430404007E-13</v>
      </c>
      <c r="EK185" s="18">
        <f>EJ185*VLOOKUP('Données projet'!$B$15,Paramètres!$A$1:$I$89,3,0)*VLOOKUP('Données projet'!$B$15,Paramètres!$A$1:$I$89,5,0)</f>
        <v>-2.7489477361086758E-13</v>
      </c>
      <c r="EL185" s="14" t="e">
        <f t="shared" si="179"/>
        <v>#NUM!</v>
      </c>
      <c r="EM185" s="22" t="e">
        <f t="shared" si="180"/>
        <v>#NUM!</v>
      </c>
      <c r="EN185" s="62" t="e">
        <f t="shared" si="128"/>
        <v>#NUM!</v>
      </c>
      <c r="EO185" s="62">
        <f ca="1">AVERAGE(OFFSET($EN$3,0,0,'Données projet'!$E$15+1,1))-AVERAGE(OFFSET($H$3,0,0,'Données projet'!$E$15+1,1))</f>
        <v>364.22267539944085</v>
      </c>
      <c r="EP185" s="62">
        <f t="shared" si="154"/>
        <v>241.947139538615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55.590694496705154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55.590694496705154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-1.7053025658242404E-13</v>
      </c>
      <c r="FF185" s="18">
        <f>FE185*VLOOKUP('Données projet'!$B$16,Paramètres!$A$1:$I$89,3,0)*VLOOKUP('Données projet'!$B$16,Paramètres!$A$1:$I$89,5,0)</f>
        <v>-1.4897523215040567E-13</v>
      </c>
      <c r="FG185" s="14" t="e">
        <f t="shared" si="182"/>
        <v>#NUM!</v>
      </c>
      <c r="FH185" s="22" t="e">
        <f t="shared" si="183"/>
        <v>#NUM!</v>
      </c>
      <c r="FI185" s="62" t="e">
        <f t="shared" si="131"/>
        <v>#NUM!</v>
      </c>
      <c r="FJ185" s="62">
        <f ca="1">AVERAGE(OFFSET($FI$3,0,0,'Données projet'!$E$16+1,1))-AVERAGE(OFFSET($H$3,0,0,'Données projet'!$E$16+1,1))</f>
        <v>286.59837239471312</v>
      </c>
      <c r="FK185" s="62">
        <f t="shared" si="156"/>
        <v>319.26091328564689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10.975066668200858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10.975066668200858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-1.7053025658242404E-13</v>
      </c>
      <c r="GA185" s="18">
        <f>FZ185*VLOOKUP('Données projet'!$B$17,Paramètres!$A$1:$I$89,3,0)*VLOOKUP('Données projet'!$B$17,Paramètres!$A$1:$I$89,5,0)</f>
        <v>-1.1439169611549005E-13</v>
      </c>
      <c r="GB185" s="14" t="e">
        <f t="shared" si="185"/>
        <v>#NUM!</v>
      </c>
      <c r="GC185" s="22" t="e">
        <f t="shared" si="186"/>
        <v>#NUM!</v>
      </c>
      <c r="GD185" s="62" t="e">
        <f t="shared" si="134"/>
        <v>#NUM!</v>
      </c>
      <c r="GE185" s="62">
        <f ca="1">AVERAGE(OFFSET($GD$3,0,0,'Données projet'!$E$17+1,1))-AVERAGE(OFFSET($H$3,0,0,'Données projet'!$E$17+1,1))</f>
        <v>277.37570531842186</v>
      </c>
      <c r="GF185" s="62">
        <f t="shared" si="158"/>
        <v>310.00874200911312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projet'!$B$17,Paramètres!$A$1:$I$89,3,0)*0.475*44/12</f>
        <v>12.887824536345285</v>
      </c>
      <c r="GM185" s="23">
        <f>EXP(-LN(2)/25)*GM184+(1-EXP(-LN(2)/25))/(LN(2)/25)*Calculateur!GH185*Calculateur!GJ185*VLOOKUP('Données projet'!$B$17,Paramètres!$A$1:$I$89,3,0)*0.475*44/12</f>
        <v>0</v>
      </c>
      <c r="GN185" s="23">
        <f>EXP(-LN(2)/2)*GN184+(1-EXP(-LN(2)/2))/(LN(2)/2)*GH185*GK185*VLOOKUP('Données projet'!$B$17,Paramètres!$A$1:$I$89,3,0)*0.475*44/12</f>
        <v>0</v>
      </c>
      <c r="GO185" s="23">
        <f t="shared" si="187"/>
        <v>12.887824536345285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-5.6843418860808015E-14</v>
      </c>
      <c r="O186" s="14">
        <f>N186*VLOOKUP('Données projet'!$B$9,Paramètres!$A$1:$I$89,3,0)*VLOOKUP('Données projet'!$B$9,Paramètres!$A$1:$I$89,5,0)</f>
        <v>-4.9658410716801891E-14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401.34220206028908</v>
      </c>
      <c r="T186" s="62">
        <f t="shared" si="142"/>
        <v>265.33314259106987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61.532929708419822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61.532929708419822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1.7053025658242404E-13</v>
      </c>
      <c r="AJ186" s="14">
        <f>AI186*VLOOKUP('Données projet'!$B$10,Paramètres!$A$1:$I$89,3,0)*VLOOKUP('Données projet'!$B$10,Paramètres!$A$1:$I$89,5,0)</f>
        <v>7.9808160080574461E-14</v>
      </c>
      <c r="AK186" s="14">
        <f t="shared" si="164"/>
        <v>1.2308384591775343E-12</v>
      </c>
      <c r="AL186" s="22">
        <f t="shared" si="165"/>
        <v>2.282709528541206E-12</v>
      </c>
      <c r="AM186" s="62">
        <f t="shared" si="113"/>
        <v>289.60612764011523</v>
      </c>
      <c r="AN186" s="62">
        <f ca="1">AVERAGE(OFFSET($AM$3,0,0,'Données projet'!$E$10+1,1))-AVERAGE(OFFSET($H$3,0,0,'Données projet'!$E$10+1,1))</f>
        <v>253.48761861464732</v>
      </c>
      <c r="AO186" s="62">
        <f t="shared" si="144"/>
        <v>219.50855998133855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24.469580494679786</v>
      </c>
      <c r="AV186" s="23">
        <f>EXP(-LN(2)/25)*AV185+(1-EXP(-LN(2)/25))/(LN(2)/25)*Calculateur!AQ186*Calculateur!AS186*VLOOKUP('Données projet'!$B$10,Paramètres!$A$1:$I$89,3,0)*0.475*44/12</f>
        <v>2.904065203853103</v>
      </c>
      <c r="AW186" s="23">
        <f>EXP(-LN(2)/2)*AW185+(1-EXP(-LN(2)/2))/(LN(2)/2)*AQ186*AT186*VLOOKUP('Données projet'!$B$10,Paramètres!$A$1:$I$89,3,0)*0.475*44/12</f>
        <v>7.6660606625768597E-12</v>
      </c>
      <c r="AX186" s="23">
        <f t="shared" si="166"/>
        <v>27.373645698540557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482.85256243111911</v>
      </c>
      <c r="BJ186" s="62">
        <f t="shared" si="146"/>
        <v>517.78430032567064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10.355739902266777</v>
      </c>
      <c r="BQ186" s="23">
        <f>EXP(-LN(2)/25)*BQ185+(1-EXP(-LN(2)/25))/(LN(2)/25)*Calculateur!BL186*Calculateur!BN186*VLOOKUP('Données projet'!$B$11,Paramètres!$A$1:$I$89,3,0)*0.475*44/12</f>
        <v>0.99484883785661204</v>
      </c>
      <c r="BR186" s="23">
        <f>EXP(-LN(2)/2)*BR185+(1-EXP(-LN(2)/2))/(LN(2)/2)*BL186*BO186*VLOOKUP('Données projet'!$B$11,Paramètres!$A$1:$I$89,3,0)*0.475*44/12</f>
        <v>1.786466759267875E-17</v>
      </c>
      <c r="BS186" s="24">
        <f t="shared" si="169"/>
        <v>11.350588740123388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>
        <f>BY186*VLOOKUP('Données projet'!$B$12,Paramètres!$A$1:$I$89,3,0)*VLOOKUP('Données projet'!$B$12,Paramètres!$A$1:$I$89,5,0)</f>
        <v>0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275.76900776033335</v>
      </c>
      <c r="CE186" s="62">
        <f t="shared" si="148"/>
        <v>299.36898480605191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9.9242507396723258</v>
      </c>
      <c r="CL186" s="23">
        <f>EXP(-LN(2)/25)*CL185+(1-EXP(-LN(2)/25))/(LN(2)/25)*Calculateur!CG186*Calculateur!CI186*VLOOKUP('Données projet'!$B$12,Paramètres!$A$1:$I$89,3,0)*0.475*44/12</f>
        <v>0.95339680294592077</v>
      </c>
      <c r="CM186" s="23">
        <f>EXP(-LN(2)/2)*CM185+(1-EXP(-LN(2)/2))/(LN(2)/2)*CG186*CJ186*VLOOKUP('Données projet'!$B$12,Paramètres!$A$1:$I$89,3,0)*0.475*44/12</f>
        <v>1.7120306442983787E-17</v>
      </c>
      <c r="CN186" s="24">
        <f t="shared" si="172"/>
        <v>10.877647542618247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-5.6843418860808015E-14</v>
      </c>
      <c r="CU186" s="18">
        <f>CT186*VLOOKUP('Données projet'!$B$13,Paramètres!$A$1:$I$89,3,0)*VLOOKUP('Données projet'!$B$13,Paramètres!$A$1:$I$89,5,0)</f>
        <v>-6.2073013396002344E-14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482.24068797679558</v>
      </c>
      <c r="CZ186" s="62">
        <f t="shared" si="150"/>
        <v>316.28941055521693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76.916162135524729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76.916162135524729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-1.7053025658242404E-13</v>
      </c>
      <c r="DP186" s="18">
        <f>DO186*VLOOKUP('Données projet'!$B$14,Paramètres!$A$1:$I$89,3,0)*VLOOKUP('Données projet'!$B$14,Paramètres!$A$1:$I$89,5,0)</f>
        <v>-1.383341441396624E-13</v>
      </c>
      <c r="DQ186" s="14" t="e">
        <f t="shared" si="176"/>
        <v>#NUM!</v>
      </c>
      <c r="DR186" s="22" t="e">
        <f t="shared" si="177"/>
        <v>#NUM!</v>
      </c>
      <c r="DS186" s="62" t="e">
        <f t="shared" si="125"/>
        <v>#NUM!</v>
      </c>
      <c r="DT186" s="62">
        <f ca="1">AVERAGE(OFFSET($DS$3,0,0,'Données projet'!$E$14+1,1))-AVERAGE(OFFSET($H$3,0,0,'Données projet'!$E$14+1,1))</f>
        <v>325.58538970226539</v>
      </c>
      <c r="DU186" s="62">
        <f t="shared" si="152"/>
        <v>361.81085660423457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12.396704004060101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12.396704004060101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-2.8421709430404007E-13</v>
      </c>
      <c r="EK186" s="18">
        <f>EJ186*VLOOKUP('Données projet'!$B$15,Paramètres!$A$1:$I$89,3,0)*VLOOKUP('Données projet'!$B$15,Paramètres!$A$1:$I$89,5,0)</f>
        <v>-2.7489477361086758E-13</v>
      </c>
      <c r="EL186" s="14" t="e">
        <f t="shared" si="179"/>
        <v>#NUM!</v>
      </c>
      <c r="EM186" s="22" t="e">
        <f t="shared" si="180"/>
        <v>#NUM!</v>
      </c>
      <c r="EN186" s="62" t="e">
        <f t="shared" si="128"/>
        <v>#NUM!</v>
      </c>
      <c r="EO186" s="62">
        <f ca="1">AVERAGE(OFFSET($EN$3,0,0,'Données projet'!$E$15+1,1))-AVERAGE(OFFSET($H$3,0,0,'Données projet'!$E$15+1,1))</f>
        <v>364.22267539944085</v>
      </c>
      <c r="EP186" s="62">
        <f t="shared" si="154"/>
        <v>241.947139538615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54.500594884600375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54.500594884600375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-1.7053025658242404E-13</v>
      </c>
      <c r="FF186" s="18">
        <f>FE186*VLOOKUP('Données projet'!$B$16,Paramètres!$A$1:$I$89,3,0)*VLOOKUP('Données projet'!$B$16,Paramètres!$A$1:$I$89,5,0)</f>
        <v>-1.4897523215040567E-13</v>
      </c>
      <c r="FG186" s="14" t="e">
        <f t="shared" si="182"/>
        <v>#NUM!</v>
      </c>
      <c r="FH186" s="22" t="e">
        <f t="shared" si="183"/>
        <v>#NUM!</v>
      </c>
      <c r="FI186" s="62" t="e">
        <f t="shared" si="131"/>
        <v>#NUM!</v>
      </c>
      <c r="FJ186" s="62">
        <f ca="1">AVERAGE(OFFSET($FI$3,0,0,'Données projet'!$E$16+1,1))-AVERAGE(OFFSET($H$3,0,0,'Données projet'!$E$16+1,1))</f>
        <v>286.59837239471312</v>
      </c>
      <c r="FK186" s="62">
        <f t="shared" si="156"/>
        <v>319.26091328564689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10.759852304967117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10.759852304967117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-1.7053025658242404E-13</v>
      </c>
      <c r="GA186" s="18">
        <f>FZ186*VLOOKUP('Données projet'!$B$17,Paramètres!$A$1:$I$89,3,0)*VLOOKUP('Données projet'!$B$17,Paramètres!$A$1:$I$89,5,0)</f>
        <v>-1.1439169611549005E-13</v>
      </c>
      <c r="GB186" s="14" t="e">
        <f t="shared" si="185"/>
        <v>#NUM!</v>
      </c>
      <c r="GC186" s="22" t="e">
        <f t="shared" si="186"/>
        <v>#NUM!</v>
      </c>
      <c r="GD186" s="62" t="e">
        <f t="shared" si="134"/>
        <v>#NUM!</v>
      </c>
      <c r="GE186" s="62">
        <f ca="1">AVERAGE(OFFSET($GD$3,0,0,'Données projet'!$E$17+1,1))-AVERAGE(OFFSET($H$3,0,0,'Données projet'!$E$17+1,1))</f>
        <v>277.37570531842186</v>
      </c>
      <c r="GF186" s="62">
        <f t="shared" si="158"/>
        <v>310.00874200911312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projet'!$B$17,Paramètres!$A$1:$I$89,3,0)*0.475*44/12</f>
        <v>12.635102157984331</v>
      </c>
      <c r="GM186" s="23">
        <f>EXP(-LN(2)/25)*GM185+(1-EXP(-LN(2)/25))/(LN(2)/25)*Calculateur!GH186*Calculateur!GJ186*VLOOKUP('Données projet'!$B$17,Paramètres!$A$1:$I$89,3,0)*0.475*44/12</f>
        <v>0</v>
      </c>
      <c r="GN186" s="23">
        <f>EXP(-LN(2)/2)*GN185+(1-EXP(-LN(2)/2))/(LN(2)/2)*GH186*GK186*VLOOKUP('Données projet'!$B$17,Paramètres!$A$1:$I$89,3,0)*0.475*44/12</f>
        <v>0</v>
      </c>
      <c r="GO186" s="23">
        <f t="shared" si="187"/>
        <v>12.635102157984331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-5.6843418860808015E-14</v>
      </c>
      <c r="O187" s="14">
        <f>N187*VLOOKUP('Données projet'!$B$9,Paramètres!$A$1:$I$89,3,0)*VLOOKUP('Données projet'!$B$9,Paramètres!$A$1:$I$89,5,0)</f>
        <v>-4.9658410716801891E-14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401.34220206028908</v>
      </c>
      <c r="T187" s="62">
        <f t="shared" si="142"/>
        <v>265.33314259106987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60.326306488218918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60.326306488218918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1.7053025658242404E-13</v>
      </c>
      <c r="AJ187" s="14">
        <f>AI187*VLOOKUP('Données projet'!$B$10,Paramètres!$A$1:$I$89,3,0)*VLOOKUP('Données projet'!$B$10,Paramètres!$A$1:$I$89,5,0)</f>
        <v>7.9808160080574461E-14</v>
      </c>
      <c r="AK187" s="14">
        <f t="shared" si="164"/>
        <v>1.2308384591775343E-12</v>
      </c>
      <c r="AL187" s="22">
        <f t="shared" si="165"/>
        <v>2.282709528541206E-12</v>
      </c>
      <c r="AM187" s="62">
        <f t="shared" si="113"/>
        <v>289.67078632610901</v>
      </c>
      <c r="AN187" s="62">
        <f ca="1">AVERAGE(OFFSET($AM$3,0,0,'Données projet'!$E$10+1,1))-AVERAGE(OFFSET($H$3,0,0,'Données projet'!$E$10+1,1))</f>
        <v>253.48761861464732</v>
      </c>
      <c r="AO187" s="62">
        <f t="shared" si="144"/>
        <v>219.50855998133855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23.989746946149499</v>
      </c>
      <c r="AV187" s="23">
        <f>EXP(-LN(2)/25)*AV186+(1-EXP(-LN(2)/25))/(LN(2)/25)*Calculateur!AQ187*Calculateur!AS187*VLOOKUP('Données projet'!$B$10,Paramètres!$A$1:$I$89,3,0)*0.475*44/12</f>
        <v>2.8246533881355882</v>
      </c>
      <c r="AW187" s="23">
        <f>EXP(-LN(2)/2)*AW186+(1-EXP(-LN(2)/2))/(LN(2)/2)*AQ187*AT187*VLOOKUP('Données projet'!$B$10,Paramètres!$A$1:$I$89,3,0)*0.475*44/12</f>
        <v>5.4207234794955351E-12</v>
      </c>
      <c r="AX187" s="23">
        <f t="shared" si="166"/>
        <v>26.814400334290507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482.85256243111911</v>
      </c>
      <c r="BJ187" s="62">
        <f t="shared" si="146"/>
        <v>517.78430032567064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10.152670159160975</v>
      </c>
      <c r="BQ187" s="23">
        <f>EXP(-LN(2)/25)*BQ186+(1-EXP(-LN(2)/25))/(LN(2)/25)*Calculateur!BL187*Calculateur!BN187*VLOOKUP('Données projet'!$B$11,Paramètres!$A$1:$I$89,3,0)*0.475*44/12</f>
        <v>0.9676446440685964</v>
      </c>
      <c r="BR187" s="23">
        <f>EXP(-LN(2)/2)*BR186+(1-EXP(-LN(2)/2))/(LN(2)/2)*BL187*BO187*VLOOKUP('Données projet'!$B$11,Paramètres!$A$1:$I$89,3,0)*0.475*44/12</f>
        <v>1.26322275984267E-17</v>
      </c>
      <c r="BS187" s="24">
        <f t="shared" si="169"/>
        <v>11.12031480322957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>
        <f>BY187*VLOOKUP('Données projet'!$B$12,Paramètres!$A$1:$I$89,3,0)*VLOOKUP('Données projet'!$B$12,Paramètres!$A$1:$I$89,5,0)</f>
        <v>0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275.76900776033335</v>
      </c>
      <c r="CE187" s="62">
        <f t="shared" si="148"/>
        <v>299.36898480605191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9.7296422358625989</v>
      </c>
      <c r="CL187" s="23">
        <f>EXP(-LN(2)/25)*CL186+(1-EXP(-LN(2)/25))/(LN(2)/25)*Calculateur!CG187*Calculateur!CI187*VLOOKUP('Données projet'!$B$12,Paramètres!$A$1:$I$89,3,0)*0.475*44/12</f>
        <v>0.92732611723240577</v>
      </c>
      <c r="CM187" s="23">
        <f>EXP(-LN(2)/2)*CM186+(1-EXP(-LN(2)/2))/(LN(2)/2)*CG187*CJ187*VLOOKUP('Données projet'!$B$12,Paramètres!$A$1:$I$89,3,0)*0.475*44/12</f>
        <v>1.2105884781825577E-17</v>
      </c>
      <c r="CN187" s="24">
        <f t="shared" si="172"/>
        <v>10.656968353095005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-5.6843418860808015E-14</v>
      </c>
      <c r="CU187" s="18">
        <f>CT187*VLOOKUP('Données projet'!$B$13,Paramètres!$A$1:$I$89,3,0)*VLOOKUP('Données projet'!$B$13,Paramètres!$A$1:$I$89,5,0)</f>
        <v>-6.2073013396002344E-14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482.24068797679558</v>
      </c>
      <c r="CZ187" s="62">
        <f t="shared" si="150"/>
        <v>316.28941055521693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75.407883110273602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75.407883110273602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-1.7053025658242404E-13</v>
      </c>
      <c r="DP187" s="18">
        <f>DO187*VLOOKUP('Données projet'!$B$14,Paramètres!$A$1:$I$89,3,0)*VLOOKUP('Données projet'!$B$14,Paramètres!$A$1:$I$89,5,0)</f>
        <v>-1.383341441396624E-13</v>
      </c>
      <c r="DQ187" s="14" t="e">
        <f t="shared" si="176"/>
        <v>#NUM!</v>
      </c>
      <c r="DR187" s="22" t="e">
        <f t="shared" si="177"/>
        <v>#NUM!</v>
      </c>
      <c r="DS187" s="62" t="e">
        <f t="shared" si="125"/>
        <v>#NUM!</v>
      </c>
      <c r="DT187" s="62">
        <f ca="1">AVERAGE(OFFSET($DS$3,0,0,'Données projet'!$E$14+1,1))-AVERAGE(OFFSET($H$3,0,0,'Données projet'!$E$14+1,1))</f>
        <v>325.58538970226539</v>
      </c>
      <c r="DU187" s="62">
        <f t="shared" si="152"/>
        <v>361.81085660423457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12.153612199783314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12.153612199783314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-2.8421709430404007E-13</v>
      </c>
      <c r="EK187" s="18">
        <f>EJ187*VLOOKUP('Données projet'!$B$15,Paramètres!$A$1:$I$89,3,0)*VLOOKUP('Données projet'!$B$15,Paramètres!$A$1:$I$89,5,0)</f>
        <v>-2.7489477361086758E-13</v>
      </c>
      <c r="EL187" s="14" t="e">
        <f t="shared" si="179"/>
        <v>#NUM!</v>
      </c>
      <c r="EM187" s="22" t="e">
        <f t="shared" si="180"/>
        <v>#NUM!</v>
      </c>
      <c r="EN187" s="62" t="e">
        <f t="shared" si="128"/>
        <v>#NUM!</v>
      </c>
      <c r="EO187" s="62">
        <f ca="1">AVERAGE(OFFSET($EN$3,0,0,'Données projet'!$E$15+1,1))-AVERAGE(OFFSET($H$3,0,0,'Données projet'!$E$15+1,1))</f>
        <v>364.22267539944085</v>
      </c>
      <c r="EP187" s="62">
        <f t="shared" si="154"/>
        <v>241.947139538615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53.431871460993861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53.431871460993861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-1.7053025658242404E-13</v>
      </c>
      <c r="FF187" s="18">
        <f>FE187*VLOOKUP('Données projet'!$B$16,Paramètres!$A$1:$I$89,3,0)*VLOOKUP('Données projet'!$B$16,Paramètres!$A$1:$I$89,5,0)</f>
        <v>-1.4897523215040567E-13</v>
      </c>
      <c r="FG187" s="14" t="e">
        <f t="shared" si="182"/>
        <v>#NUM!</v>
      </c>
      <c r="FH187" s="22" t="e">
        <f t="shared" si="183"/>
        <v>#NUM!</v>
      </c>
      <c r="FI187" s="62" t="e">
        <f t="shared" si="131"/>
        <v>#NUM!</v>
      </c>
      <c r="FJ187" s="62">
        <f ca="1">AVERAGE(OFFSET($FI$3,0,0,'Données projet'!$E$16+1,1))-AVERAGE(OFFSET($H$3,0,0,'Données projet'!$E$16+1,1))</f>
        <v>286.59837239471312</v>
      </c>
      <c r="FK187" s="62">
        <f t="shared" si="156"/>
        <v>319.26091328564689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10.548858164128589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10.548858164128589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-1.7053025658242404E-13</v>
      </c>
      <c r="GA187" s="18">
        <f>FZ187*VLOOKUP('Données projet'!$B$17,Paramètres!$A$1:$I$89,3,0)*VLOOKUP('Données projet'!$B$17,Paramètres!$A$1:$I$89,5,0)</f>
        <v>-1.1439169611549005E-13</v>
      </c>
      <c r="GB187" s="14" t="e">
        <f t="shared" si="185"/>
        <v>#NUM!</v>
      </c>
      <c r="GC187" s="22" t="e">
        <f t="shared" si="186"/>
        <v>#NUM!</v>
      </c>
      <c r="GD187" s="62" t="e">
        <f t="shared" si="134"/>
        <v>#NUM!</v>
      </c>
      <c r="GE187" s="62">
        <f ca="1">AVERAGE(OFFSET($GD$3,0,0,'Données projet'!$E$17+1,1))-AVERAGE(OFFSET($H$3,0,0,'Données projet'!$E$17+1,1))</f>
        <v>277.37570531842186</v>
      </c>
      <c r="GF187" s="62">
        <f t="shared" si="158"/>
        <v>310.00874200911312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projet'!$B$17,Paramètres!$A$1:$I$89,3,0)*0.475*44/12</f>
        <v>12.387335511317607</v>
      </c>
      <c r="GM187" s="23">
        <f>EXP(-LN(2)/25)*GM186+(1-EXP(-LN(2)/25))/(LN(2)/25)*Calculateur!GH187*Calculateur!GJ187*VLOOKUP('Données projet'!$B$17,Paramètres!$A$1:$I$89,3,0)*0.475*44/12</f>
        <v>0</v>
      </c>
      <c r="GN187" s="23">
        <f>EXP(-LN(2)/2)*GN186+(1-EXP(-LN(2)/2))/(LN(2)/2)*GH187*GK187*VLOOKUP('Données projet'!$B$17,Paramètres!$A$1:$I$89,3,0)*0.475*44/12</f>
        <v>0</v>
      </c>
      <c r="GO187" s="23">
        <f t="shared" si="187"/>
        <v>12.387335511317607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-5.6843418860808015E-14</v>
      </c>
      <c r="O188" s="14">
        <f>N188*VLOOKUP('Données projet'!$B$9,Paramètres!$A$1:$I$89,3,0)*VLOOKUP('Données projet'!$B$9,Paramètres!$A$1:$I$89,5,0)</f>
        <v>-4.9658410716801891E-14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401.34220206028908</v>
      </c>
      <c r="T188" s="62">
        <f t="shared" si="142"/>
        <v>265.33314259106987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59.143344413398658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59.143344413398658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1.7053025658242404E-13</v>
      </c>
      <c r="AJ188" s="14">
        <f>AI188*VLOOKUP('Données projet'!$B$10,Paramètres!$A$1:$I$89,3,0)*VLOOKUP('Données projet'!$B$10,Paramètres!$A$1:$I$89,5,0)</f>
        <v>7.9808160080574461E-14</v>
      </c>
      <c r="AK188" s="14">
        <f t="shared" si="164"/>
        <v>1.2308384591775343E-12</v>
      </c>
      <c r="AL188" s="22">
        <f t="shared" si="165"/>
        <v>2.282709528541206E-12</v>
      </c>
      <c r="AM188" s="62">
        <f t="shared" si="113"/>
        <v>289.73432332845601</v>
      </c>
      <c r="AN188" s="62">
        <f ca="1">AVERAGE(OFFSET($AM$3,0,0,'Données projet'!$E$10+1,1))-AVERAGE(OFFSET($H$3,0,0,'Données projet'!$E$10+1,1))</f>
        <v>253.48761861464732</v>
      </c>
      <c r="AO188" s="62">
        <f t="shared" si="144"/>
        <v>219.50855998133855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23.519322640836325</v>
      </c>
      <c r="AV188" s="23">
        <f>EXP(-LN(2)/25)*AV187+(1-EXP(-LN(2)/25))/(LN(2)/25)*Calculateur!AQ188*Calculateur!AS188*VLOOKUP('Données projet'!$B$10,Paramètres!$A$1:$I$89,3,0)*0.475*44/12</f>
        <v>2.7474130926949547</v>
      </c>
      <c r="AW188" s="23">
        <f>EXP(-LN(2)/2)*AW187+(1-EXP(-LN(2)/2))/(LN(2)/2)*AQ188*AT188*VLOOKUP('Données projet'!$B$10,Paramètres!$A$1:$I$89,3,0)*0.475*44/12</f>
        <v>3.8330303312884298E-12</v>
      </c>
      <c r="AX188" s="23">
        <f t="shared" si="166"/>
        <v>26.266735733535114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482.85256243111911</v>
      </c>
      <c r="BJ188" s="62">
        <f t="shared" si="146"/>
        <v>517.78430032567064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9.9535824898571654</v>
      </c>
      <c r="BQ188" s="23">
        <f>EXP(-LN(2)/25)*BQ187+(1-EXP(-LN(2)/25))/(LN(2)/25)*Calculateur!BL188*Calculateur!BN188*VLOOKUP('Données projet'!$B$11,Paramètres!$A$1:$I$89,3,0)*0.475*44/12</f>
        <v>0.94118435039032033</v>
      </c>
      <c r="BR188" s="23">
        <f>EXP(-LN(2)/2)*BR187+(1-EXP(-LN(2)/2))/(LN(2)/2)*BL188*BO188*VLOOKUP('Données projet'!$B$11,Paramètres!$A$1:$I$89,3,0)*0.475*44/12</f>
        <v>8.9323337963393751E-18</v>
      </c>
      <c r="BS188" s="24">
        <f t="shared" si="169"/>
        <v>10.894766840247486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>
        <f>BY188*VLOOKUP('Données projet'!$B$12,Paramètres!$A$1:$I$89,3,0)*VLOOKUP('Données projet'!$B$12,Paramètres!$A$1:$I$89,5,0)</f>
        <v>0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275.76900776033335</v>
      </c>
      <c r="CE188" s="62">
        <f t="shared" si="148"/>
        <v>299.36898480605191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9.5388498861131144</v>
      </c>
      <c r="CL188" s="23">
        <f>EXP(-LN(2)/25)*CL187+(1-EXP(-LN(2)/25))/(LN(2)/25)*Calculateur!CG188*Calculateur!CI188*VLOOKUP('Données projet'!$B$12,Paramètres!$A$1:$I$89,3,0)*0.475*44/12</f>
        <v>0.90196833579072455</v>
      </c>
      <c r="CM188" s="23">
        <f>EXP(-LN(2)/2)*CM187+(1-EXP(-LN(2)/2))/(LN(2)/2)*CG188*CJ188*VLOOKUP('Données projet'!$B$12,Paramètres!$A$1:$I$89,3,0)*0.475*44/12</f>
        <v>8.5601532214918937E-18</v>
      </c>
      <c r="CN188" s="24">
        <f t="shared" si="172"/>
        <v>10.440818221903839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-5.6843418860808015E-14</v>
      </c>
      <c r="CU188" s="18">
        <f>CT188*VLOOKUP('Données projet'!$B$13,Paramètres!$A$1:$I$89,3,0)*VLOOKUP('Données projet'!$B$13,Paramètres!$A$1:$I$89,5,0)</f>
        <v>-6.2073013396002344E-14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482.24068797679558</v>
      </c>
      <c r="CZ188" s="62">
        <f t="shared" si="150"/>
        <v>316.28941055521693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73.929180516748275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73.929180516748275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-1.7053025658242404E-13</v>
      </c>
      <c r="DP188" s="18">
        <f>DO188*VLOOKUP('Données projet'!$B$14,Paramètres!$A$1:$I$89,3,0)*VLOOKUP('Données projet'!$B$14,Paramètres!$A$1:$I$89,5,0)</f>
        <v>-1.383341441396624E-13</v>
      </c>
      <c r="DQ188" s="14" t="e">
        <f t="shared" si="176"/>
        <v>#NUM!</v>
      </c>
      <c r="DR188" s="22" t="e">
        <f t="shared" si="177"/>
        <v>#NUM!</v>
      </c>
      <c r="DS188" s="62" t="e">
        <f t="shared" si="125"/>
        <v>#NUM!</v>
      </c>
      <c r="DT188" s="62">
        <f ca="1">AVERAGE(OFFSET($DS$3,0,0,'Données projet'!$E$14+1,1))-AVERAGE(OFFSET($H$3,0,0,'Données projet'!$E$14+1,1))</f>
        <v>325.58538970226539</v>
      </c>
      <c r="DU188" s="62">
        <f t="shared" si="152"/>
        <v>361.81085660423457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11.915287277517034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11.915287277517034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-2.8421709430404007E-13</v>
      </c>
      <c r="EK188" s="18">
        <f>EJ188*VLOOKUP('Données projet'!$B$15,Paramètres!$A$1:$I$89,3,0)*VLOOKUP('Données projet'!$B$15,Paramètres!$A$1:$I$89,5,0)</f>
        <v>-2.7489477361086758E-13</v>
      </c>
      <c r="EL188" s="14" t="e">
        <f t="shared" si="179"/>
        <v>#NUM!</v>
      </c>
      <c r="EM188" s="22" t="e">
        <f t="shared" si="180"/>
        <v>#NUM!</v>
      </c>
      <c r="EN188" s="62" t="e">
        <f t="shared" si="128"/>
        <v>#NUM!</v>
      </c>
      <c r="EO188" s="62">
        <f ca="1">AVERAGE(OFFSET($EN$3,0,0,'Données projet'!$E$15+1,1))-AVERAGE(OFFSET($H$3,0,0,'Données projet'!$E$15+1,1))</f>
        <v>364.22267539944085</v>
      </c>
      <c r="EP188" s="62">
        <f t="shared" si="154"/>
        <v>241.947139538615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52.384105051867344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52.384105051867344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-1.7053025658242404E-13</v>
      </c>
      <c r="FF188" s="18">
        <f>FE188*VLOOKUP('Données projet'!$B$16,Paramètres!$A$1:$I$89,3,0)*VLOOKUP('Données projet'!$B$16,Paramètres!$A$1:$I$89,5,0)</f>
        <v>-1.4897523215040567E-13</v>
      </c>
      <c r="FG188" s="14" t="e">
        <f t="shared" si="182"/>
        <v>#NUM!</v>
      </c>
      <c r="FH188" s="22" t="e">
        <f t="shared" si="183"/>
        <v>#NUM!</v>
      </c>
      <c r="FI188" s="62" t="e">
        <f t="shared" si="131"/>
        <v>#NUM!</v>
      </c>
      <c r="FJ188" s="62">
        <f ca="1">AVERAGE(OFFSET($FI$3,0,0,'Données projet'!$E$16+1,1))-AVERAGE(OFFSET($H$3,0,0,'Données projet'!$E$16+1,1))</f>
        <v>286.59837239471312</v>
      </c>
      <c r="FK188" s="62">
        <f t="shared" si="156"/>
        <v>319.26091328564689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10.342001489698186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10.342001489698186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-1.7053025658242404E-13</v>
      </c>
      <c r="GA188" s="18">
        <f>FZ188*VLOOKUP('Données projet'!$B$17,Paramètres!$A$1:$I$89,3,0)*VLOOKUP('Données projet'!$B$17,Paramètres!$A$1:$I$89,5,0)</f>
        <v>-1.1439169611549005E-13</v>
      </c>
      <c r="GB188" s="14" t="e">
        <f t="shared" si="185"/>
        <v>#NUM!</v>
      </c>
      <c r="GC188" s="22" t="e">
        <f t="shared" si="186"/>
        <v>#NUM!</v>
      </c>
      <c r="GD188" s="62" t="e">
        <f t="shared" si="134"/>
        <v>#NUM!</v>
      </c>
      <c r="GE188" s="62">
        <f ca="1">AVERAGE(OFFSET($GD$3,0,0,'Données projet'!$E$17+1,1))-AVERAGE(OFFSET($H$3,0,0,'Données projet'!$E$17+1,1))</f>
        <v>277.37570531842186</v>
      </c>
      <c r="GF188" s="62">
        <f t="shared" si="158"/>
        <v>310.00874200911312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projet'!$B$17,Paramètres!$A$1:$I$89,3,0)*0.475*44/12</f>
        <v>12.144427417469284</v>
      </c>
      <c r="GM188" s="23">
        <f>EXP(-LN(2)/25)*GM187+(1-EXP(-LN(2)/25))/(LN(2)/25)*Calculateur!GH188*Calculateur!GJ188*VLOOKUP('Données projet'!$B$17,Paramètres!$A$1:$I$89,3,0)*0.475*44/12</f>
        <v>0</v>
      </c>
      <c r="GN188" s="23">
        <f>EXP(-LN(2)/2)*GN187+(1-EXP(-LN(2)/2))/(LN(2)/2)*GH188*GK188*VLOOKUP('Données projet'!$B$17,Paramètres!$A$1:$I$89,3,0)*0.475*44/12</f>
        <v>0</v>
      </c>
      <c r="GO188" s="23">
        <f t="shared" si="187"/>
        <v>12.144427417469284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-5.6843418860808015E-14</v>
      </c>
      <c r="O189" s="14">
        <f>N189*VLOOKUP('Données projet'!$B$9,Paramètres!$A$1:$I$89,3,0)*VLOOKUP('Données projet'!$B$9,Paramètres!$A$1:$I$89,5,0)</f>
        <v>-4.9658410716801891E-14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401.34220206028908</v>
      </c>
      <c r="T189" s="62">
        <f t="shared" si="142"/>
        <v>265.33314259106987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57.983579503330006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57.983579503330006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1.7053025658242404E-13</v>
      </c>
      <c r="AJ189" s="14">
        <f>AI189*VLOOKUP('Données projet'!$B$10,Paramètres!$A$1:$I$89,3,0)*VLOOKUP('Données projet'!$B$10,Paramètres!$A$1:$I$89,5,0)</f>
        <v>7.9808160080574461E-14</v>
      </c>
      <c r="AK189" s="14">
        <f t="shared" si="164"/>
        <v>1.2308384591775343E-12</v>
      </c>
      <c r="AL189" s="22">
        <f t="shared" si="165"/>
        <v>2.282709528541206E-12</v>
      </c>
      <c r="AM189" s="62">
        <f t="shared" si="113"/>
        <v>289.79675810585968</v>
      </c>
      <c r="AN189" s="62">
        <f ca="1">AVERAGE(OFFSET($AM$3,0,0,'Données projet'!$E$10+1,1))-AVERAGE(OFFSET($H$3,0,0,'Données projet'!$E$10+1,1))</f>
        <v>253.48761861464732</v>
      </c>
      <c r="AO189" s="62">
        <f t="shared" si="144"/>
        <v>219.50855998133855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23.05812306921985</v>
      </c>
      <c r="AV189" s="23">
        <f>EXP(-LN(2)/25)*AV188+(1-EXP(-LN(2)/25))/(LN(2)/25)*Calculateur!AQ189*Calculateur!AS189*VLOOKUP('Données projet'!$B$10,Paramètres!$A$1:$I$89,3,0)*0.475*44/12</f>
        <v>2.6722849371950361</v>
      </c>
      <c r="AW189" s="23">
        <f>EXP(-LN(2)/2)*AW188+(1-EXP(-LN(2)/2))/(LN(2)/2)*AQ189*AT189*VLOOKUP('Données projet'!$B$10,Paramètres!$A$1:$I$89,3,0)*0.475*44/12</f>
        <v>2.7103617397477676E-12</v>
      </c>
      <c r="AX189" s="23">
        <f t="shared" si="166"/>
        <v>25.730408006417598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482.85256243111911</v>
      </c>
      <c r="BJ189" s="62">
        <f t="shared" si="146"/>
        <v>517.78430032567064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9.7583988083169153</v>
      </c>
      <c r="BQ189" s="23">
        <f>EXP(-LN(2)/25)*BQ188+(1-EXP(-LN(2)/25))/(LN(2)/25)*Calculateur!BL189*Calculateur!BN189*VLOOKUP('Données projet'!$B$11,Paramètres!$A$1:$I$89,3,0)*0.475*44/12</f>
        <v>0.91544761483416315</v>
      </c>
      <c r="BR189" s="23">
        <f>EXP(-LN(2)/2)*BR188+(1-EXP(-LN(2)/2))/(LN(2)/2)*BL189*BO189*VLOOKUP('Données projet'!$B$11,Paramètres!$A$1:$I$89,3,0)*0.475*44/12</f>
        <v>6.31611379921335E-18</v>
      </c>
      <c r="BS189" s="24">
        <f t="shared" si="169"/>
        <v>10.673846423151078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>
        <f>BY189*VLOOKUP('Données projet'!$B$12,Paramètres!$A$1:$I$89,3,0)*VLOOKUP('Données projet'!$B$12,Paramètres!$A$1:$I$89,5,0)</f>
        <v>0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275.76900776033335</v>
      </c>
      <c r="CE189" s="62">
        <f t="shared" si="148"/>
        <v>299.36898480605191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9.3517988579703744</v>
      </c>
      <c r="CL189" s="23">
        <f>EXP(-LN(2)/25)*CL188+(1-EXP(-LN(2)/25))/(LN(2)/25)*Calculateur!CG189*Calculateur!CI189*VLOOKUP('Données projet'!$B$12,Paramètres!$A$1:$I$89,3,0)*0.475*44/12</f>
        <v>0.87730396421607393</v>
      </c>
      <c r="CM189" s="23">
        <f>EXP(-LN(2)/2)*CM188+(1-EXP(-LN(2)/2))/(LN(2)/2)*CG189*CJ189*VLOOKUP('Données projet'!$B$12,Paramètres!$A$1:$I$89,3,0)*0.475*44/12</f>
        <v>6.0529423909127884E-18</v>
      </c>
      <c r="CN189" s="24">
        <f t="shared" si="172"/>
        <v>10.229102822186448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-5.6843418860808015E-14</v>
      </c>
      <c r="CU189" s="18">
        <f>CT189*VLOOKUP('Données projet'!$B$13,Paramètres!$A$1:$I$89,3,0)*VLOOKUP('Données projet'!$B$13,Paramètres!$A$1:$I$89,5,0)</f>
        <v>-6.2073013396002344E-14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482.24068797679558</v>
      </c>
      <c r="CZ189" s="62">
        <f t="shared" si="150"/>
        <v>316.28941055521693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72.479474379162454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72.479474379162454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-1.7053025658242404E-13</v>
      </c>
      <c r="DP189" s="18">
        <f>DO189*VLOOKUP('Données projet'!$B$14,Paramètres!$A$1:$I$89,3,0)*VLOOKUP('Données projet'!$B$14,Paramètres!$A$1:$I$89,5,0)</f>
        <v>-1.383341441396624E-13</v>
      </c>
      <c r="DQ189" s="14" t="e">
        <f t="shared" si="176"/>
        <v>#NUM!</v>
      </c>
      <c r="DR189" s="22" t="e">
        <f t="shared" si="177"/>
        <v>#NUM!</v>
      </c>
      <c r="DS189" s="62" t="e">
        <f t="shared" si="125"/>
        <v>#NUM!</v>
      </c>
      <c r="DT189" s="62">
        <f ca="1">AVERAGE(OFFSET($DS$3,0,0,'Données projet'!$E$14+1,1))-AVERAGE(OFFSET($H$3,0,0,'Données projet'!$E$14+1,1))</f>
        <v>325.58538970226539</v>
      </c>
      <c r="DU189" s="62">
        <f t="shared" si="152"/>
        <v>361.81085660423457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11.681635761612547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11.681635761612547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-2.8421709430404007E-13</v>
      </c>
      <c r="EK189" s="18">
        <f>EJ189*VLOOKUP('Données projet'!$B$15,Paramètres!$A$1:$I$89,3,0)*VLOOKUP('Données projet'!$B$15,Paramètres!$A$1:$I$89,5,0)</f>
        <v>-2.7489477361086758E-13</v>
      </c>
      <c r="EL189" s="14" t="e">
        <f t="shared" si="179"/>
        <v>#NUM!</v>
      </c>
      <c r="EM189" s="22" t="e">
        <f t="shared" si="180"/>
        <v>#NUM!</v>
      </c>
      <c r="EN189" s="62" t="e">
        <f t="shared" si="128"/>
        <v>#NUM!</v>
      </c>
      <c r="EO189" s="62">
        <f ca="1">AVERAGE(OFFSET($EN$3,0,0,'Données projet'!$E$15+1,1))-AVERAGE(OFFSET($H$3,0,0,'Données projet'!$E$15+1,1))</f>
        <v>364.22267539944085</v>
      </c>
      <c r="EP189" s="62">
        <f t="shared" si="154"/>
        <v>241.947139538615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51.356884702949394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51.356884702949394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-1.7053025658242404E-13</v>
      </c>
      <c r="FF189" s="18">
        <f>FE189*VLOOKUP('Données projet'!$B$16,Paramètres!$A$1:$I$89,3,0)*VLOOKUP('Données projet'!$B$16,Paramètres!$A$1:$I$89,5,0)</f>
        <v>-1.4897523215040567E-13</v>
      </c>
      <c r="FG189" s="14" t="e">
        <f t="shared" si="182"/>
        <v>#NUM!</v>
      </c>
      <c r="FH189" s="22" t="e">
        <f t="shared" si="183"/>
        <v>#NUM!</v>
      </c>
      <c r="FI189" s="62" t="e">
        <f t="shared" si="131"/>
        <v>#NUM!</v>
      </c>
      <c r="FJ189" s="62">
        <f ca="1">AVERAGE(OFFSET($FI$3,0,0,'Données projet'!$E$16+1,1))-AVERAGE(OFFSET($H$3,0,0,'Données projet'!$E$16+1,1))</f>
        <v>286.59837239471312</v>
      </c>
      <c r="FK189" s="62">
        <f t="shared" si="156"/>
        <v>319.26091328564689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10.13920114848325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10.13920114848325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-1.7053025658242404E-13</v>
      </c>
      <c r="GA189" s="18">
        <f>FZ189*VLOOKUP('Données projet'!$B$17,Paramètres!$A$1:$I$89,3,0)*VLOOKUP('Données projet'!$B$17,Paramètres!$A$1:$I$89,5,0)</f>
        <v>-1.1439169611549005E-13</v>
      </c>
      <c r="GB189" s="14" t="e">
        <f t="shared" si="185"/>
        <v>#NUM!</v>
      </c>
      <c r="GC189" s="22" t="e">
        <f t="shared" si="186"/>
        <v>#NUM!</v>
      </c>
      <c r="GD189" s="62" t="e">
        <f t="shared" si="134"/>
        <v>#NUM!</v>
      </c>
      <c r="GE189" s="62">
        <f ca="1">AVERAGE(OFFSET($GD$3,0,0,'Données projet'!$E$17+1,1))-AVERAGE(OFFSET($H$3,0,0,'Données projet'!$E$17+1,1))</f>
        <v>277.37570531842186</v>
      </c>
      <c r="GF189" s="62">
        <f t="shared" si="158"/>
        <v>310.00874200911312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projet'!$B$17,Paramètres!$A$1:$I$89,3,0)*0.475*44/12</f>
        <v>11.906282603182019</v>
      </c>
      <c r="GM189" s="23">
        <f>EXP(-LN(2)/25)*GM188+(1-EXP(-LN(2)/25))/(LN(2)/25)*Calculateur!GH189*Calculateur!GJ189*VLOOKUP('Données projet'!$B$17,Paramètres!$A$1:$I$89,3,0)*0.475*44/12</f>
        <v>0</v>
      </c>
      <c r="GN189" s="23">
        <f>EXP(-LN(2)/2)*GN188+(1-EXP(-LN(2)/2))/(LN(2)/2)*GH189*GK189*VLOOKUP('Données projet'!$B$17,Paramètres!$A$1:$I$89,3,0)*0.475*44/12</f>
        <v>0</v>
      </c>
      <c r="GO189" s="23">
        <f t="shared" si="187"/>
        <v>11.906282603182019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-5.6843418860808015E-14</v>
      </c>
      <c r="O190" s="14">
        <f>N190*VLOOKUP('Données projet'!$B$9,Paramètres!$A$1:$I$89,3,0)*VLOOKUP('Données projet'!$B$9,Paramètres!$A$1:$I$89,5,0)</f>
        <v>-4.9658410716801891E-14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401.34220206028908</v>
      </c>
      <c r="T190" s="62">
        <f t="shared" si="142"/>
        <v>265.33314259106987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56.846556875761053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56.846556875761053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1.7053025658242404E-13</v>
      </c>
      <c r="AJ190" s="14">
        <f>AI190*VLOOKUP('Données projet'!$B$10,Paramètres!$A$1:$I$89,3,0)*VLOOKUP('Données projet'!$B$10,Paramètres!$A$1:$I$89,5,0)</f>
        <v>7.9808160080574461E-14</v>
      </c>
      <c r="AK190" s="14">
        <f t="shared" si="164"/>
        <v>1.2308384591775343E-12</v>
      </c>
      <c r="AL190" s="22">
        <f t="shared" si="165"/>
        <v>2.282709528541206E-12</v>
      </c>
      <c r="AM190" s="62">
        <f t="shared" si="113"/>
        <v>289.85810977945869</v>
      </c>
      <c r="AN190" s="62">
        <f ca="1">AVERAGE(OFFSET($AM$3,0,0,'Données projet'!$E$10+1,1))-AVERAGE(OFFSET($H$3,0,0,'Données projet'!$E$10+1,1))</f>
        <v>253.48761861464732</v>
      </c>
      <c r="AO190" s="62">
        <f t="shared" si="144"/>
        <v>219.50855998133855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22.605967339898811</v>
      </c>
      <c r="AV190" s="23">
        <f>EXP(-LN(2)/25)*AV189+(1-EXP(-LN(2)/25))/(LN(2)/25)*Calculateur!AQ190*Calculateur!AS190*VLOOKUP('Données projet'!$B$10,Paramètres!$A$1:$I$89,3,0)*0.475*44/12</f>
        <v>2.5992111650580805</v>
      </c>
      <c r="AW190" s="23">
        <f>EXP(-LN(2)/2)*AW189+(1-EXP(-LN(2)/2))/(LN(2)/2)*AQ190*AT190*VLOOKUP('Données projet'!$B$10,Paramètres!$A$1:$I$89,3,0)*0.475*44/12</f>
        <v>1.9165151656442149E-12</v>
      </c>
      <c r="AX190" s="23">
        <f t="shared" si="166"/>
        <v>25.205178504958806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482.85256243111911</v>
      </c>
      <c r="BJ190" s="62">
        <f t="shared" si="146"/>
        <v>517.78430032567064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9.5670425597213793</v>
      </c>
      <c r="BQ190" s="23">
        <f>EXP(-LN(2)/25)*BQ189+(1-EXP(-LN(2)/25))/(LN(2)/25)*Calculateur!BL190*Calculateur!BN190*VLOOKUP('Données projet'!$B$11,Paramètres!$A$1:$I$89,3,0)*0.475*44/12</f>
        <v>0.89041465166522515</v>
      </c>
      <c r="BR190" s="23">
        <f>EXP(-LN(2)/2)*BR189+(1-EXP(-LN(2)/2))/(LN(2)/2)*BL190*BO190*VLOOKUP('Données projet'!$B$11,Paramètres!$A$1:$I$89,3,0)*0.475*44/12</f>
        <v>4.4661668981696875E-18</v>
      </c>
      <c r="BS190" s="24">
        <f t="shared" si="169"/>
        <v>10.457457211386604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>
        <f>BY190*VLOOKUP('Données projet'!$B$12,Paramètres!$A$1:$I$89,3,0)*VLOOKUP('Données projet'!$B$12,Paramètres!$A$1:$I$89,5,0)</f>
        <v>0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275.76900776033335</v>
      </c>
      <c r="CE190" s="62">
        <f t="shared" si="148"/>
        <v>299.36898480605191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9.1684157863996525</v>
      </c>
      <c r="CL190" s="23">
        <f>EXP(-LN(2)/25)*CL189+(1-EXP(-LN(2)/25))/(LN(2)/25)*Calculateur!CG190*Calculateur!CI190*VLOOKUP('Données projet'!$B$12,Paramètres!$A$1:$I$89,3,0)*0.475*44/12</f>
        <v>0.85331404117917498</v>
      </c>
      <c r="CM190" s="23">
        <f>EXP(-LN(2)/2)*CM189+(1-EXP(-LN(2)/2))/(LN(2)/2)*CG190*CJ190*VLOOKUP('Données projet'!$B$12,Paramètres!$A$1:$I$89,3,0)*0.475*44/12</f>
        <v>4.2800766107459468E-18</v>
      </c>
      <c r="CN190" s="24">
        <f t="shared" si="172"/>
        <v>10.021729827578827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-5.6843418860808015E-14</v>
      </c>
      <c r="CU190" s="18">
        <f>CT190*VLOOKUP('Données projet'!$B$13,Paramètres!$A$1:$I$89,3,0)*VLOOKUP('Données projet'!$B$13,Paramètres!$A$1:$I$89,5,0)</f>
        <v>-6.2073013396002344E-14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482.24068797679558</v>
      </c>
      <c r="CZ190" s="62">
        <f t="shared" si="150"/>
        <v>316.28941055521693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71.058196094701259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71.058196094701259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-1.7053025658242404E-13</v>
      </c>
      <c r="DP190" s="18">
        <f>DO190*VLOOKUP('Données projet'!$B$14,Paramètres!$A$1:$I$89,3,0)*VLOOKUP('Données projet'!$B$14,Paramètres!$A$1:$I$89,5,0)</f>
        <v>-1.383341441396624E-13</v>
      </c>
      <c r="DQ190" s="14" t="e">
        <f t="shared" si="176"/>
        <v>#NUM!</v>
      </c>
      <c r="DR190" s="22" t="e">
        <f t="shared" si="177"/>
        <v>#NUM!</v>
      </c>
      <c r="DS190" s="62" t="e">
        <f t="shared" si="125"/>
        <v>#NUM!</v>
      </c>
      <c r="DT190" s="62">
        <f ca="1">AVERAGE(OFFSET($DS$3,0,0,'Données projet'!$E$14+1,1))-AVERAGE(OFFSET($H$3,0,0,'Données projet'!$E$14+1,1))</f>
        <v>325.58538970226539</v>
      </c>
      <c r="DU190" s="62">
        <f t="shared" si="152"/>
        <v>361.81085660423457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11.452566009421595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11.452566009421595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-2.8421709430404007E-13</v>
      </c>
      <c r="EK190" s="18">
        <f>EJ190*VLOOKUP('Données projet'!$B$15,Paramètres!$A$1:$I$89,3,0)*VLOOKUP('Données projet'!$B$15,Paramètres!$A$1:$I$89,5,0)</f>
        <v>-2.7489477361086758E-13</v>
      </c>
      <c r="EL190" s="14" t="e">
        <f t="shared" si="179"/>
        <v>#NUM!</v>
      </c>
      <c r="EM190" s="22" t="e">
        <f t="shared" si="180"/>
        <v>#NUM!</v>
      </c>
      <c r="EN190" s="62" t="e">
        <f t="shared" si="128"/>
        <v>#NUM!</v>
      </c>
      <c r="EO190" s="62">
        <f ca="1">AVERAGE(OFFSET($EN$3,0,0,'Données projet'!$E$15+1,1))-AVERAGE(OFFSET($H$3,0,0,'Données projet'!$E$15+1,1))</f>
        <v>364.22267539944085</v>
      </c>
      <c r="EP190" s="62">
        <f t="shared" si="154"/>
        <v>241.947139538615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50.349807518531179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50.349807518531179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-1.7053025658242404E-13</v>
      </c>
      <c r="FF190" s="18">
        <f>FE190*VLOOKUP('Données projet'!$B$16,Paramètres!$A$1:$I$89,3,0)*VLOOKUP('Données projet'!$B$16,Paramètres!$A$1:$I$89,5,0)</f>
        <v>-1.4897523215040567E-13</v>
      </c>
      <c r="FG190" s="14" t="e">
        <f t="shared" si="182"/>
        <v>#NUM!</v>
      </c>
      <c r="FH190" s="22" t="e">
        <f t="shared" si="183"/>
        <v>#NUM!</v>
      </c>
      <c r="FI190" s="62" t="e">
        <f t="shared" si="131"/>
        <v>#NUM!</v>
      </c>
      <c r="FJ190" s="62">
        <f ca="1">AVERAGE(OFFSET($FI$3,0,0,'Données projet'!$E$16+1,1))-AVERAGE(OFFSET($H$3,0,0,'Données projet'!$E$16+1,1))</f>
        <v>286.59837239471312</v>
      </c>
      <c r="FK190" s="62">
        <f t="shared" si="156"/>
        <v>319.26091328564689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9.9403775982635452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9.9403775982635452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-1.7053025658242404E-13</v>
      </c>
      <c r="GA190" s="18">
        <f>FZ190*VLOOKUP('Données projet'!$B$17,Paramètres!$A$1:$I$89,3,0)*VLOOKUP('Données projet'!$B$17,Paramètres!$A$1:$I$89,5,0)</f>
        <v>-1.1439169611549005E-13</v>
      </c>
      <c r="GB190" s="14" t="e">
        <f t="shared" si="185"/>
        <v>#NUM!</v>
      </c>
      <c r="GC190" s="22" t="e">
        <f t="shared" si="186"/>
        <v>#NUM!</v>
      </c>
      <c r="GD190" s="62" t="e">
        <f t="shared" si="134"/>
        <v>#NUM!</v>
      </c>
      <c r="GE190" s="62">
        <f ca="1">AVERAGE(OFFSET($GD$3,0,0,'Données projet'!$E$17+1,1))-AVERAGE(OFFSET($H$3,0,0,'Données projet'!$E$17+1,1))</f>
        <v>277.37570531842186</v>
      </c>
      <c r="GF190" s="62">
        <f t="shared" si="158"/>
        <v>310.00874200911312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projet'!$B$17,Paramètres!$A$1:$I$89,3,0)*0.475*44/12</f>
        <v>11.672807663448934</v>
      </c>
      <c r="GM190" s="23">
        <f>EXP(-LN(2)/25)*GM189+(1-EXP(-LN(2)/25))/(LN(2)/25)*Calculateur!GH190*Calculateur!GJ190*VLOOKUP('Données projet'!$B$17,Paramètres!$A$1:$I$89,3,0)*0.475*44/12</f>
        <v>0</v>
      </c>
      <c r="GN190" s="23">
        <f>EXP(-LN(2)/2)*GN189+(1-EXP(-LN(2)/2))/(LN(2)/2)*GH190*GK190*VLOOKUP('Données projet'!$B$17,Paramètres!$A$1:$I$89,3,0)*0.475*44/12</f>
        <v>0</v>
      </c>
      <c r="GO190" s="23">
        <f t="shared" si="187"/>
        <v>11.672807663448934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-5.6843418860808015E-14</v>
      </c>
      <c r="O191" s="14">
        <f>N191*VLOOKUP('Données projet'!$B$9,Paramètres!$A$1:$I$89,3,0)*VLOOKUP('Données projet'!$B$9,Paramètres!$A$1:$I$89,5,0)</f>
        <v>-4.9658410716801891E-14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401.34220206028908</v>
      </c>
      <c r="T191" s="62">
        <f t="shared" si="142"/>
        <v>265.33314259106987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55.731830568403403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55.731830568403403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1.7053025658242404E-13</v>
      </c>
      <c r="AJ191" s="14">
        <f>AI191*VLOOKUP('Données projet'!$B$10,Paramètres!$A$1:$I$89,3,0)*VLOOKUP('Données projet'!$B$10,Paramètres!$A$1:$I$89,5,0)</f>
        <v>7.9808160080574461E-14</v>
      </c>
      <c r="AK191" s="14">
        <f t="shared" si="164"/>
        <v>1.2308384591775343E-12</v>
      </c>
      <c r="AL191" s="22">
        <f t="shared" si="165"/>
        <v>2.282709528541206E-12</v>
      </c>
      <c r="AM191" s="62">
        <f t="shared" si="113"/>
        <v>289.91839713868251</v>
      </c>
      <c r="AN191" s="62">
        <f ca="1">AVERAGE(OFFSET($AM$3,0,0,'Données projet'!$E$10+1,1))-AVERAGE(OFFSET($H$3,0,0,'Données projet'!$E$10+1,1))</f>
        <v>253.48761861464732</v>
      </c>
      <c r="AO191" s="62">
        <f t="shared" si="144"/>
        <v>219.50855998133855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22.162678108641995</v>
      </c>
      <c r="AV191" s="23">
        <f>EXP(-LN(2)/25)*AV190+(1-EXP(-LN(2)/25))/(LN(2)/25)*Calculateur!AQ191*Calculateur!AS191*VLOOKUP('Données projet'!$B$10,Paramètres!$A$1:$I$89,3,0)*0.475*44/12</f>
        <v>2.5281355990629928</v>
      </c>
      <c r="AW191" s="23">
        <f>EXP(-LN(2)/2)*AW190+(1-EXP(-LN(2)/2))/(LN(2)/2)*AQ191*AT191*VLOOKUP('Données projet'!$B$10,Paramètres!$A$1:$I$89,3,0)*0.475*44/12</f>
        <v>1.3551808698738838E-12</v>
      </c>
      <c r="AX191" s="23">
        <f t="shared" si="166"/>
        <v>24.69081370770634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482.85256243111911</v>
      </c>
      <c r="BJ191" s="62">
        <f t="shared" si="146"/>
        <v>517.78430032567064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9.3794386904450153</v>
      </c>
      <c r="BQ191" s="23">
        <f>EXP(-LN(2)/25)*BQ190+(1-EXP(-LN(2)/25))/(LN(2)/25)*Calculateur!BL191*Calculateur!BN191*VLOOKUP('Données projet'!$B$11,Paramètres!$A$1:$I$89,3,0)*0.475*44/12</f>
        <v>0.86606621619056812</v>
      </c>
      <c r="BR191" s="23">
        <f>EXP(-LN(2)/2)*BR190+(1-EXP(-LN(2)/2))/(LN(2)/2)*BL191*BO191*VLOOKUP('Données projet'!$B$11,Paramètres!$A$1:$I$89,3,0)*0.475*44/12</f>
        <v>3.158056899606675E-18</v>
      </c>
      <c r="BS191" s="24">
        <f t="shared" si="169"/>
        <v>10.245504906635583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>
        <f>BY191*VLOOKUP('Données projet'!$B$12,Paramètres!$A$1:$I$89,3,0)*VLOOKUP('Données projet'!$B$12,Paramètres!$A$1:$I$89,5,0)</f>
        <v>0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275.76900776033335</v>
      </c>
      <c r="CE191" s="62">
        <f t="shared" si="148"/>
        <v>299.36898480605191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8.9886287450098035</v>
      </c>
      <c r="CL191" s="23">
        <f>EXP(-LN(2)/25)*CL190+(1-EXP(-LN(2)/25))/(LN(2)/25)*Calculateur!CG191*Calculateur!CI191*VLOOKUP('Données projet'!$B$12,Paramètres!$A$1:$I$89,3,0)*0.475*44/12</f>
        <v>0.82998012384929531</v>
      </c>
      <c r="CM191" s="23">
        <f>EXP(-LN(2)/2)*CM190+(1-EXP(-LN(2)/2))/(LN(2)/2)*CG191*CJ191*VLOOKUP('Données projet'!$B$12,Paramètres!$A$1:$I$89,3,0)*0.475*44/12</f>
        <v>3.0264711954563942E-18</v>
      </c>
      <c r="CN191" s="24">
        <f t="shared" si="172"/>
        <v>9.8186088688590996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-5.6843418860808015E-14</v>
      </c>
      <c r="CU191" s="18">
        <f>CT191*VLOOKUP('Données projet'!$B$13,Paramètres!$A$1:$I$89,3,0)*VLOOKUP('Données projet'!$B$13,Paramètres!$A$1:$I$89,5,0)</f>
        <v>-6.2073013396002344E-14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482.24068797679558</v>
      </c>
      <c r="CZ191" s="62">
        <f t="shared" si="150"/>
        <v>316.28941055521693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69.664788210504199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69.664788210504199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-1.7053025658242404E-13</v>
      </c>
      <c r="DP191" s="18">
        <f>DO191*VLOOKUP('Données projet'!$B$14,Paramètres!$A$1:$I$89,3,0)*VLOOKUP('Données projet'!$B$14,Paramètres!$A$1:$I$89,5,0)</f>
        <v>-1.383341441396624E-13</v>
      </c>
      <c r="DQ191" s="14" t="e">
        <f t="shared" si="176"/>
        <v>#NUM!</v>
      </c>
      <c r="DR191" s="22" t="e">
        <f t="shared" si="177"/>
        <v>#NUM!</v>
      </c>
      <c r="DS191" s="62" t="e">
        <f t="shared" si="125"/>
        <v>#NUM!</v>
      </c>
      <c r="DT191" s="62">
        <f ca="1">AVERAGE(OFFSET($DS$3,0,0,'Données projet'!$E$14+1,1))-AVERAGE(OFFSET($H$3,0,0,'Données projet'!$E$14+1,1))</f>
        <v>325.58538970226539</v>
      </c>
      <c r="DU191" s="62">
        <f t="shared" si="152"/>
        <v>361.81085660423457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11.227988175352355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11.227988175352355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-2.8421709430404007E-13</v>
      </c>
      <c r="EK191" s="18">
        <f>EJ191*VLOOKUP('Données projet'!$B$15,Paramètres!$A$1:$I$89,3,0)*VLOOKUP('Données projet'!$B$15,Paramètres!$A$1:$I$89,5,0)</f>
        <v>-2.7489477361086758E-13</v>
      </c>
      <c r="EL191" s="14" t="e">
        <f t="shared" si="179"/>
        <v>#NUM!</v>
      </c>
      <c r="EM191" s="22" t="e">
        <f t="shared" si="180"/>
        <v>#NUM!</v>
      </c>
      <c r="EN191" s="62" t="e">
        <f t="shared" si="128"/>
        <v>#NUM!</v>
      </c>
      <c r="EO191" s="62">
        <f ca="1">AVERAGE(OFFSET($EN$3,0,0,'Données projet'!$E$15+1,1))-AVERAGE(OFFSET($H$3,0,0,'Données projet'!$E$15+1,1))</f>
        <v>364.22267539944085</v>
      </c>
      <c r="EP191" s="62">
        <f t="shared" si="154"/>
        <v>241.947139538615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49.362478503442972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49.362478503442972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-1.7053025658242404E-13</v>
      </c>
      <c r="FF191" s="18">
        <f>FE191*VLOOKUP('Données projet'!$B$16,Paramètres!$A$1:$I$89,3,0)*VLOOKUP('Données projet'!$B$16,Paramètres!$A$1:$I$89,5,0)</f>
        <v>-1.4897523215040567E-13</v>
      </c>
      <c r="FG191" s="14" t="e">
        <f t="shared" si="182"/>
        <v>#NUM!</v>
      </c>
      <c r="FH191" s="22" t="e">
        <f t="shared" si="183"/>
        <v>#NUM!</v>
      </c>
      <c r="FI191" s="62" t="e">
        <f t="shared" si="131"/>
        <v>#NUM!</v>
      </c>
      <c r="FJ191" s="62">
        <f ca="1">AVERAGE(OFFSET($FI$3,0,0,'Données projet'!$E$16+1,1))-AVERAGE(OFFSET($H$3,0,0,'Données projet'!$E$16+1,1))</f>
        <v>286.59837239471312</v>
      </c>
      <c r="FK191" s="62">
        <f t="shared" si="156"/>
        <v>319.26091328564689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9.745452856593257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9.745452856593257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-1.7053025658242404E-13</v>
      </c>
      <c r="GA191" s="18">
        <f>FZ191*VLOOKUP('Données projet'!$B$17,Paramètres!$A$1:$I$89,3,0)*VLOOKUP('Données projet'!$B$17,Paramètres!$A$1:$I$89,5,0)</f>
        <v>-1.1439169611549005E-13</v>
      </c>
      <c r="GB191" s="14" t="e">
        <f t="shared" si="185"/>
        <v>#NUM!</v>
      </c>
      <c r="GC191" s="22" t="e">
        <f t="shared" si="186"/>
        <v>#NUM!</v>
      </c>
      <c r="GD191" s="62" t="e">
        <f t="shared" si="134"/>
        <v>#NUM!</v>
      </c>
      <c r="GE191" s="62">
        <f ca="1">AVERAGE(OFFSET($GD$3,0,0,'Données projet'!$E$17+1,1))-AVERAGE(OFFSET($H$3,0,0,'Données projet'!$E$17+1,1))</f>
        <v>277.37570531842186</v>
      </c>
      <c r="GF191" s="62">
        <f t="shared" si="158"/>
        <v>310.00874200911312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projet'!$B$17,Paramètres!$A$1:$I$89,3,0)*0.475*44/12</f>
        <v>11.443911024878362</v>
      </c>
      <c r="GM191" s="23">
        <f>EXP(-LN(2)/25)*GM190+(1-EXP(-LN(2)/25))/(LN(2)/25)*Calculateur!GH191*Calculateur!GJ191*VLOOKUP('Données projet'!$B$17,Paramètres!$A$1:$I$89,3,0)*0.475*44/12</f>
        <v>0</v>
      </c>
      <c r="GN191" s="23">
        <f>EXP(-LN(2)/2)*GN190+(1-EXP(-LN(2)/2))/(LN(2)/2)*GH191*GK191*VLOOKUP('Données projet'!$B$17,Paramètres!$A$1:$I$89,3,0)*0.475*44/12</f>
        <v>0</v>
      </c>
      <c r="GO191" s="23">
        <f t="shared" si="187"/>
        <v>11.443911024878362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-5.6843418860808015E-14</v>
      </c>
      <c r="O192" s="14">
        <f>N192*VLOOKUP('Données projet'!$B$9,Paramètres!$A$1:$I$89,3,0)*VLOOKUP('Données projet'!$B$9,Paramètres!$A$1:$I$89,5,0)</f>
        <v>-4.9658410716801891E-14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401.34220206028908</v>
      </c>
      <c r="T192" s="62">
        <f t="shared" si="142"/>
        <v>265.33314259106987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54.638963364017123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54.638963364017123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1.7053025658242404E-13</v>
      </c>
      <c r="AJ192" s="14">
        <f>AI192*VLOOKUP('Données projet'!$B$10,Paramètres!$A$1:$I$89,3,0)*VLOOKUP('Données projet'!$B$10,Paramètres!$A$1:$I$89,5,0)</f>
        <v>7.9808160080574461E-14</v>
      </c>
      <c r="AK192" s="14">
        <f t="shared" si="164"/>
        <v>1.2308384591775343E-12</v>
      </c>
      <c r="AL192" s="22">
        <f t="shared" si="165"/>
        <v>2.282709528541206E-12</v>
      </c>
      <c r="AM192" s="62">
        <f t="shared" si="113"/>
        <v>289.97763864700613</v>
      </c>
      <c r="AN192" s="62">
        <f ca="1">AVERAGE(OFFSET($AM$3,0,0,'Données projet'!$E$10+1,1))-AVERAGE(OFFSET($H$3,0,0,'Données projet'!$E$10+1,1))</f>
        <v>253.48761861464732</v>
      </c>
      <c r="AO192" s="62">
        <f t="shared" si="144"/>
        <v>219.50855998133855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21.728081508830389</v>
      </c>
      <c r="AV192" s="23">
        <f>EXP(-LN(2)/25)*AV191+(1-EXP(-LN(2)/25))/(LN(2)/25)*Calculateur!AQ192*Calculateur!AS192*VLOOKUP('Données projet'!$B$10,Paramètres!$A$1:$I$89,3,0)*0.475*44/12</f>
        <v>2.4590035981577421</v>
      </c>
      <c r="AW192" s="23">
        <f>EXP(-LN(2)/2)*AW191+(1-EXP(-LN(2)/2))/(LN(2)/2)*AQ192*AT192*VLOOKUP('Données projet'!$B$10,Paramètres!$A$1:$I$89,3,0)*0.475*44/12</f>
        <v>9.5825758282210746E-13</v>
      </c>
      <c r="AX192" s="23">
        <f t="shared" si="166"/>
        <v>24.187085106989091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482.85256243111911</v>
      </c>
      <c r="BJ192" s="62">
        <f t="shared" si="146"/>
        <v>517.78430032567064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9.195513618618099</v>
      </c>
      <c r="BQ192" s="23">
        <f>EXP(-LN(2)/25)*BQ191+(1-EXP(-LN(2)/25))/(LN(2)/25)*Calculateur!BL192*Calculateur!BN192*VLOOKUP('Données projet'!$B$11,Paramètres!$A$1:$I$89,3,0)*0.475*44/12</f>
        <v>0.84238358996439411</v>
      </c>
      <c r="BR192" s="23">
        <f>EXP(-LN(2)/2)*BR191+(1-EXP(-LN(2)/2))/(LN(2)/2)*BL192*BO192*VLOOKUP('Données projet'!$B$11,Paramètres!$A$1:$I$89,3,0)*0.475*44/12</f>
        <v>2.2330834490848438E-18</v>
      </c>
      <c r="BS192" s="24">
        <f t="shared" si="169"/>
        <v>10.037897208582493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>
        <f>BY192*VLOOKUP('Données projet'!$B$12,Paramètres!$A$1:$I$89,3,0)*VLOOKUP('Données projet'!$B$12,Paramètres!$A$1:$I$89,5,0)</f>
        <v>0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275.76900776033335</v>
      </c>
      <c r="CE192" s="62">
        <f t="shared" si="148"/>
        <v>299.36898480605191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8.8123672178423416</v>
      </c>
      <c r="CL192" s="23">
        <f>EXP(-LN(2)/25)*CL191+(1-EXP(-LN(2)/25))/(LN(2)/25)*Calculateur!CG192*Calculateur!CI192*VLOOKUP('Données projet'!$B$12,Paramètres!$A$1:$I$89,3,0)*0.475*44/12</f>
        <v>0.80728427371587852</v>
      </c>
      <c r="CM192" s="23">
        <f>EXP(-LN(2)/2)*CM191+(1-EXP(-LN(2)/2))/(LN(2)/2)*CG192*CJ192*VLOOKUP('Données projet'!$B$12,Paramètres!$A$1:$I$89,3,0)*0.475*44/12</f>
        <v>2.1400383053729734E-18</v>
      </c>
      <c r="CN192" s="24">
        <f t="shared" si="172"/>
        <v>9.6196514915582192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-5.6843418860808015E-14</v>
      </c>
      <c r="CU192" s="18">
        <f>CT192*VLOOKUP('Données projet'!$B$13,Paramètres!$A$1:$I$89,3,0)*VLOOKUP('Données projet'!$B$13,Paramètres!$A$1:$I$89,5,0)</f>
        <v>-6.2073013396002344E-14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482.24068797679558</v>
      </c>
      <c r="CZ192" s="62">
        <f t="shared" si="150"/>
        <v>316.28941055521693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68.298704205021352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68.298704205021352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-1.7053025658242404E-13</v>
      </c>
      <c r="DP192" s="18">
        <f>DO192*VLOOKUP('Données projet'!$B$14,Paramètres!$A$1:$I$89,3,0)*VLOOKUP('Données projet'!$B$14,Paramètres!$A$1:$I$89,5,0)</f>
        <v>-1.383341441396624E-13</v>
      </c>
      <c r="DQ192" s="14" t="e">
        <f t="shared" si="176"/>
        <v>#NUM!</v>
      </c>
      <c r="DR192" s="22" t="e">
        <f t="shared" si="177"/>
        <v>#NUM!</v>
      </c>
      <c r="DS192" s="62" t="e">
        <f t="shared" si="125"/>
        <v>#NUM!</v>
      </c>
      <c r="DT192" s="62">
        <f ca="1">AVERAGE(OFFSET($DS$3,0,0,'Données projet'!$E$14+1,1))-AVERAGE(OFFSET($H$3,0,0,'Données projet'!$E$14+1,1))</f>
        <v>325.58538970226539</v>
      </c>
      <c r="DU192" s="62">
        <f t="shared" si="152"/>
        <v>361.81085660423457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11.007814175630259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11.007814175630259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-2.8421709430404007E-13</v>
      </c>
      <c r="EK192" s="18">
        <f>EJ192*VLOOKUP('Données projet'!$B$15,Paramètres!$A$1:$I$89,3,0)*VLOOKUP('Données projet'!$B$15,Paramètres!$A$1:$I$89,5,0)</f>
        <v>-2.7489477361086758E-13</v>
      </c>
      <c r="EL192" s="14" t="e">
        <f t="shared" si="179"/>
        <v>#NUM!</v>
      </c>
      <c r="EM192" s="22" t="e">
        <f t="shared" si="180"/>
        <v>#NUM!</v>
      </c>
      <c r="EN192" s="62" t="e">
        <f t="shared" si="128"/>
        <v>#NUM!</v>
      </c>
      <c r="EO192" s="62">
        <f ca="1">AVERAGE(OFFSET($EN$3,0,0,'Données projet'!$E$15+1,1))-AVERAGE(OFFSET($H$3,0,0,'Données projet'!$E$15+1,1))</f>
        <v>364.22267539944085</v>
      </c>
      <c r="EP192" s="62">
        <f t="shared" si="154"/>
        <v>241.947139538615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48.394510408129413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48.394510408129413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-1.7053025658242404E-13</v>
      </c>
      <c r="FF192" s="18">
        <f>FE192*VLOOKUP('Données projet'!$B$16,Paramètres!$A$1:$I$89,3,0)*VLOOKUP('Données projet'!$B$16,Paramètres!$A$1:$I$89,5,0)</f>
        <v>-1.4897523215040567E-13</v>
      </c>
      <c r="FG192" s="14" t="e">
        <f t="shared" si="182"/>
        <v>#NUM!</v>
      </c>
      <c r="FH192" s="22" t="e">
        <f t="shared" si="183"/>
        <v>#NUM!</v>
      </c>
      <c r="FI192" s="62" t="e">
        <f t="shared" si="131"/>
        <v>#NUM!</v>
      </c>
      <c r="FJ192" s="62">
        <f ca="1">AVERAGE(OFFSET($FI$3,0,0,'Données projet'!$E$16+1,1))-AVERAGE(OFFSET($H$3,0,0,'Données projet'!$E$16+1,1))</f>
        <v>286.59837239471312</v>
      </c>
      <c r="FK192" s="62">
        <f t="shared" si="156"/>
        <v>319.26091328564689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9.5543504702147715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9.5543504702147715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-1.7053025658242404E-13</v>
      </c>
      <c r="GA192" s="18">
        <f>FZ192*VLOOKUP('Données projet'!$B$17,Paramètres!$A$1:$I$89,3,0)*VLOOKUP('Données projet'!$B$17,Paramètres!$A$1:$I$89,5,0)</f>
        <v>-1.1439169611549005E-13</v>
      </c>
      <c r="GB192" s="14" t="e">
        <f t="shared" si="185"/>
        <v>#NUM!</v>
      </c>
      <c r="GC192" s="22" t="e">
        <f t="shared" si="186"/>
        <v>#NUM!</v>
      </c>
      <c r="GD192" s="62" t="e">
        <f t="shared" si="134"/>
        <v>#NUM!</v>
      </c>
      <c r="GE192" s="62">
        <f ca="1">AVERAGE(OFFSET($GD$3,0,0,'Données projet'!$E$17+1,1))-AVERAGE(OFFSET($H$3,0,0,'Données projet'!$E$17+1,1))</f>
        <v>277.37570531842186</v>
      </c>
      <c r="GF192" s="62">
        <f t="shared" si="158"/>
        <v>310.00874200911312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projet'!$B$17,Paramètres!$A$1:$I$89,3,0)*0.475*44/12</f>
        <v>11.219502909776995</v>
      </c>
      <c r="GM192" s="23">
        <f>EXP(-LN(2)/25)*GM191+(1-EXP(-LN(2)/25))/(LN(2)/25)*Calculateur!GH192*Calculateur!GJ192*VLOOKUP('Données projet'!$B$17,Paramètres!$A$1:$I$89,3,0)*0.475*44/12</f>
        <v>0</v>
      </c>
      <c r="GN192" s="23">
        <f>EXP(-LN(2)/2)*GN191+(1-EXP(-LN(2)/2))/(LN(2)/2)*GH192*GK192*VLOOKUP('Données projet'!$B$17,Paramètres!$A$1:$I$89,3,0)*0.475*44/12</f>
        <v>0</v>
      </c>
      <c r="GO192" s="23">
        <f t="shared" si="187"/>
        <v>11.219502909776995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-5.6843418860808015E-14</v>
      </c>
      <c r="O193" s="14">
        <f>N193*VLOOKUP('Données projet'!$B$9,Paramètres!$A$1:$I$89,3,0)*VLOOKUP('Données projet'!$B$9,Paramètres!$A$1:$I$89,5,0)</f>
        <v>-4.9658410716801891E-14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401.34220206028908</v>
      </c>
      <c r="T193" s="62">
        <f t="shared" si="142"/>
        <v>265.33314259106987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53.567526618925683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53.567526618925683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1.7053025658242404E-13</v>
      </c>
      <c r="AJ193" s="14">
        <f>AI193*VLOOKUP('Données projet'!$B$10,Paramètres!$A$1:$I$89,3,0)*VLOOKUP('Données projet'!$B$10,Paramètres!$A$1:$I$89,5,0)</f>
        <v>7.9808160080574461E-14</v>
      </c>
      <c r="AK193" s="14">
        <f t="shared" si="164"/>
        <v>1.2308384591775343E-12</v>
      </c>
      <c r="AL193" s="22">
        <f t="shared" si="165"/>
        <v>2.282709528541206E-12</v>
      </c>
      <c r="AM193" s="62">
        <f t="shared" si="113"/>
        <v>290.03585244760455</v>
      </c>
      <c r="AN193" s="62">
        <f ca="1">AVERAGE(OFFSET($AM$3,0,0,'Données projet'!$E$10+1,1))-AVERAGE(OFFSET($H$3,0,0,'Données projet'!$E$10+1,1))</f>
        <v>253.48761861464732</v>
      </c>
      <c r="AO193" s="62">
        <f t="shared" si="144"/>
        <v>219.50855998133855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21.302007083263337</v>
      </c>
      <c r="AV193" s="23">
        <f>EXP(-LN(2)/25)*AV192+(1-EXP(-LN(2)/25))/(LN(2)/25)*Calculateur!AQ193*Calculateur!AS193*VLOOKUP('Données projet'!$B$10,Paramètres!$A$1:$I$89,3,0)*0.475*44/12</f>
        <v>2.3917620154527395</v>
      </c>
      <c r="AW193" s="23">
        <f>EXP(-LN(2)/2)*AW192+(1-EXP(-LN(2)/2))/(LN(2)/2)*AQ193*AT193*VLOOKUP('Données projet'!$B$10,Paramètres!$A$1:$I$89,3,0)*0.475*44/12</f>
        <v>6.7759043493694189E-13</v>
      </c>
      <c r="AX193" s="23">
        <f t="shared" si="166"/>
        <v>23.693769098716754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482.85256243111911</v>
      </c>
      <c r="BJ193" s="62">
        <f t="shared" si="146"/>
        <v>517.78430032567064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9.0151952052664921</v>
      </c>
      <c r="BQ193" s="23">
        <f>EXP(-LN(2)/25)*BQ192+(1-EXP(-LN(2)/25))/(LN(2)/25)*Calculateur!BL193*Calculateur!BN193*VLOOKUP('Données projet'!$B$11,Paramètres!$A$1:$I$89,3,0)*0.475*44/12</f>
        <v>0.81934856639779008</v>
      </c>
      <c r="BR193" s="23">
        <f>EXP(-LN(2)/2)*BR192+(1-EXP(-LN(2)/2))/(LN(2)/2)*BL193*BO193*VLOOKUP('Données projet'!$B$11,Paramètres!$A$1:$I$89,3,0)*0.475*44/12</f>
        <v>1.5790284498033375E-18</v>
      </c>
      <c r="BS193" s="24">
        <f t="shared" si="169"/>
        <v>9.8345437716642827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>
        <f>BY193*VLOOKUP('Données projet'!$B$12,Paramètres!$A$1:$I$89,3,0)*VLOOKUP('Données projet'!$B$12,Paramètres!$A$1:$I$89,5,0)</f>
        <v>0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275.76900776033335</v>
      </c>
      <c r="CE193" s="62">
        <f t="shared" si="148"/>
        <v>299.36898480605191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8.6395620717137174</v>
      </c>
      <c r="CL193" s="23">
        <f>EXP(-LN(2)/25)*CL192+(1-EXP(-LN(2)/25))/(LN(2)/25)*Calculateur!CG193*Calculateur!CI193*VLOOKUP('Données projet'!$B$12,Paramètres!$A$1:$I$89,3,0)*0.475*44/12</f>
        <v>0.78520904279788295</v>
      </c>
      <c r="CM193" s="23">
        <f>EXP(-LN(2)/2)*CM192+(1-EXP(-LN(2)/2))/(LN(2)/2)*CG193*CJ193*VLOOKUP('Données projet'!$B$12,Paramètres!$A$1:$I$89,3,0)*0.475*44/12</f>
        <v>1.5132355977281971E-18</v>
      </c>
      <c r="CN193" s="24">
        <f t="shared" si="172"/>
        <v>9.4247711145116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-5.6843418860808015E-14</v>
      </c>
      <c r="CU193" s="18">
        <f>CT193*VLOOKUP('Données projet'!$B$13,Paramètres!$A$1:$I$89,3,0)*VLOOKUP('Données projet'!$B$13,Paramètres!$A$1:$I$89,5,0)</f>
        <v>-6.2073013396002344E-14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482.24068797679558</v>
      </c>
      <c r="CZ193" s="62">
        <f t="shared" si="150"/>
        <v>316.28941055521693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66.959408273657047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66.959408273657047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-1.7053025658242404E-13</v>
      </c>
      <c r="DP193" s="18">
        <f>DO193*VLOOKUP('Données projet'!$B$14,Paramètres!$A$1:$I$89,3,0)*VLOOKUP('Données projet'!$B$14,Paramètres!$A$1:$I$89,5,0)</f>
        <v>-1.383341441396624E-13</v>
      </c>
      <c r="DQ193" s="14" t="e">
        <f t="shared" si="176"/>
        <v>#NUM!</v>
      </c>
      <c r="DR193" s="22" t="e">
        <f t="shared" si="177"/>
        <v>#NUM!</v>
      </c>
      <c r="DS193" s="62" t="e">
        <f t="shared" si="125"/>
        <v>#NUM!</v>
      </c>
      <c r="DT193" s="62">
        <f ca="1">AVERAGE(OFFSET($DS$3,0,0,'Données projet'!$E$14+1,1))-AVERAGE(OFFSET($H$3,0,0,'Données projet'!$E$14+1,1))</f>
        <v>325.58538970226539</v>
      </c>
      <c r="DU193" s="62">
        <f t="shared" si="152"/>
        <v>361.81085660423457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10.791957653749833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10.791957653749833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-2.8421709430404007E-13</v>
      </c>
      <c r="EK193" s="18">
        <f>EJ193*VLOOKUP('Données projet'!$B$15,Paramètres!$A$1:$I$89,3,0)*VLOOKUP('Données projet'!$B$15,Paramètres!$A$1:$I$89,5,0)</f>
        <v>-2.7489477361086758E-13</v>
      </c>
      <c r="EL193" s="14" t="e">
        <f t="shared" si="179"/>
        <v>#NUM!</v>
      </c>
      <c r="EM193" s="22" t="e">
        <f t="shared" si="180"/>
        <v>#NUM!</v>
      </c>
      <c r="EN193" s="62" t="e">
        <f t="shared" si="128"/>
        <v>#NUM!</v>
      </c>
      <c r="EO193" s="62">
        <f ca="1">AVERAGE(OFFSET($EN$3,0,0,'Données projet'!$E$15+1,1))-AVERAGE(OFFSET($H$3,0,0,'Données projet'!$E$15+1,1))</f>
        <v>364.22267539944085</v>
      </c>
      <c r="EP193" s="62">
        <f t="shared" si="154"/>
        <v>241.947139538615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47.44552357676271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47.44552357676271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-1.7053025658242404E-13</v>
      </c>
      <c r="FF193" s="18">
        <f>FE193*VLOOKUP('Données projet'!$B$16,Paramètres!$A$1:$I$89,3,0)*VLOOKUP('Données projet'!$B$16,Paramètres!$A$1:$I$89,5,0)</f>
        <v>-1.4897523215040567E-13</v>
      </c>
      <c r="FG193" s="14" t="e">
        <f t="shared" si="182"/>
        <v>#NUM!</v>
      </c>
      <c r="FH193" s="22" t="e">
        <f t="shared" si="183"/>
        <v>#NUM!</v>
      </c>
      <c r="FI193" s="62" t="e">
        <f t="shared" si="131"/>
        <v>#NUM!</v>
      </c>
      <c r="FJ193" s="62">
        <f ca="1">AVERAGE(OFFSET($FI$3,0,0,'Données projet'!$E$16+1,1))-AVERAGE(OFFSET($H$3,0,0,'Données projet'!$E$16+1,1))</f>
        <v>286.59837239471312</v>
      </c>
      <c r="FK193" s="62">
        <f t="shared" si="156"/>
        <v>319.26091328564689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9.3669954850722217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9.3669954850722217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-1.7053025658242404E-13</v>
      </c>
      <c r="GA193" s="18">
        <f>FZ193*VLOOKUP('Données projet'!$B$17,Paramètres!$A$1:$I$89,3,0)*VLOOKUP('Données projet'!$B$17,Paramètres!$A$1:$I$89,5,0)</f>
        <v>-1.1439169611549005E-13</v>
      </c>
      <c r="GB193" s="14" t="e">
        <f t="shared" si="185"/>
        <v>#NUM!</v>
      </c>
      <c r="GC193" s="22" t="e">
        <f t="shared" si="186"/>
        <v>#NUM!</v>
      </c>
      <c r="GD193" s="62" t="e">
        <f t="shared" si="134"/>
        <v>#NUM!</v>
      </c>
      <c r="GE193" s="62">
        <f ca="1">AVERAGE(OFFSET($GD$3,0,0,'Données projet'!$E$17+1,1))-AVERAGE(OFFSET($H$3,0,0,'Données projet'!$E$17+1,1))</f>
        <v>277.37570531842186</v>
      </c>
      <c r="GF193" s="62">
        <f t="shared" si="158"/>
        <v>310.00874200911312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projet'!$B$17,Paramètres!$A$1:$I$89,3,0)*0.475*44/12</f>
        <v>10.999495300937332</v>
      </c>
      <c r="GM193" s="23">
        <f>EXP(-LN(2)/25)*GM192+(1-EXP(-LN(2)/25))/(LN(2)/25)*Calculateur!GH193*Calculateur!GJ193*VLOOKUP('Données projet'!$B$17,Paramètres!$A$1:$I$89,3,0)*0.475*44/12</f>
        <v>0</v>
      </c>
      <c r="GN193" s="23">
        <f>EXP(-LN(2)/2)*GN192+(1-EXP(-LN(2)/2))/(LN(2)/2)*GH193*GK193*VLOOKUP('Données projet'!$B$17,Paramètres!$A$1:$I$89,3,0)*0.475*44/12</f>
        <v>0</v>
      </c>
      <c r="GO193" s="23">
        <f t="shared" si="187"/>
        <v>10.999495300937332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-5.6843418860808015E-14</v>
      </c>
      <c r="O194" s="14">
        <f>N194*VLOOKUP('Données projet'!$B$9,Paramètres!$A$1:$I$89,3,0)*VLOOKUP('Données projet'!$B$9,Paramètres!$A$1:$I$89,5,0)</f>
        <v>-4.9658410716801891E-14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401.34220206028908</v>
      </c>
      <c r="T194" s="62">
        <f t="shared" si="142"/>
        <v>265.33314259106987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52.5171000948936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52.5171000948936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1.7053025658242404E-13</v>
      </c>
      <c r="AJ194" s="14">
        <f>AI194*VLOOKUP('Données projet'!$B$10,Paramètres!$A$1:$I$89,3,0)*VLOOKUP('Données projet'!$B$10,Paramètres!$A$1:$I$89,5,0)</f>
        <v>7.9808160080574461E-14</v>
      </c>
      <c r="AK194" s="14">
        <f t="shared" si="164"/>
        <v>1.2308384591775343E-12</v>
      </c>
      <c r="AL194" s="22">
        <f t="shared" si="165"/>
        <v>2.282709528541206E-12</v>
      </c>
      <c r="AM194" s="62">
        <f t="shared" si="113"/>
        <v>290.09305636890912</v>
      </c>
      <c r="AN194" s="62">
        <f ca="1">AVERAGE(OFFSET($AM$3,0,0,'Données projet'!$E$10+1,1))-AVERAGE(OFFSET($H$3,0,0,'Données projet'!$E$10+1,1))</f>
        <v>253.48761861464732</v>
      </c>
      <c r="AO194" s="62">
        <f t="shared" si="144"/>
        <v>219.50855998133855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20.884287717301916</v>
      </c>
      <c r="AV194" s="23">
        <f>EXP(-LN(2)/25)*AV193+(1-EXP(-LN(2)/25))/(LN(2)/25)*Calculateur!AQ194*Calculateur!AS194*VLOOKUP('Données projet'!$B$10,Paramètres!$A$1:$I$89,3,0)*0.475*44/12</f>
        <v>2.3263591573628863</v>
      </c>
      <c r="AW194" s="23">
        <f>EXP(-LN(2)/2)*AW193+(1-EXP(-LN(2)/2))/(LN(2)/2)*AQ194*AT194*VLOOKUP('Données projet'!$B$10,Paramètres!$A$1:$I$89,3,0)*0.475*44/12</f>
        <v>4.7912879141105373E-13</v>
      </c>
      <c r="AX194" s="23">
        <f t="shared" si="166"/>
        <v>23.210646874665283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482.85256243111911</v>
      </c>
      <c r="BJ194" s="62">
        <f t="shared" si="146"/>
        <v>517.78430032567064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8.8384127260173369</v>
      </c>
      <c r="BQ194" s="23">
        <f>EXP(-LN(2)/25)*BQ193+(1-EXP(-LN(2)/25))/(LN(2)/25)*Calculateur!BL194*Calculateur!BN194*VLOOKUP('Données projet'!$B$11,Paramètres!$A$1:$I$89,3,0)*0.475*44/12</f>
        <v>0.7969434367619741</v>
      </c>
      <c r="BR194" s="23">
        <f>EXP(-LN(2)/2)*BR193+(1-EXP(-LN(2)/2))/(LN(2)/2)*BL194*BO194*VLOOKUP('Données projet'!$B$11,Paramètres!$A$1:$I$89,3,0)*0.475*44/12</f>
        <v>1.1165417245424219E-18</v>
      </c>
      <c r="BS194" s="24">
        <f t="shared" si="169"/>
        <v>9.6353561627793116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>
        <f>BY194*VLOOKUP('Données projet'!$B$12,Paramètres!$A$1:$I$89,3,0)*VLOOKUP('Données projet'!$B$12,Paramètres!$A$1:$I$89,5,0)</f>
        <v>0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275.76900776033335</v>
      </c>
      <c r="CE194" s="62">
        <f t="shared" si="148"/>
        <v>299.36898480605191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8.4701455290999448</v>
      </c>
      <c r="CL194" s="23">
        <f>EXP(-LN(2)/25)*CL193+(1-EXP(-LN(2)/25))/(LN(2)/25)*Calculateur!CG194*Calculateur!CI194*VLOOKUP('Données projet'!$B$12,Paramètres!$A$1:$I$89,3,0)*0.475*44/12</f>
        <v>0.76373746023022593</v>
      </c>
      <c r="CM194" s="23">
        <f>EXP(-LN(2)/2)*CM193+(1-EXP(-LN(2)/2))/(LN(2)/2)*CG194*CJ194*VLOOKUP('Données projet'!$B$12,Paramètres!$A$1:$I$89,3,0)*0.475*44/12</f>
        <v>1.0700191526864867E-18</v>
      </c>
      <c r="CN194" s="24">
        <f t="shared" si="172"/>
        <v>9.233882989330171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-5.6843418860808015E-14</v>
      </c>
      <c r="CU194" s="18">
        <f>CT194*VLOOKUP('Données projet'!$B$13,Paramètres!$A$1:$I$89,3,0)*VLOOKUP('Données projet'!$B$13,Paramètres!$A$1:$I$89,5,0)</f>
        <v>-6.2073013396002344E-14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482.24068797679558</v>
      </c>
      <c r="CZ194" s="62">
        <f t="shared" si="150"/>
        <v>316.28941055521693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65.646375118616945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65.646375118616945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-1.7053025658242404E-13</v>
      </c>
      <c r="DP194" s="18">
        <f>DO194*VLOOKUP('Données projet'!$B$14,Paramètres!$A$1:$I$89,3,0)*VLOOKUP('Données projet'!$B$14,Paramètres!$A$1:$I$89,5,0)</f>
        <v>-1.383341441396624E-13</v>
      </c>
      <c r="DQ194" s="14" t="e">
        <f t="shared" si="176"/>
        <v>#NUM!</v>
      </c>
      <c r="DR194" s="22" t="e">
        <f t="shared" si="177"/>
        <v>#NUM!</v>
      </c>
      <c r="DS194" s="62" t="e">
        <f t="shared" si="125"/>
        <v>#NUM!</v>
      </c>
      <c r="DT194" s="62">
        <f ca="1">AVERAGE(OFFSET($DS$3,0,0,'Données projet'!$E$14+1,1))-AVERAGE(OFFSET($H$3,0,0,'Données projet'!$E$14+1,1))</f>
        <v>325.58538970226539</v>
      </c>
      <c r="DU194" s="62">
        <f t="shared" si="152"/>
        <v>361.81085660423457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10.580333946604005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10.580333946604005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-2.8421709430404007E-13</v>
      </c>
      <c r="EK194" s="18">
        <f>EJ194*VLOOKUP('Données projet'!$B$15,Paramètres!$A$1:$I$89,3,0)*VLOOKUP('Données projet'!$B$15,Paramètres!$A$1:$I$89,5,0)</f>
        <v>-2.7489477361086758E-13</v>
      </c>
      <c r="EL194" s="14" t="e">
        <f t="shared" si="179"/>
        <v>#NUM!</v>
      </c>
      <c r="EM194" s="22" t="e">
        <f t="shared" si="180"/>
        <v>#NUM!</v>
      </c>
      <c r="EN194" s="62" t="e">
        <f t="shared" si="128"/>
        <v>#NUM!</v>
      </c>
      <c r="EO194" s="62">
        <f ca="1">AVERAGE(OFFSET($EN$3,0,0,'Données projet'!$E$15+1,1))-AVERAGE(OFFSET($H$3,0,0,'Données projet'!$E$15+1,1))</f>
        <v>364.22267539944085</v>
      </c>
      <c r="EP194" s="62">
        <f t="shared" si="154"/>
        <v>241.947139538615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46.515145798334295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46.515145798334295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-1.7053025658242404E-13</v>
      </c>
      <c r="FF194" s="18">
        <f>FE194*VLOOKUP('Données projet'!$B$16,Paramètres!$A$1:$I$89,3,0)*VLOOKUP('Données projet'!$B$16,Paramètres!$A$1:$I$89,5,0)</f>
        <v>-1.4897523215040567E-13</v>
      </c>
      <c r="FG194" s="14" t="e">
        <f t="shared" si="182"/>
        <v>#NUM!</v>
      </c>
      <c r="FH194" s="22" t="e">
        <f t="shared" si="183"/>
        <v>#NUM!</v>
      </c>
      <c r="FI194" s="62" t="e">
        <f t="shared" si="131"/>
        <v>#NUM!</v>
      </c>
      <c r="FJ194" s="62">
        <f ca="1">AVERAGE(OFFSET($FI$3,0,0,'Données projet'!$E$16+1,1))-AVERAGE(OFFSET($H$3,0,0,'Données projet'!$E$16+1,1))</f>
        <v>286.59837239471312</v>
      </c>
      <c r="FK194" s="62">
        <f t="shared" si="156"/>
        <v>319.26091328564689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9.1833144169130598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9.1833144169130598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-1.7053025658242404E-13</v>
      </c>
      <c r="GA194" s="18">
        <f>FZ194*VLOOKUP('Données projet'!$B$17,Paramètres!$A$1:$I$89,3,0)*VLOOKUP('Données projet'!$B$17,Paramètres!$A$1:$I$89,5,0)</f>
        <v>-1.1439169611549005E-13</v>
      </c>
      <c r="GB194" s="14" t="e">
        <f t="shared" si="185"/>
        <v>#NUM!</v>
      </c>
      <c r="GC194" s="22" t="e">
        <f t="shared" si="186"/>
        <v>#NUM!</v>
      </c>
      <c r="GD194" s="62" t="e">
        <f t="shared" si="134"/>
        <v>#NUM!</v>
      </c>
      <c r="GE194" s="62">
        <f ca="1">AVERAGE(OFFSET($GD$3,0,0,'Données projet'!$E$17+1,1))-AVERAGE(OFFSET($H$3,0,0,'Données projet'!$E$17+1,1))</f>
        <v>277.37570531842186</v>
      </c>
      <c r="GF194" s="62">
        <f t="shared" si="158"/>
        <v>310.00874200911312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projet'!$B$17,Paramètres!$A$1:$I$89,3,0)*0.475*44/12</f>
        <v>10.783801907115622</v>
      </c>
      <c r="GM194" s="23">
        <f>EXP(-LN(2)/25)*GM193+(1-EXP(-LN(2)/25))/(LN(2)/25)*Calculateur!GH194*Calculateur!GJ194*VLOOKUP('Données projet'!$B$17,Paramètres!$A$1:$I$89,3,0)*0.475*44/12</f>
        <v>0</v>
      </c>
      <c r="GN194" s="23">
        <f>EXP(-LN(2)/2)*GN193+(1-EXP(-LN(2)/2))/(LN(2)/2)*GH194*GK194*VLOOKUP('Données projet'!$B$17,Paramètres!$A$1:$I$89,3,0)*0.475*44/12</f>
        <v>0</v>
      </c>
      <c r="GO194" s="23">
        <f t="shared" si="187"/>
        <v>10.783801907115622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-5.6843418860808015E-14</v>
      </c>
      <c r="O195" s="14">
        <f>N195*VLOOKUP('Données projet'!$B$9,Paramètres!$A$1:$I$89,3,0)*VLOOKUP('Données projet'!$B$9,Paramètres!$A$1:$I$89,5,0)</f>
        <v>-4.9658410716801891E-14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401.34220206028908</v>
      </c>
      <c r="T195" s="62">
        <f t="shared" si="142"/>
        <v>265.33314259106987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51.487271794300874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51.487271794300874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1.7053025658242404E-13</v>
      </c>
      <c r="AJ195" s="14">
        <f>AI195*VLOOKUP('Données projet'!$B$10,Paramètres!$A$1:$I$89,3,0)*VLOOKUP('Données projet'!$B$10,Paramètres!$A$1:$I$89,5,0)</f>
        <v>7.9808160080574461E-14</v>
      </c>
      <c r="AK195" s="14">
        <f t="shared" si="164"/>
        <v>1.2308384591775343E-12</v>
      </c>
      <c r="AL195" s="22">
        <f t="shared" si="165"/>
        <v>2.282709528541206E-12</v>
      </c>
      <c r="AM195" s="62">
        <f t="shared" si="113"/>
        <v>290.14926793006794</v>
      </c>
      <c r="AN195" s="62">
        <f ca="1">AVERAGE(OFFSET($AM$3,0,0,'Données projet'!$E$10+1,1))-AVERAGE(OFFSET($H$3,0,0,'Données projet'!$E$10+1,1))</f>
        <v>253.48761861464732</v>
      </c>
      <c r="AO195" s="62">
        <f t="shared" si="144"/>
        <v>219.50855998133855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20.474759573323343</v>
      </c>
      <c r="AV195" s="23">
        <f>EXP(-LN(2)/25)*AV194+(1-EXP(-LN(2)/25))/(LN(2)/25)*Calculateur!AQ195*Calculateur!AS195*VLOOKUP('Données projet'!$B$10,Paramètres!$A$1:$I$89,3,0)*0.475*44/12</f>
        <v>2.2627447438668873</v>
      </c>
      <c r="AW195" s="23">
        <f>EXP(-LN(2)/2)*AW194+(1-EXP(-LN(2)/2))/(LN(2)/2)*AQ195*AT195*VLOOKUP('Données projet'!$B$10,Paramètres!$A$1:$I$89,3,0)*0.475*44/12</f>
        <v>3.3879521746847094E-13</v>
      </c>
      <c r="AX195" s="23">
        <f t="shared" si="166"/>
        <v>22.737504317190567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482.85256243111911</v>
      </c>
      <c r="BJ195" s="62">
        <f t="shared" si="146"/>
        <v>517.78430032567064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8.6650968433595921</v>
      </c>
      <c r="BQ195" s="23">
        <f>EXP(-LN(2)/25)*BQ194+(1-EXP(-LN(2)/25))/(LN(2)/25)*Calculateur!BL195*Calculateur!BN195*VLOOKUP('Données projet'!$B$11,Paramètres!$A$1:$I$89,3,0)*0.475*44/12</f>
        <v>0.775150976574284</v>
      </c>
      <c r="BR195" s="23">
        <f>EXP(-LN(2)/2)*BR194+(1-EXP(-LN(2)/2))/(LN(2)/2)*BL195*BO195*VLOOKUP('Données projet'!$B$11,Paramètres!$A$1:$I$89,3,0)*0.475*44/12</f>
        <v>7.8951422490166874E-19</v>
      </c>
      <c r="BS195" s="24">
        <f t="shared" si="169"/>
        <v>9.4402478199338766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>
        <f>BY195*VLOOKUP('Données projet'!$B$12,Paramètres!$A$1:$I$89,3,0)*VLOOKUP('Données projet'!$B$12,Paramètres!$A$1:$I$89,5,0)</f>
        <v>0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275.76900776033335</v>
      </c>
      <c r="CE195" s="62">
        <f t="shared" si="148"/>
        <v>299.36898480605191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8.3040511415529394</v>
      </c>
      <c r="CL195" s="23">
        <f>EXP(-LN(2)/25)*CL194+(1-EXP(-LN(2)/25))/(LN(2)/25)*Calculateur!CG195*Calculateur!CI195*VLOOKUP('Données projet'!$B$12,Paramètres!$A$1:$I$89,3,0)*0.475*44/12</f>
        <v>0.74285301921702296</v>
      </c>
      <c r="CM195" s="23">
        <f>EXP(-LN(2)/2)*CM194+(1-EXP(-LN(2)/2))/(LN(2)/2)*CG195*CJ195*VLOOKUP('Données projet'!$B$12,Paramètres!$A$1:$I$89,3,0)*0.475*44/12</f>
        <v>7.5661779886409856E-19</v>
      </c>
      <c r="CN195" s="24">
        <f t="shared" si="172"/>
        <v>9.0469041607699623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-5.6843418860808015E-14</v>
      </c>
      <c r="CU195" s="18">
        <f>CT195*VLOOKUP('Données projet'!$B$13,Paramètres!$A$1:$I$89,3,0)*VLOOKUP('Données projet'!$B$13,Paramètres!$A$1:$I$89,5,0)</f>
        <v>-6.2073013396002344E-14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482.24068797679558</v>
      </c>
      <c r="CZ195" s="62">
        <f t="shared" si="150"/>
        <v>316.28941055521693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64.359089742876037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64.359089742876037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-1.7053025658242404E-13</v>
      </c>
      <c r="DP195" s="18">
        <f>DO195*VLOOKUP('Données projet'!$B$14,Paramètres!$A$1:$I$89,3,0)*VLOOKUP('Données projet'!$B$14,Paramètres!$A$1:$I$89,5,0)</f>
        <v>-1.383341441396624E-13</v>
      </c>
      <c r="DQ195" s="14" t="e">
        <f t="shared" si="176"/>
        <v>#NUM!</v>
      </c>
      <c r="DR195" s="22" t="e">
        <f t="shared" si="177"/>
        <v>#NUM!</v>
      </c>
      <c r="DS195" s="62" t="e">
        <f t="shared" si="125"/>
        <v>#NUM!</v>
      </c>
      <c r="DT195" s="62">
        <f ca="1">AVERAGE(OFFSET($DS$3,0,0,'Données projet'!$E$14+1,1))-AVERAGE(OFFSET($H$3,0,0,'Données projet'!$E$14+1,1))</f>
        <v>325.58538970226539</v>
      </c>
      <c r="DU195" s="62">
        <f t="shared" si="152"/>
        <v>361.81085660423457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10.372860051277591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10.372860051277591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-2.8421709430404007E-13</v>
      </c>
      <c r="EK195" s="18">
        <f>EJ195*VLOOKUP('Données projet'!$B$15,Paramètres!$A$1:$I$89,3,0)*VLOOKUP('Données projet'!$B$15,Paramètres!$A$1:$I$89,5,0)</f>
        <v>-2.7489477361086758E-13</v>
      </c>
      <c r="EL195" s="14" t="e">
        <f t="shared" si="179"/>
        <v>#NUM!</v>
      </c>
      <c r="EM195" s="22" t="e">
        <f t="shared" si="180"/>
        <v>#NUM!</v>
      </c>
      <c r="EN195" s="62" t="e">
        <f t="shared" si="128"/>
        <v>#NUM!</v>
      </c>
      <c r="EO195" s="62">
        <f ca="1">AVERAGE(OFFSET($EN$3,0,0,'Données projet'!$E$15+1,1))-AVERAGE(OFFSET($H$3,0,0,'Données projet'!$E$15+1,1))</f>
        <v>364.22267539944085</v>
      </c>
      <c r="EP195" s="62">
        <f t="shared" si="154"/>
        <v>241.947139538615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45.603012160666452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45.603012160666452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-1.7053025658242404E-13</v>
      </c>
      <c r="FF195" s="18">
        <f>FE195*VLOOKUP('Données projet'!$B$16,Paramètres!$A$1:$I$89,3,0)*VLOOKUP('Données projet'!$B$16,Paramètres!$A$1:$I$89,5,0)</f>
        <v>-1.4897523215040567E-13</v>
      </c>
      <c r="FG195" s="14" t="e">
        <f t="shared" si="182"/>
        <v>#NUM!</v>
      </c>
      <c r="FH195" s="22" t="e">
        <f t="shared" si="183"/>
        <v>#NUM!</v>
      </c>
      <c r="FI195" s="62" t="e">
        <f t="shared" si="131"/>
        <v>#NUM!</v>
      </c>
      <c r="FJ195" s="62">
        <f ca="1">AVERAGE(OFFSET($FI$3,0,0,'Données projet'!$E$16+1,1))-AVERAGE(OFFSET($H$3,0,0,'Données projet'!$E$16+1,1))</f>
        <v>286.59837239471312</v>
      </c>
      <c r="FK195" s="62">
        <f t="shared" si="156"/>
        <v>319.26091328564689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9.0032352224661096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9.0032352224661096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-1.7053025658242404E-13</v>
      </c>
      <c r="GA195" s="18">
        <f>FZ195*VLOOKUP('Données projet'!$B$17,Paramètres!$A$1:$I$89,3,0)*VLOOKUP('Données projet'!$B$17,Paramètres!$A$1:$I$89,5,0)</f>
        <v>-1.1439169611549005E-13</v>
      </c>
      <c r="GB195" s="14" t="e">
        <f t="shared" si="185"/>
        <v>#NUM!</v>
      </c>
      <c r="GC195" s="22" t="e">
        <f t="shared" si="186"/>
        <v>#NUM!</v>
      </c>
      <c r="GD195" s="62" t="e">
        <f t="shared" si="134"/>
        <v>#NUM!</v>
      </c>
      <c r="GE195" s="62">
        <f ca="1">AVERAGE(OFFSET($GD$3,0,0,'Données projet'!$E$17+1,1))-AVERAGE(OFFSET($H$3,0,0,'Données projet'!$E$17+1,1))</f>
        <v>277.37570531842186</v>
      </c>
      <c r="GF195" s="62">
        <f t="shared" si="158"/>
        <v>310.00874200911312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projet'!$B$17,Paramètres!$A$1:$I$89,3,0)*0.475*44/12</f>
        <v>10.572338129186777</v>
      </c>
      <c r="GM195" s="23">
        <f>EXP(-LN(2)/25)*GM194+(1-EXP(-LN(2)/25))/(LN(2)/25)*Calculateur!GH195*Calculateur!GJ195*VLOOKUP('Données projet'!$B$17,Paramètres!$A$1:$I$89,3,0)*0.475*44/12</f>
        <v>0</v>
      </c>
      <c r="GN195" s="23">
        <f>EXP(-LN(2)/2)*GN194+(1-EXP(-LN(2)/2))/(LN(2)/2)*GH195*GK195*VLOOKUP('Données projet'!$B$17,Paramètres!$A$1:$I$89,3,0)*0.475*44/12</f>
        <v>0</v>
      </c>
      <c r="GO195" s="23">
        <f t="shared" si="187"/>
        <v>10.572338129186777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-5.6843418860808015E-14</v>
      </c>
      <c r="O196" s="14">
        <f>N196*VLOOKUP('Données projet'!$B$9,Paramètres!$A$1:$I$89,3,0)*VLOOKUP('Données projet'!$B$9,Paramètres!$A$1:$I$89,5,0)</f>
        <v>-4.9658410716801891E-14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401.34220206028908</v>
      </c>
      <c r="T196" s="62">
        <f t="shared" si="142"/>
        <v>265.33314259106987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50.47763779854953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50.47763779854953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1.7053025658242404E-13</v>
      </c>
      <c r="AJ196" s="14">
        <f>AI196*VLOOKUP('Données projet'!$B$10,Paramètres!$A$1:$I$89,3,0)*VLOOKUP('Données projet'!$B$10,Paramètres!$A$1:$I$89,5,0)</f>
        <v>7.9808160080574461E-14</v>
      </c>
      <c r="AK196" s="14">
        <f t="shared" si="164"/>
        <v>1.2308384591775343E-12</v>
      </c>
      <c r="AL196" s="22">
        <f t="shared" si="165"/>
        <v>2.282709528541206E-12</v>
      </c>
      <c r="AM196" s="62">
        <f t="shared" ref="AM196:AM203" si="193">AL196+(AD196+AE196)*44/12</f>
        <v>290.20450434631078</v>
      </c>
      <c r="AN196" s="62">
        <f ca="1">AVERAGE(OFFSET($AM$3,0,0,'Données projet'!$E$10+1,1))-AVERAGE(OFFSET($H$3,0,0,'Données projet'!$E$10+1,1))</f>
        <v>253.48761861464732</v>
      </c>
      <c r="AO196" s="62">
        <f t="shared" si="144"/>
        <v>219.50855998133855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20.073262026460689</v>
      </c>
      <c r="AV196" s="23">
        <f>EXP(-LN(2)/25)*AV195+(1-EXP(-LN(2)/25))/(LN(2)/25)*Calculateur!AQ196*Calculateur!AS196*VLOOKUP('Données projet'!$B$10,Paramètres!$A$1:$I$89,3,0)*0.475*44/12</f>
        <v>2.2008698698532729</v>
      </c>
      <c r="AW196" s="23">
        <f>EXP(-LN(2)/2)*AW195+(1-EXP(-LN(2)/2))/(LN(2)/2)*AQ196*AT196*VLOOKUP('Données projet'!$B$10,Paramètres!$A$1:$I$89,3,0)*0.475*44/12</f>
        <v>2.3956439570552686E-13</v>
      </c>
      <c r="AX196" s="23">
        <f t="shared" si="166"/>
        <v>22.274131896314199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482.85256243111911</v>
      </c>
      <c r="BJ196" s="62">
        <f t="shared" si="146"/>
        <v>517.78430032567064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8.4951795794485161</v>
      </c>
      <c r="BQ196" s="23">
        <f>EXP(-LN(2)/25)*BQ195+(1-EXP(-LN(2)/25))/(LN(2)/25)*Calculateur!BL196*Calculateur!BN196*VLOOKUP('Données projet'!$B$11,Paramètres!$A$1:$I$89,3,0)*0.475*44/12</f>
        <v>0.75395443235644199</v>
      </c>
      <c r="BR196" s="23">
        <f>EXP(-LN(2)/2)*BR195+(1-EXP(-LN(2)/2))/(LN(2)/2)*BL196*BO196*VLOOKUP('Données projet'!$B$11,Paramètres!$A$1:$I$89,3,0)*0.475*44/12</f>
        <v>5.5827086227121094E-19</v>
      </c>
      <c r="BS196" s="24">
        <f t="shared" si="169"/>
        <v>9.2491340118049585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>
        <f>BY196*VLOOKUP('Données projet'!$B$12,Paramètres!$A$1:$I$89,3,0)*VLOOKUP('Données projet'!$B$12,Paramètres!$A$1:$I$89,5,0)</f>
        <v>0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275.76900776033335</v>
      </c>
      <c r="CE196" s="62">
        <f t="shared" si="148"/>
        <v>299.36898480605191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8.1412137636381576</v>
      </c>
      <c r="CL196" s="23">
        <f>EXP(-LN(2)/25)*CL195+(1-EXP(-LN(2)/25))/(LN(2)/25)*Calculateur!CG196*Calculateur!CI196*VLOOKUP('Données projet'!$B$12,Paramètres!$A$1:$I$89,3,0)*0.475*44/12</f>
        <v>0.722539664341591</v>
      </c>
      <c r="CM196" s="23">
        <f>EXP(-LN(2)/2)*CM195+(1-EXP(-LN(2)/2))/(LN(2)/2)*CG196*CJ196*VLOOKUP('Données projet'!$B$12,Paramètres!$A$1:$I$89,3,0)*0.475*44/12</f>
        <v>5.3500957634324335E-19</v>
      </c>
      <c r="CN196" s="24">
        <f t="shared" si="172"/>
        <v>8.8637534279797485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-5.6843418860808015E-14</v>
      </c>
      <c r="CU196" s="18">
        <f>CT196*VLOOKUP('Données projet'!$B$13,Paramètres!$A$1:$I$89,3,0)*VLOOKUP('Données projet'!$B$13,Paramètres!$A$1:$I$89,5,0)</f>
        <v>-6.2073013396002344E-14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482.24068797679558</v>
      </c>
      <c r="CZ196" s="62">
        <f t="shared" si="150"/>
        <v>316.28941055521693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63.097047248186854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63.097047248186854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-1.7053025658242404E-13</v>
      </c>
      <c r="DP196" s="18">
        <f>DO196*VLOOKUP('Données projet'!$B$14,Paramètres!$A$1:$I$89,3,0)*VLOOKUP('Données projet'!$B$14,Paramètres!$A$1:$I$89,5,0)</f>
        <v>-1.383341441396624E-13</v>
      </c>
      <c r="DQ196" s="14" t="e">
        <f t="shared" si="176"/>
        <v>#NUM!</v>
      </c>
      <c r="DR196" s="22" t="e">
        <f t="shared" si="177"/>
        <v>#NUM!</v>
      </c>
      <c r="DS196" s="62" t="e">
        <f t="shared" ref="DS196:DS203" si="197">DR196+(DJ196+DK196)*44/12</f>
        <v>#NUM!</v>
      </c>
      <c r="DT196" s="62">
        <f ca="1">AVERAGE(OFFSET($DS$3,0,0,'Données projet'!$E$14+1,1))-AVERAGE(OFFSET($H$3,0,0,'Données projet'!$E$14+1,1))</f>
        <v>325.58538970226539</v>
      </c>
      <c r="DU196" s="62">
        <f t="shared" si="152"/>
        <v>361.81085660423457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10.169454592491947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10.169454592491947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-2.8421709430404007E-13</v>
      </c>
      <c r="EK196" s="18">
        <f>EJ196*VLOOKUP('Données projet'!$B$15,Paramètres!$A$1:$I$89,3,0)*VLOOKUP('Données projet'!$B$15,Paramètres!$A$1:$I$89,5,0)</f>
        <v>-2.7489477361086758E-13</v>
      </c>
      <c r="EL196" s="14" t="e">
        <f t="shared" si="179"/>
        <v>#NUM!</v>
      </c>
      <c r="EM196" s="22" t="e">
        <f t="shared" si="180"/>
        <v>#NUM!</v>
      </c>
      <c r="EN196" s="62" t="e">
        <f t="shared" ref="EN196:EN203" si="198">EM196+(EE196+EF196)*44/12</f>
        <v>#NUM!</v>
      </c>
      <c r="EO196" s="62">
        <f ca="1">AVERAGE(OFFSET($EN$3,0,0,'Données projet'!$E$15+1,1))-AVERAGE(OFFSET($H$3,0,0,'Données projet'!$E$15+1,1))</f>
        <v>364.22267539944085</v>
      </c>
      <c r="EP196" s="62">
        <f t="shared" si="154"/>
        <v>241.947139538615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44.708764907286692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44.708764907286692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-1.7053025658242404E-13</v>
      </c>
      <c r="FF196" s="18">
        <f>FE196*VLOOKUP('Données projet'!$B$16,Paramètres!$A$1:$I$89,3,0)*VLOOKUP('Données projet'!$B$16,Paramètres!$A$1:$I$89,5,0)</f>
        <v>-1.4897523215040567E-13</v>
      </c>
      <c r="FG196" s="14" t="e">
        <f t="shared" si="182"/>
        <v>#NUM!</v>
      </c>
      <c r="FH196" s="22" t="e">
        <f t="shared" si="183"/>
        <v>#NUM!</v>
      </c>
      <c r="FI196" s="62" t="e">
        <f t="shared" ref="FI196:FI203" si="199">FH196+(EZ196+FA196)*44/12</f>
        <v>#NUM!</v>
      </c>
      <c r="FJ196" s="62">
        <f ca="1">AVERAGE(OFFSET($FI$3,0,0,'Données projet'!$E$16+1,1))-AVERAGE(OFFSET($H$3,0,0,'Données projet'!$E$16+1,1))</f>
        <v>286.59837239471312</v>
      </c>
      <c r="FK196" s="62">
        <f t="shared" si="156"/>
        <v>319.26091328564689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8.8266872711848006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8.8266872711848006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-1.7053025658242404E-13</v>
      </c>
      <c r="GA196" s="18">
        <f>FZ196*VLOOKUP('Données projet'!$B$17,Paramètres!$A$1:$I$89,3,0)*VLOOKUP('Données projet'!$B$17,Paramètres!$A$1:$I$89,5,0)</f>
        <v>-1.1439169611549005E-13</v>
      </c>
      <c r="GB196" s="14" t="e">
        <f t="shared" si="185"/>
        <v>#NUM!</v>
      </c>
      <c r="GC196" s="22" t="e">
        <f t="shared" si="186"/>
        <v>#NUM!</v>
      </c>
      <c r="GD196" s="62" t="e">
        <f t="shared" ref="GD196:GD203" si="200">GC196+(FU196+FV196)*44/12</f>
        <v>#NUM!</v>
      </c>
      <c r="GE196" s="62">
        <f ca="1">AVERAGE(OFFSET($GD$3,0,0,'Données projet'!$E$17+1,1))-AVERAGE(OFFSET($H$3,0,0,'Données projet'!$E$17+1,1))</f>
        <v>277.37570531842186</v>
      </c>
      <c r="GF196" s="62">
        <f t="shared" si="158"/>
        <v>310.00874200911312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projet'!$B$17,Paramètres!$A$1:$I$89,3,0)*0.475*44/12</f>
        <v>10.365021026962948</v>
      </c>
      <c r="GM196" s="23">
        <f>EXP(-LN(2)/25)*GM195+(1-EXP(-LN(2)/25))/(LN(2)/25)*Calculateur!GH196*Calculateur!GJ196*VLOOKUP('Données projet'!$B$17,Paramètres!$A$1:$I$89,3,0)*0.475*44/12</f>
        <v>0</v>
      </c>
      <c r="GN196" s="23">
        <f>EXP(-LN(2)/2)*GN195+(1-EXP(-LN(2)/2))/(LN(2)/2)*GH196*GK196*VLOOKUP('Données projet'!$B$17,Paramètres!$A$1:$I$89,3,0)*0.475*44/12</f>
        <v>0</v>
      </c>
      <c r="GO196" s="23">
        <f t="shared" si="187"/>
        <v>10.365021026962948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-5.6843418860808015E-14</v>
      </c>
      <c r="O197" s="14">
        <f>N197*VLOOKUP('Données projet'!$B$9,Paramètres!$A$1:$I$89,3,0)*VLOOKUP('Données projet'!$B$9,Paramètres!$A$1:$I$89,5,0)</f>
        <v>-4.9658410716801891E-14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401.34220206028908</v>
      </c>
      <c r="T197" s="62">
        <f t="shared" ref="T197:T203" si="204">$T$3</f>
        <v>265.33314259106987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49.487802109638935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49.487802109638935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1.7053025658242404E-13</v>
      </c>
      <c r="AJ197" s="14">
        <f>AI197*VLOOKUP('Données projet'!$B$10,Paramètres!$A$1:$I$89,3,0)*VLOOKUP('Données projet'!$B$10,Paramètres!$A$1:$I$89,5,0)</f>
        <v>7.9808160080574461E-14</v>
      </c>
      <c r="AK197" s="14">
        <f t="shared" si="164"/>
        <v>1.2308384591775343E-12</v>
      </c>
      <c r="AL197" s="22">
        <f t="shared" si="165"/>
        <v>2.282709528541206E-12</v>
      </c>
      <c r="AM197" s="62">
        <f t="shared" si="193"/>
        <v>290.25878253422201</v>
      </c>
      <c r="AN197" s="62">
        <f ca="1">AVERAGE(OFFSET($AM$3,0,0,'Données projet'!$E$10+1,1))-AVERAGE(OFFSET($H$3,0,0,'Données projet'!$E$10+1,1))</f>
        <v>253.48761861464732</v>
      </c>
      <c r="AO197" s="62">
        <f t="shared" ref="AO197:AO203" si="205">$AO$3</f>
        <v>219.50855998133855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19.679637601602689</v>
      </c>
      <c r="AV197" s="23">
        <f>EXP(-LN(2)/25)*AV196+(1-EXP(-LN(2)/25))/(LN(2)/25)*Calculateur!AQ197*Calculateur!AS197*VLOOKUP('Données projet'!$B$10,Paramètres!$A$1:$I$89,3,0)*0.475*44/12</f>
        <v>2.1406869675234188</v>
      </c>
      <c r="AW197" s="23">
        <f>EXP(-LN(2)/2)*AW196+(1-EXP(-LN(2)/2))/(LN(2)/2)*AQ197*AT197*VLOOKUP('Données projet'!$B$10,Paramètres!$A$1:$I$89,3,0)*0.475*44/12</f>
        <v>1.6939760873423547E-13</v>
      </c>
      <c r="AX197" s="23">
        <f t="shared" si="166"/>
        <v>21.820324569126278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482.85256243111911</v>
      </c>
      <c r="BJ197" s="62">
        <f t="shared" ref="BJ197:BJ203" si="206">$BJ$3</f>
        <v>517.78430032567064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8.3285942894434388</v>
      </c>
      <c r="BQ197" s="23">
        <f>EXP(-LN(2)/25)*BQ196+(1-EXP(-LN(2)/25))/(LN(2)/25)*Calculateur!BL197*Calculateur!BN197*VLOOKUP('Données projet'!$B$11,Paramètres!$A$1:$I$89,3,0)*0.475*44/12</f>
        <v>0.73333750875491466</v>
      </c>
      <c r="BR197" s="23">
        <f>EXP(-LN(2)/2)*BR196+(1-EXP(-LN(2)/2))/(LN(2)/2)*BL197*BO197*VLOOKUP('Données projet'!$B$11,Paramètres!$A$1:$I$89,3,0)*0.475*44/12</f>
        <v>3.9475711245083437E-19</v>
      </c>
      <c r="BS197" s="24">
        <f t="shared" si="169"/>
        <v>9.0619317981983531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>
        <f>BY197*VLOOKUP('Données projet'!$B$12,Paramètres!$A$1:$I$89,3,0)*VLOOKUP('Données projet'!$B$12,Paramètres!$A$1:$I$89,5,0)</f>
        <v>0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275.76900776033335</v>
      </c>
      <c r="CE197" s="62">
        <f t="shared" ref="CE197:CE203" si="207">$CE$3</f>
        <v>299.36898480605191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7.9815695273832921</v>
      </c>
      <c r="CL197" s="23">
        <f>EXP(-LN(2)/25)*CL196+(1-EXP(-LN(2)/25))/(LN(2)/25)*Calculateur!CG197*Calculateur!CI197*VLOOKUP('Données projet'!$B$12,Paramètres!$A$1:$I$89,3,0)*0.475*44/12</f>
        <v>0.70278177922346063</v>
      </c>
      <c r="CM197" s="23">
        <f>EXP(-LN(2)/2)*CM196+(1-EXP(-LN(2)/2))/(LN(2)/2)*CG197*CJ197*VLOOKUP('Données projet'!$B$12,Paramètres!$A$1:$I$89,3,0)*0.475*44/12</f>
        <v>3.7830889943204928E-19</v>
      </c>
      <c r="CN197" s="24">
        <f t="shared" si="172"/>
        <v>8.6843513066067519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-5.6843418860808015E-14</v>
      </c>
      <c r="CU197" s="18">
        <f>CT197*VLOOKUP('Données projet'!$B$13,Paramètres!$A$1:$I$89,3,0)*VLOOKUP('Données projet'!$B$13,Paramètres!$A$1:$I$89,5,0)</f>
        <v>-6.2073013396002344E-14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482.24068797679558</v>
      </c>
      <c r="CZ197" s="62">
        <f t="shared" ref="CZ197:CZ203" si="208">$CZ$3</f>
        <v>316.28941055521693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61.859752637048615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61.859752637048615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-1.7053025658242404E-13</v>
      </c>
      <c r="DP197" s="18">
        <f>DO197*VLOOKUP('Données projet'!$B$14,Paramètres!$A$1:$I$89,3,0)*VLOOKUP('Données projet'!$B$14,Paramètres!$A$1:$I$89,5,0)</f>
        <v>-1.383341441396624E-13</v>
      </c>
      <c r="DQ197" s="14" t="e">
        <f t="shared" si="176"/>
        <v>#NUM!</v>
      </c>
      <c r="DR197" s="22" t="e">
        <f t="shared" si="177"/>
        <v>#NUM!</v>
      </c>
      <c r="DS197" s="62" t="e">
        <f t="shared" si="197"/>
        <v>#NUM!</v>
      </c>
      <c r="DT197" s="62">
        <f ca="1">AVERAGE(OFFSET($DS$3,0,0,'Données projet'!$E$14+1,1))-AVERAGE(OFFSET($H$3,0,0,'Données projet'!$E$14+1,1))</f>
        <v>325.58538970226539</v>
      </c>
      <c r="DU197" s="62">
        <f t="shared" ref="DU197:DU203" si="209">$DU$3</f>
        <v>361.81085660423457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9.9700377906880107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9.9700377906880107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-2.8421709430404007E-13</v>
      </c>
      <c r="EK197" s="18">
        <f>EJ197*VLOOKUP('Données projet'!$B$15,Paramètres!$A$1:$I$89,3,0)*VLOOKUP('Données projet'!$B$15,Paramètres!$A$1:$I$89,5,0)</f>
        <v>-2.7489477361086758E-13</v>
      </c>
      <c r="EL197" s="14" t="e">
        <f t="shared" si="179"/>
        <v>#NUM!</v>
      </c>
      <c r="EM197" s="22" t="e">
        <f t="shared" si="180"/>
        <v>#NUM!</v>
      </c>
      <c r="EN197" s="62" t="e">
        <f t="shared" si="198"/>
        <v>#NUM!</v>
      </c>
      <c r="EO197" s="62">
        <f ca="1">AVERAGE(OFFSET($EN$3,0,0,'Données projet'!$E$15+1,1))-AVERAGE(OFFSET($H$3,0,0,'Données projet'!$E$15+1,1))</f>
        <v>364.22267539944085</v>
      </c>
      <c r="EP197" s="62">
        <f t="shared" ref="EP197:EP203" si="210">$EP$3</f>
        <v>241.947139538615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43.832053297108736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43.832053297108736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-1.7053025658242404E-13</v>
      </c>
      <c r="FF197" s="18">
        <f>FE197*VLOOKUP('Données projet'!$B$16,Paramètres!$A$1:$I$89,3,0)*VLOOKUP('Données projet'!$B$16,Paramètres!$A$1:$I$89,5,0)</f>
        <v>-1.4897523215040567E-13</v>
      </c>
      <c r="FG197" s="14" t="e">
        <f t="shared" si="182"/>
        <v>#NUM!</v>
      </c>
      <c r="FH197" s="22" t="e">
        <f t="shared" si="183"/>
        <v>#NUM!</v>
      </c>
      <c r="FI197" s="62" t="e">
        <f t="shared" si="199"/>
        <v>#NUM!</v>
      </c>
      <c r="FJ197" s="62">
        <f ca="1">AVERAGE(OFFSET($FI$3,0,0,'Données projet'!$E$16+1,1))-AVERAGE(OFFSET($H$3,0,0,'Données projet'!$E$16+1,1))</f>
        <v>286.59837239471312</v>
      </c>
      <c r="FK197" s="62">
        <f t="shared" ref="FK197:FK203" si="211">$FK$3</f>
        <v>319.26091328564689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8.653601317544501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8.653601317544501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-1.7053025658242404E-13</v>
      </c>
      <c r="GA197" s="18">
        <f>FZ197*VLOOKUP('Données projet'!$B$17,Paramètres!$A$1:$I$89,3,0)*VLOOKUP('Données projet'!$B$17,Paramètres!$A$1:$I$89,5,0)</f>
        <v>-1.1439169611549005E-13</v>
      </c>
      <c r="GB197" s="14" t="e">
        <f t="shared" si="185"/>
        <v>#NUM!</v>
      </c>
      <c r="GC197" s="22" t="e">
        <f t="shared" si="186"/>
        <v>#NUM!</v>
      </c>
      <c r="GD197" s="62" t="e">
        <f t="shared" si="200"/>
        <v>#NUM!</v>
      </c>
      <c r="GE197" s="62">
        <f ca="1">AVERAGE(OFFSET($GD$3,0,0,'Données projet'!$E$17+1,1))-AVERAGE(OFFSET($H$3,0,0,'Données projet'!$E$17+1,1))</f>
        <v>277.37570531842186</v>
      </c>
      <c r="GF197" s="62">
        <f t="shared" ref="GF197:GF203" si="212">$GF$3</f>
        <v>310.00874200911312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projet'!$B$17,Paramètres!$A$1:$I$89,3,0)*0.475*44/12</f>
        <v>10.161769286662782</v>
      </c>
      <c r="GM197" s="23">
        <f>EXP(-LN(2)/25)*GM196+(1-EXP(-LN(2)/25))/(LN(2)/25)*Calculateur!GH197*Calculateur!GJ197*VLOOKUP('Données projet'!$B$17,Paramètres!$A$1:$I$89,3,0)*0.475*44/12</f>
        <v>0</v>
      </c>
      <c r="GN197" s="23">
        <f>EXP(-LN(2)/2)*GN196+(1-EXP(-LN(2)/2))/(LN(2)/2)*GH197*GK197*VLOOKUP('Données projet'!$B$17,Paramètres!$A$1:$I$89,3,0)*0.475*44/12</f>
        <v>0</v>
      </c>
      <c r="GO197" s="23">
        <f t="shared" si="187"/>
        <v>10.161769286662782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-5.6843418860808015E-14</v>
      </c>
      <c r="O198" s="14">
        <f>N198*VLOOKUP('Données projet'!$B$9,Paramètres!$A$1:$I$89,3,0)*VLOOKUP('Données projet'!$B$9,Paramètres!$A$1:$I$89,5,0)</f>
        <v>-4.9658410716801891E-14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401.34220206028908</v>
      </c>
      <c r="T198" s="62">
        <f t="shared" si="204"/>
        <v>265.33314259106987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48.517376494847724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48.517376494847724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1.7053025658242404E-13</v>
      </c>
      <c r="AJ198" s="14">
        <f>AI198*VLOOKUP('Données projet'!$B$10,Paramètres!$A$1:$I$89,3,0)*VLOOKUP('Données projet'!$B$10,Paramètres!$A$1:$I$89,5,0)</f>
        <v>7.9808160080574461E-14</v>
      </c>
      <c r="AK198" s="14">
        <f t="shared" si="164"/>
        <v>1.2308384591775343E-12</v>
      </c>
      <c r="AL198" s="22">
        <f t="shared" si="165"/>
        <v>2.282709528541206E-12</v>
      </c>
      <c r="AM198" s="62">
        <f t="shared" si="193"/>
        <v>290.31211911692077</v>
      </c>
      <c r="AN198" s="62">
        <f ca="1">AVERAGE(OFFSET($AM$3,0,0,'Données projet'!$E$10+1,1))-AVERAGE(OFFSET($H$3,0,0,'Données projet'!$E$10+1,1))</f>
        <v>253.48761861464732</v>
      </c>
      <c r="AO198" s="62">
        <f t="shared" si="205"/>
        <v>219.50855998133855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19.29373191162896</v>
      </c>
      <c r="AV198" s="23">
        <f>EXP(-LN(2)/25)*AV197+(1-EXP(-LN(2)/25))/(LN(2)/25)*Calculateur!AQ198*Calculateur!AS198*VLOOKUP('Données projet'!$B$10,Paramètres!$A$1:$I$89,3,0)*0.475*44/12</f>
        <v>2.0821497698226561</v>
      </c>
      <c r="AW198" s="23">
        <f>EXP(-LN(2)/2)*AW197+(1-EXP(-LN(2)/2))/(LN(2)/2)*AQ198*AT198*VLOOKUP('Données projet'!$B$10,Paramètres!$A$1:$I$89,3,0)*0.475*44/12</f>
        <v>1.1978219785276343E-13</v>
      </c>
      <c r="AX198" s="23">
        <f t="shared" si="166"/>
        <v>21.375881681451737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482.85256243111911</v>
      </c>
      <c r="BJ198" s="62">
        <f t="shared" si="206"/>
        <v>517.78430032567064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8.1652756353683671</v>
      </c>
      <c r="BQ198" s="23">
        <f>EXP(-LN(2)/25)*BQ197+(1-EXP(-LN(2)/25))/(LN(2)/25)*Calculateur!BL198*Calculateur!BN198*VLOOKUP('Données projet'!$B$11,Paramètres!$A$1:$I$89,3,0)*0.475*44/12</f>
        <v>0.71328435601346796</v>
      </c>
      <c r="BR198" s="23">
        <f>EXP(-LN(2)/2)*BR197+(1-EXP(-LN(2)/2))/(LN(2)/2)*BL198*BO198*VLOOKUP('Données projet'!$B$11,Paramètres!$A$1:$I$89,3,0)*0.475*44/12</f>
        <v>2.7913543113560547E-19</v>
      </c>
      <c r="BS198" s="24">
        <f t="shared" si="169"/>
        <v>8.8785599913818345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>
        <f>BY198*VLOOKUP('Données projet'!$B$12,Paramètres!$A$1:$I$89,3,0)*VLOOKUP('Données projet'!$B$12,Paramètres!$A$1:$I$89,5,0)</f>
        <v>0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275.76900776033335</v>
      </c>
      <c r="CE198" s="62">
        <f t="shared" si="207"/>
        <v>299.36898480605191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7.8250558172280149</v>
      </c>
      <c r="CL198" s="23">
        <f>EXP(-LN(2)/25)*CL197+(1-EXP(-LN(2)/25))/(LN(2)/25)*Calculateur!CG198*Calculateur!CI198*VLOOKUP('Données projet'!$B$12,Paramètres!$A$1:$I$89,3,0)*0.475*44/12</f>
        <v>0.68356417451290752</v>
      </c>
      <c r="CM198" s="23">
        <f>EXP(-LN(2)/2)*CM197+(1-EXP(-LN(2)/2))/(LN(2)/2)*CG198*CJ198*VLOOKUP('Données projet'!$B$12,Paramètres!$A$1:$I$89,3,0)*0.475*44/12</f>
        <v>2.6750478817162168E-19</v>
      </c>
      <c r="CN198" s="24">
        <f t="shared" si="172"/>
        <v>8.5086199917409218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-5.6843418860808015E-14</v>
      </c>
      <c r="CU198" s="18">
        <f>CT198*VLOOKUP('Données projet'!$B$13,Paramètres!$A$1:$I$89,3,0)*VLOOKUP('Données projet'!$B$13,Paramètres!$A$1:$I$89,5,0)</f>
        <v>-6.2073013396002344E-14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482.24068797679558</v>
      </c>
      <c r="CZ198" s="62">
        <f t="shared" si="208"/>
        <v>316.28941055521693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60.646720618559598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60.646720618559598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-1.7053025658242404E-13</v>
      </c>
      <c r="DP198" s="18">
        <f>DO198*VLOOKUP('Données projet'!$B$14,Paramètres!$A$1:$I$89,3,0)*VLOOKUP('Données projet'!$B$14,Paramètres!$A$1:$I$89,5,0)</f>
        <v>-1.383341441396624E-13</v>
      </c>
      <c r="DQ198" s="14" t="e">
        <f t="shared" si="176"/>
        <v>#NUM!</v>
      </c>
      <c r="DR198" s="22" t="e">
        <f t="shared" si="177"/>
        <v>#NUM!</v>
      </c>
      <c r="DS198" s="62" t="e">
        <f t="shared" si="197"/>
        <v>#NUM!</v>
      </c>
      <c r="DT198" s="62">
        <f ca="1">AVERAGE(OFFSET($DS$3,0,0,'Données projet'!$E$14+1,1))-AVERAGE(OFFSET($H$3,0,0,'Données projet'!$E$14+1,1))</f>
        <v>325.58538970226539</v>
      </c>
      <c r="DU198" s="62">
        <f t="shared" si="209"/>
        <v>361.81085660423457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9.7745314307352107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9.7745314307352107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-2.8421709430404007E-13</v>
      </c>
      <c r="EK198" s="18">
        <f>EJ198*VLOOKUP('Données projet'!$B$15,Paramètres!$A$1:$I$89,3,0)*VLOOKUP('Données projet'!$B$15,Paramètres!$A$1:$I$89,5,0)</f>
        <v>-2.7489477361086758E-13</v>
      </c>
      <c r="EL198" s="14" t="e">
        <f t="shared" si="179"/>
        <v>#NUM!</v>
      </c>
      <c r="EM198" s="22" t="e">
        <f t="shared" si="180"/>
        <v>#NUM!</v>
      </c>
      <c r="EN198" s="62" t="e">
        <f t="shared" si="198"/>
        <v>#NUM!</v>
      </c>
      <c r="EO198" s="62">
        <f ca="1">AVERAGE(OFFSET($EN$3,0,0,'Données projet'!$E$15+1,1))-AVERAGE(OFFSET($H$3,0,0,'Données projet'!$E$15+1,1))</f>
        <v>364.22267539944085</v>
      </c>
      <c r="EP198" s="62">
        <f t="shared" si="210"/>
        <v>241.947139538615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42.972533466865094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42.972533466865094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-1.7053025658242404E-13</v>
      </c>
      <c r="FF198" s="18">
        <f>FE198*VLOOKUP('Données projet'!$B$16,Paramètres!$A$1:$I$89,3,0)*VLOOKUP('Données projet'!$B$16,Paramètres!$A$1:$I$89,5,0)</f>
        <v>-1.4897523215040567E-13</v>
      </c>
      <c r="FG198" s="14" t="e">
        <f t="shared" si="182"/>
        <v>#NUM!</v>
      </c>
      <c r="FH198" s="22" t="e">
        <f t="shared" si="183"/>
        <v>#NUM!</v>
      </c>
      <c r="FI198" s="62" t="e">
        <f t="shared" si="199"/>
        <v>#NUM!</v>
      </c>
      <c r="FJ198" s="62">
        <f ca="1">AVERAGE(OFFSET($FI$3,0,0,'Données projet'!$E$16+1,1))-AVERAGE(OFFSET($H$3,0,0,'Données projet'!$E$16+1,1))</f>
        <v>286.59837239471312</v>
      </c>
      <c r="FK198" s="62">
        <f t="shared" si="211"/>
        <v>319.26091328564689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8.4839094738830809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8.4839094738830809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-1.7053025658242404E-13</v>
      </c>
      <c r="GA198" s="18">
        <f>FZ198*VLOOKUP('Données projet'!$B$17,Paramètres!$A$1:$I$89,3,0)*VLOOKUP('Données projet'!$B$17,Paramètres!$A$1:$I$89,5,0)</f>
        <v>-1.1439169611549005E-13</v>
      </c>
      <c r="GB198" s="14" t="e">
        <f t="shared" si="185"/>
        <v>#NUM!</v>
      </c>
      <c r="GC198" s="22" t="e">
        <f t="shared" si="186"/>
        <v>#NUM!</v>
      </c>
      <c r="GD198" s="62" t="e">
        <f t="shared" si="200"/>
        <v>#NUM!</v>
      </c>
      <c r="GE198" s="62">
        <f ca="1">AVERAGE(OFFSET($GD$3,0,0,'Données projet'!$E$17+1,1))-AVERAGE(OFFSET($H$3,0,0,'Données projet'!$E$17+1,1))</f>
        <v>277.37570531842186</v>
      </c>
      <c r="GF198" s="62">
        <f t="shared" si="212"/>
        <v>310.00874200911312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projet'!$B$17,Paramètres!$A$1:$I$89,3,0)*0.475*44/12</f>
        <v>9.962503189018582</v>
      </c>
      <c r="GM198" s="23">
        <f>EXP(-LN(2)/25)*GM197+(1-EXP(-LN(2)/25))/(LN(2)/25)*Calculateur!GH198*Calculateur!GJ198*VLOOKUP('Données projet'!$B$17,Paramètres!$A$1:$I$89,3,0)*0.475*44/12</f>
        <v>0</v>
      </c>
      <c r="GN198" s="23">
        <f>EXP(-LN(2)/2)*GN197+(1-EXP(-LN(2)/2))/(LN(2)/2)*GH198*GK198*VLOOKUP('Données projet'!$B$17,Paramètres!$A$1:$I$89,3,0)*0.475*44/12</f>
        <v>0</v>
      </c>
      <c r="GO198" s="23">
        <f t="shared" si="187"/>
        <v>9.962503189018582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-5.6843418860808015E-14</v>
      </c>
      <c r="O199" s="14">
        <f>N199*VLOOKUP('Données projet'!$B$9,Paramètres!$A$1:$I$89,3,0)*VLOOKUP('Données projet'!$B$9,Paramètres!$A$1:$I$89,5,0)</f>
        <v>-4.9658410716801891E-14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401.34220206028908</v>
      </c>
      <c r="T199" s="62">
        <f t="shared" si="204"/>
        <v>265.33314259106987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47.565980334461386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47.565980334461386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1.7053025658242404E-13</v>
      </c>
      <c r="AJ199" s="14">
        <f>AI199*VLOOKUP('Données projet'!$B$10,Paramètres!$A$1:$I$89,3,0)*VLOOKUP('Données projet'!$B$10,Paramètres!$A$1:$I$89,5,0)</f>
        <v>7.9808160080574461E-14</v>
      </c>
      <c r="AK199" s="14">
        <f t="shared" si="164"/>
        <v>1.2308384591775343E-12</v>
      </c>
      <c r="AL199" s="22">
        <f t="shared" si="165"/>
        <v>2.282709528541206E-12</v>
      </c>
      <c r="AM199" s="62">
        <f t="shared" si="193"/>
        <v>290.36453042915247</v>
      </c>
      <c r="AN199" s="62">
        <f ca="1">AVERAGE(OFFSET($AM$3,0,0,'Données projet'!$E$10+1,1))-AVERAGE(OFFSET($H$3,0,0,'Données projet'!$E$10+1,1))</f>
        <v>253.48761861464732</v>
      </c>
      <c r="AO199" s="62">
        <f t="shared" si="205"/>
        <v>219.50855998133855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18.915393596856386</v>
      </c>
      <c r="AV199" s="23">
        <f>EXP(-LN(2)/25)*AV198+(1-EXP(-LN(2)/25))/(LN(2)/25)*Calculateur!AQ199*Calculateur!AS199*VLOOKUP('Données projet'!$B$10,Paramètres!$A$1:$I$89,3,0)*0.475*44/12</f>
        <v>2.025213274871358</v>
      </c>
      <c r="AW199" s="23">
        <f>EXP(-LN(2)/2)*AW198+(1-EXP(-LN(2)/2))/(LN(2)/2)*AQ199*AT199*VLOOKUP('Données projet'!$B$10,Paramètres!$A$1:$I$89,3,0)*0.475*44/12</f>
        <v>8.4698804367117736E-14</v>
      </c>
      <c r="AX199" s="23">
        <f t="shared" si="166"/>
        <v>20.94060687172783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482.85256243111911</v>
      </c>
      <c r="BJ199" s="62">
        <f t="shared" si="206"/>
        <v>517.78430032567064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8.0051595604851649</v>
      </c>
      <c r="BQ199" s="23">
        <f>EXP(-LN(2)/25)*BQ198+(1-EXP(-LN(2)/25))/(LN(2)/25)*Calculateur!BL199*Calculateur!BN199*VLOOKUP('Données projet'!$B$11,Paramètres!$A$1:$I$89,3,0)*0.475*44/12</f>
        <v>0.69377955778828559</v>
      </c>
      <c r="BR199" s="23">
        <f>EXP(-LN(2)/2)*BR198+(1-EXP(-LN(2)/2))/(LN(2)/2)*BL199*BO199*VLOOKUP('Données projet'!$B$11,Paramètres!$A$1:$I$89,3,0)*0.475*44/12</f>
        <v>1.9737855622541719E-19</v>
      </c>
      <c r="BS199" s="24">
        <f t="shared" si="169"/>
        <v>8.6989391182734508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>
        <f>BY199*VLOOKUP('Données projet'!$B$12,Paramètres!$A$1:$I$89,3,0)*VLOOKUP('Données projet'!$B$12,Paramètres!$A$1:$I$89,5,0)</f>
        <v>0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275.76900776033335</v>
      </c>
      <c r="CE199" s="62">
        <f t="shared" si="207"/>
        <v>299.36898480605191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7.6716112454649457</v>
      </c>
      <c r="CL199" s="23">
        <f>EXP(-LN(2)/25)*CL198+(1-EXP(-LN(2)/25))/(LN(2)/25)*Calculateur!CG199*Calculateur!CI199*VLOOKUP('Données projet'!$B$12,Paramètres!$A$1:$I$89,3,0)*0.475*44/12</f>
        <v>0.66487207621377442</v>
      </c>
      <c r="CM199" s="23">
        <f>EXP(-LN(2)/2)*CM198+(1-EXP(-LN(2)/2))/(LN(2)/2)*CG199*CJ199*VLOOKUP('Données projet'!$B$12,Paramètres!$A$1:$I$89,3,0)*0.475*44/12</f>
        <v>1.8915444971602464E-19</v>
      </c>
      <c r="CN199" s="24">
        <f t="shared" si="172"/>
        <v>8.3364833216787204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-5.6843418860808015E-14</v>
      </c>
      <c r="CU199" s="18">
        <f>CT199*VLOOKUP('Données projet'!$B$13,Paramètres!$A$1:$I$89,3,0)*VLOOKUP('Données projet'!$B$13,Paramètres!$A$1:$I$89,5,0)</f>
        <v>-6.2073013396002344E-14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482.24068797679558</v>
      </c>
      <c r="CZ199" s="62">
        <f t="shared" si="208"/>
        <v>316.28941055521693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59.457475418076676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59.457475418076676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-1.7053025658242404E-13</v>
      </c>
      <c r="DP199" s="18">
        <f>DO199*VLOOKUP('Données projet'!$B$14,Paramètres!$A$1:$I$89,3,0)*VLOOKUP('Données projet'!$B$14,Paramètres!$A$1:$I$89,5,0)</f>
        <v>-1.383341441396624E-13</v>
      </c>
      <c r="DQ199" s="14" t="e">
        <f t="shared" si="176"/>
        <v>#NUM!</v>
      </c>
      <c r="DR199" s="22" t="e">
        <f t="shared" si="177"/>
        <v>#NUM!</v>
      </c>
      <c r="DS199" s="62" t="e">
        <f t="shared" si="197"/>
        <v>#NUM!</v>
      </c>
      <c r="DT199" s="62">
        <f ca="1">AVERAGE(OFFSET($DS$3,0,0,'Données projet'!$E$14+1,1))-AVERAGE(OFFSET($H$3,0,0,'Données projet'!$E$14+1,1))</f>
        <v>325.58538970226539</v>
      </c>
      <c r="DU199" s="62">
        <f t="shared" si="209"/>
        <v>361.81085660423457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9.5828588312539793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9.5828588312539793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-2.8421709430404007E-13</v>
      </c>
      <c r="EK199" s="18">
        <f>EJ199*VLOOKUP('Données projet'!$B$15,Paramètres!$A$1:$I$89,3,0)*VLOOKUP('Données projet'!$B$15,Paramètres!$A$1:$I$89,5,0)</f>
        <v>-2.7489477361086758E-13</v>
      </c>
      <c r="EL199" s="14" t="e">
        <f t="shared" si="179"/>
        <v>#NUM!</v>
      </c>
      <c r="EM199" s="22" t="e">
        <f t="shared" si="180"/>
        <v>#NUM!</v>
      </c>
      <c r="EN199" s="62" t="e">
        <f t="shared" si="198"/>
        <v>#NUM!</v>
      </c>
      <c r="EO199" s="62">
        <f ca="1">AVERAGE(OFFSET($EN$3,0,0,'Données projet'!$E$15+1,1))-AVERAGE(OFFSET($H$3,0,0,'Données projet'!$E$15+1,1))</f>
        <v>364.22267539944085</v>
      </c>
      <c r="EP199" s="62">
        <f t="shared" si="210"/>
        <v>241.947139538615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42.129868296237198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42.129868296237198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-1.7053025658242404E-13</v>
      </c>
      <c r="FF199" s="18">
        <f>FE199*VLOOKUP('Données projet'!$B$16,Paramètres!$A$1:$I$89,3,0)*VLOOKUP('Données projet'!$B$16,Paramètres!$A$1:$I$89,5,0)</f>
        <v>-1.4897523215040567E-13</v>
      </c>
      <c r="FG199" s="14" t="e">
        <f t="shared" si="182"/>
        <v>#NUM!</v>
      </c>
      <c r="FH199" s="22" t="e">
        <f t="shared" si="183"/>
        <v>#NUM!</v>
      </c>
      <c r="FI199" s="62" t="e">
        <f t="shared" si="199"/>
        <v>#NUM!</v>
      </c>
      <c r="FJ199" s="62">
        <f ca="1">AVERAGE(OFFSET($FI$3,0,0,'Données projet'!$E$16+1,1))-AVERAGE(OFFSET($H$3,0,0,'Données projet'!$E$16+1,1))</f>
        <v>286.59837239471312</v>
      </c>
      <c r="FK199" s="62">
        <f t="shared" si="211"/>
        <v>319.26091328564689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8.3175451837740564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8.3175451837740564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-1.7053025658242404E-13</v>
      </c>
      <c r="GA199" s="18">
        <f>FZ199*VLOOKUP('Données projet'!$B$17,Paramètres!$A$1:$I$89,3,0)*VLOOKUP('Données projet'!$B$17,Paramètres!$A$1:$I$89,5,0)</f>
        <v>-1.1439169611549005E-13</v>
      </c>
      <c r="GB199" s="14" t="e">
        <f t="shared" si="185"/>
        <v>#NUM!</v>
      </c>
      <c r="GC199" s="22" t="e">
        <f t="shared" si="186"/>
        <v>#NUM!</v>
      </c>
      <c r="GD199" s="62" t="e">
        <f t="shared" si="200"/>
        <v>#NUM!</v>
      </c>
      <c r="GE199" s="62">
        <f ca="1">AVERAGE(OFFSET($GD$3,0,0,'Données projet'!$E$17+1,1))-AVERAGE(OFFSET($H$3,0,0,'Données projet'!$E$17+1,1))</f>
        <v>277.37570531842186</v>
      </c>
      <c r="GF199" s="62">
        <f t="shared" si="212"/>
        <v>310.00874200911312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projet'!$B$17,Paramètres!$A$1:$I$89,3,0)*0.475*44/12</f>
        <v>9.7671445780088657</v>
      </c>
      <c r="GM199" s="23">
        <f>EXP(-LN(2)/25)*GM198+(1-EXP(-LN(2)/25))/(LN(2)/25)*Calculateur!GH199*Calculateur!GJ199*VLOOKUP('Données projet'!$B$17,Paramètres!$A$1:$I$89,3,0)*0.475*44/12</f>
        <v>0</v>
      </c>
      <c r="GN199" s="23">
        <f>EXP(-LN(2)/2)*GN198+(1-EXP(-LN(2)/2))/(LN(2)/2)*GH199*GK199*VLOOKUP('Données projet'!$B$17,Paramètres!$A$1:$I$89,3,0)*0.475*44/12</f>
        <v>0</v>
      </c>
      <c r="GO199" s="23">
        <f t="shared" si="187"/>
        <v>9.7671445780088657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-5.6843418860808015E-14</v>
      </c>
      <c r="O200" s="14">
        <f>N200*VLOOKUP('Données projet'!$B$9,Paramètres!$A$1:$I$89,3,0)*VLOOKUP('Données projet'!$B$9,Paramètres!$A$1:$I$89,5,0)</f>
        <v>-4.9658410716801891E-14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401.34220206028908</v>
      </c>
      <c r="T200" s="62">
        <f t="shared" si="204"/>
        <v>265.33314259106987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46.633240472485866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46.633240472485866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1.7053025658242404E-13</v>
      </c>
      <c r="AJ200" s="14">
        <f>AI200*VLOOKUP('Données projet'!$B$10,Paramètres!$A$1:$I$89,3,0)*VLOOKUP('Données projet'!$B$10,Paramètres!$A$1:$I$89,5,0)</f>
        <v>7.9808160080574461E-14</v>
      </c>
      <c r="AK200" s="14">
        <f t="shared" si="164"/>
        <v>1.2308384591775343E-12</v>
      </c>
      <c r="AL200" s="22">
        <f t="shared" si="165"/>
        <v>2.282709528541206E-12</v>
      </c>
      <c r="AM200" s="62">
        <f t="shared" si="193"/>
        <v>290.41603252229106</v>
      </c>
      <c r="AN200" s="62">
        <f ca="1">AVERAGE(OFFSET($AM$3,0,0,'Données projet'!$E$10+1,1))-AVERAGE(OFFSET($H$3,0,0,'Données projet'!$E$10+1,1))</f>
        <v>253.48761861464732</v>
      </c>
      <c r="AO200" s="62">
        <f t="shared" si="205"/>
        <v>219.50855998133855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18.544474265672918</v>
      </c>
      <c r="AV200" s="23">
        <f>EXP(-LN(2)/25)*AV199+(1-EXP(-LN(2)/25))/(LN(2)/25)*Calculateur!AQ200*Calculateur!AS200*VLOOKUP('Données projet'!$B$10,Paramètres!$A$1:$I$89,3,0)*0.475*44/12</f>
        <v>1.9698337113686633</v>
      </c>
      <c r="AW200" s="23">
        <f>EXP(-LN(2)/2)*AW199+(1-EXP(-LN(2)/2))/(LN(2)/2)*AQ200*AT200*VLOOKUP('Données projet'!$B$10,Paramètres!$A$1:$I$89,3,0)*0.475*44/12</f>
        <v>5.9891098926381716E-14</v>
      </c>
      <c r="AX200" s="23">
        <f t="shared" si="166"/>
        <v>20.514307977041643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482.85256243111911</v>
      </c>
      <c r="BJ200" s="62">
        <f t="shared" si="206"/>
        <v>517.78430032567064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7.8481832641692595</v>
      </c>
      <c r="BQ200" s="23">
        <f>EXP(-LN(2)/25)*BQ199+(1-EXP(-LN(2)/25))/(LN(2)/25)*Calculateur!BL200*Calculateur!BN200*VLOOKUP('Données projet'!$B$11,Paramètres!$A$1:$I$89,3,0)*0.475*44/12</f>
        <v>0.67480811929628359</v>
      </c>
      <c r="BR200" s="23">
        <f>EXP(-LN(2)/2)*BR199+(1-EXP(-LN(2)/2))/(LN(2)/2)*BL200*BO200*VLOOKUP('Données projet'!$B$11,Paramètres!$A$1:$I$89,3,0)*0.475*44/12</f>
        <v>1.3956771556780274E-19</v>
      </c>
      <c r="BS200" s="24">
        <f t="shared" si="169"/>
        <v>8.5229913834655431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>
        <f>BY200*VLOOKUP('Données projet'!$B$12,Paramètres!$A$1:$I$89,3,0)*VLOOKUP('Données projet'!$B$12,Paramètres!$A$1:$I$89,5,0)</f>
        <v>0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275.76900776033335</v>
      </c>
      <c r="CE200" s="62">
        <f t="shared" si="207"/>
        <v>299.36898480605191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7.5211756281622035</v>
      </c>
      <c r="CL200" s="23">
        <f>EXP(-LN(2)/25)*CL199+(1-EXP(-LN(2)/25))/(LN(2)/25)*Calculateur!CG200*Calculateur!CI200*VLOOKUP('Données projet'!$B$12,Paramètres!$A$1:$I$89,3,0)*0.475*44/12</f>
        <v>0.64669111432560589</v>
      </c>
      <c r="CM200" s="23">
        <f>EXP(-LN(2)/2)*CM199+(1-EXP(-LN(2)/2))/(LN(2)/2)*CG200*CJ200*VLOOKUP('Données projet'!$B$12,Paramètres!$A$1:$I$89,3,0)*0.475*44/12</f>
        <v>1.3375239408581084E-19</v>
      </c>
      <c r="CN200" s="24">
        <f t="shared" si="172"/>
        <v>8.16786674248781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-5.6843418860808015E-14</v>
      </c>
      <c r="CU200" s="18">
        <f>CT200*VLOOKUP('Données projet'!$B$13,Paramètres!$A$1:$I$89,3,0)*VLOOKUP('Données projet'!$B$13,Paramètres!$A$1:$I$89,5,0)</f>
        <v>-6.2073013396002344E-14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482.24068797679558</v>
      </c>
      <c r="CZ200" s="62">
        <f t="shared" si="208"/>
        <v>316.28941055521693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58.29155059060728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58.29155059060728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-1.7053025658242404E-13</v>
      </c>
      <c r="DP200" s="18">
        <f>DO200*VLOOKUP('Données projet'!$B$14,Paramètres!$A$1:$I$89,3,0)*VLOOKUP('Données projet'!$B$14,Paramètres!$A$1:$I$89,5,0)</f>
        <v>-1.383341441396624E-13</v>
      </c>
      <c r="DQ200" s="14" t="e">
        <f t="shared" si="176"/>
        <v>#NUM!</v>
      </c>
      <c r="DR200" s="22" t="e">
        <f t="shared" si="177"/>
        <v>#NUM!</v>
      </c>
      <c r="DS200" s="62" t="e">
        <f t="shared" si="197"/>
        <v>#NUM!</v>
      </c>
      <c r="DT200" s="62">
        <f ca="1">AVERAGE(OFFSET($DS$3,0,0,'Données projet'!$E$14+1,1))-AVERAGE(OFFSET($H$3,0,0,'Données projet'!$E$14+1,1))</f>
        <v>325.58538970226539</v>
      </c>
      <c r="DU200" s="62">
        <f t="shared" si="209"/>
        <v>361.81085660423457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9.3949448145398335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9.3949448145398335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-2.8421709430404007E-13</v>
      </c>
      <c r="EK200" s="18">
        <f>EJ200*VLOOKUP('Données projet'!$B$15,Paramètres!$A$1:$I$89,3,0)*VLOOKUP('Données projet'!$B$15,Paramètres!$A$1:$I$89,5,0)</f>
        <v>-2.7489477361086758E-13</v>
      </c>
      <c r="EL200" s="14" t="e">
        <f t="shared" si="179"/>
        <v>#NUM!</v>
      </c>
      <c r="EM200" s="22" t="e">
        <f t="shared" si="180"/>
        <v>#NUM!</v>
      </c>
      <c r="EN200" s="62" t="e">
        <f t="shared" si="198"/>
        <v>#NUM!</v>
      </c>
      <c r="EO200" s="62">
        <f ca="1">AVERAGE(OFFSET($EN$3,0,0,'Données projet'!$E$15+1,1))-AVERAGE(OFFSET($H$3,0,0,'Données projet'!$E$15+1,1))</f>
        <v>364.22267539944085</v>
      </c>
      <c r="EP200" s="62">
        <f t="shared" si="210"/>
        <v>241.947139538615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41.303727275630308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41.303727275630308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-1.7053025658242404E-13</v>
      </c>
      <c r="FF200" s="18">
        <f>FE200*VLOOKUP('Données projet'!$B$16,Paramètres!$A$1:$I$89,3,0)*VLOOKUP('Données projet'!$B$16,Paramètres!$A$1:$I$89,5,0)</f>
        <v>-1.4897523215040567E-13</v>
      </c>
      <c r="FG200" s="14" t="e">
        <f t="shared" si="182"/>
        <v>#NUM!</v>
      </c>
      <c r="FH200" s="22" t="e">
        <f t="shared" si="183"/>
        <v>#NUM!</v>
      </c>
      <c r="FI200" s="62" t="e">
        <f t="shared" si="199"/>
        <v>#NUM!</v>
      </c>
      <c r="FJ200" s="62">
        <f ca="1">AVERAGE(OFFSET($FI$3,0,0,'Données projet'!$E$16+1,1))-AVERAGE(OFFSET($H$3,0,0,'Données projet'!$E$16+1,1))</f>
        <v>286.59837239471312</v>
      </c>
      <c r="FK200" s="62">
        <f t="shared" si="211"/>
        <v>319.26091328564689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8.1544431959218731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8.1544431959218731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-1.7053025658242404E-13</v>
      </c>
      <c r="GA200" s="18">
        <f>FZ200*VLOOKUP('Données projet'!$B$17,Paramètres!$A$1:$I$89,3,0)*VLOOKUP('Données projet'!$B$17,Paramètres!$A$1:$I$89,5,0)</f>
        <v>-1.1439169611549005E-13</v>
      </c>
      <c r="GB200" s="14" t="e">
        <f t="shared" si="185"/>
        <v>#NUM!</v>
      </c>
      <c r="GC200" s="22" t="e">
        <f t="shared" si="186"/>
        <v>#NUM!</v>
      </c>
      <c r="GD200" s="62" t="e">
        <f t="shared" si="200"/>
        <v>#NUM!</v>
      </c>
      <c r="GE200" s="62">
        <f ca="1">AVERAGE(OFFSET($GD$3,0,0,'Données projet'!$E$17+1,1))-AVERAGE(OFFSET($H$3,0,0,'Données projet'!$E$17+1,1))</f>
        <v>277.37570531842186</v>
      </c>
      <c r="GF200" s="62">
        <f t="shared" si="212"/>
        <v>310.00874200911312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projet'!$B$17,Paramètres!$A$1:$I$89,3,0)*0.475*44/12</f>
        <v>9.5756168302040638</v>
      </c>
      <c r="GM200" s="23">
        <f>EXP(-LN(2)/25)*GM199+(1-EXP(-LN(2)/25))/(LN(2)/25)*Calculateur!GH200*Calculateur!GJ200*VLOOKUP('Données projet'!$B$17,Paramètres!$A$1:$I$89,3,0)*0.475*44/12</f>
        <v>0</v>
      </c>
      <c r="GN200" s="23">
        <f>EXP(-LN(2)/2)*GN199+(1-EXP(-LN(2)/2))/(LN(2)/2)*GH200*GK200*VLOOKUP('Données projet'!$B$17,Paramètres!$A$1:$I$89,3,0)*0.475*44/12</f>
        <v>0</v>
      </c>
      <c r="GO200" s="23">
        <f t="shared" si="187"/>
        <v>9.5756168302040638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-5.6843418860808015E-14</v>
      </c>
      <c r="O201" s="14">
        <f>N201*VLOOKUP('Données projet'!$B$9,Paramètres!$A$1:$I$89,3,0)*VLOOKUP('Données projet'!$B$9,Paramètres!$A$1:$I$89,5,0)</f>
        <v>-4.9658410716801891E-14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401.34220206028908</v>
      </c>
      <c r="T201" s="62">
        <f t="shared" si="204"/>
        <v>265.33314259106987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45.718791070288546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45.718791070288546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1.7053025658242404E-13</v>
      </c>
      <c r="AJ201" s="14">
        <f>AI201*VLOOKUP('Données projet'!$B$10,Paramètres!$A$1:$I$89,3,0)*VLOOKUP('Données projet'!$B$10,Paramètres!$A$1:$I$89,5,0)</f>
        <v>7.9808160080574461E-14</v>
      </c>
      <c r="AK201" s="14">
        <f t="shared" si="164"/>
        <v>1.2308384591775343E-12</v>
      </c>
      <c r="AL201" s="22">
        <f t="shared" si="165"/>
        <v>2.282709528541206E-12</v>
      </c>
      <c r="AM201" s="62">
        <f t="shared" si="193"/>
        <v>290.46664116925518</v>
      </c>
      <c r="AN201" s="62">
        <f ca="1">AVERAGE(OFFSET($AM$3,0,0,'Données projet'!$E$10+1,1))-AVERAGE(OFFSET($H$3,0,0,'Données projet'!$E$10+1,1))</f>
        <v>253.48761861464732</v>
      </c>
      <c r="AO201" s="62">
        <f t="shared" si="205"/>
        <v>219.50855998133855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18.180828436335503</v>
      </c>
      <c r="AV201" s="23">
        <f>EXP(-LN(2)/25)*AV200+(1-EXP(-LN(2)/25))/(LN(2)/25)*Calculateur!AQ201*Calculateur!AS201*VLOOKUP('Données projet'!$B$10,Paramètres!$A$1:$I$89,3,0)*0.475*44/12</f>
        <v>1.9159685049422344</v>
      </c>
      <c r="AW201" s="23">
        <f>EXP(-LN(2)/2)*AW200+(1-EXP(-LN(2)/2))/(LN(2)/2)*AQ201*AT201*VLOOKUP('Données projet'!$B$10,Paramètres!$A$1:$I$89,3,0)*0.475*44/12</f>
        <v>4.2349402183558868E-14</v>
      </c>
      <c r="AX201" s="23">
        <f t="shared" si="166"/>
        <v>20.09679694127778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482.85256243111911</v>
      </c>
      <c r="BJ201" s="62">
        <f t="shared" si="206"/>
        <v>517.78430032567064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7.6942851772780223</v>
      </c>
      <c r="BQ201" s="23">
        <f>EXP(-LN(2)/25)*BQ200+(1-EXP(-LN(2)/25))/(LN(2)/25)*Calculateur!BL201*Calculateur!BN201*VLOOKUP('Données projet'!$B$11,Paramètres!$A$1:$I$89,3,0)*0.475*44/12</f>
        <v>0.65635545578750998</v>
      </c>
      <c r="BR201" s="23">
        <f>EXP(-LN(2)/2)*BR200+(1-EXP(-LN(2)/2))/(LN(2)/2)*BL201*BO201*VLOOKUP('Données projet'!$B$11,Paramètres!$A$1:$I$89,3,0)*0.475*44/12</f>
        <v>9.8689278112708593E-20</v>
      </c>
      <c r="BS201" s="24">
        <f t="shared" si="169"/>
        <v>8.3506406330655327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>
        <f>BY201*VLOOKUP('Données projet'!$B$12,Paramètres!$A$1:$I$89,3,0)*VLOOKUP('Données projet'!$B$12,Paramètres!$A$1:$I$89,5,0)</f>
        <v>0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275.76900776033335</v>
      </c>
      <c r="CE201" s="62">
        <f t="shared" si="207"/>
        <v>299.36898480605191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7.3736899615581013</v>
      </c>
      <c r="CL201" s="23">
        <f>EXP(-LN(2)/25)*CL200+(1-EXP(-LN(2)/25))/(LN(2)/25)*Calculateur!CG201*Calculateur!CI201*VLOOKUP('Données projet'!$B$12,Paramètres!$A$1:$I$89,3,0)*0.475*44/12</f>
        <v>0.62900731179636449</v>
      </c>
      <c r="CM201" s="23">
        <f>EXP(-LN(2)/2)*CM200+(1-EXP(-LN(2)/2))/(LN(2)/2)*CG201*CJ201*VLOOKUP('Données projet'!$B$12,Paramètres!$A$1:$I$89,3,0)*0.475*44/12</f>
        <v>9.4577224858012319E-20</v>
      </c>
      <c r="CN201" s="24">
        <f t="shared" si="172"/>
        <v>8.0026972733544657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-5.6843418860808015E-14</v>
      </c>
      <c r="CU201" s="18">
        <f>CT201*VLOOKUP('Données projet'!$B$13,Paramètres!$A$1:$I$89,3,0)*VLOOKUP('Données projet'!$B$13,Paramètres!$A$1:$I$89,5,0)</f>
        <v>-6.2073013396002344E-14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482.24068797679558</v>
      </c>
      <c r="CZ201" s="62">
        <f t="shared" si="208"/>
        <v>316.28941055521693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57.148488837860633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57.148488837860633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-1.7053025658242404E-13</v>
      </c>
      <c r="DP201" s="18">
        <f>DO201*VLOOKUP('Données projet'!$B$14,Paramètres!$A$1:$I$89,3,0)*VLOOKUP('Données projet'!$B$14,Paramètres!$A$1:$I$89,5,0)</f>
        <v>-1.383341441396624E-13</v>
      </c>
      <c r="DQ201" s="14" t="e">
        <f t="shared" si="176"/>
        <v>#NUM!</v>
      </c>
      <c r="DR201" s="22" t="e">
        <f t="shared" si="177"/>
        <v>#NUM!</v>
      </c>
      <c r="DS201" s="62" t="e">
        <f t="shared" si="197"/>
        <v>#NUM!</v>
      </c>
      <c r="DT201" s="62">
        <f ca="1">AVERAGE(OFFSET($DS$3,0,0,'Données projet'!$E$14+1,1))-AVERAGE(OFFSET($H$3,0,0,'Données projet'!$E$14+1,1))</f>
        <v>325.58538970226539</v>
      </c>
      <c r="DU201" s="62">
        <f t="shared" si="209"/>
        <v>361.81085660423457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9.2107156770772196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9.2107156770772196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-2.8421709430404007E-13</v>
      </c>
      <c r="EK201" s="18">
        <f>EJ201*VLOOKUP('Données projet'!$B$15,Paramètres!$A$1:$I$89,3,0)*VLOOKUP('Données projet'!$B$15,Paramètres!$A$1:$I$89,5,0)</f>
        <v>-2.7489477361086758E-13</v>
      </c>
      <c r="EL201" s="14" t="e">
        <f t="shared" si="179"/>
        <v>#NUM!</v>
      </c>
      <c r="EM201" s="22" t="e">
        <f t="shared" si="180"/>
        <v>#NUM!</v>
      </c>
      <c r="EN201" s="62" t="e">
        <f t="shared" si="198"/>
        <v>#NUM!</v>
      </c>
      <c r="EO201" s="62">
        <f ca="1">AVERAGE(OFFSET($EN$3,0,0,'Données projet'!$E$15+1,1))-AVERAGE(OFFSET($H$3,0,0,'Données projet'!$E$15+1,1))</f>
        <v>364.22267539944085</v>
      </c>
      <c r="EP201" s="62">
        <f t="shared" si="210"/>
        <v>241.947139538615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40.493786376541252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40.493786376541252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-1.7053025658242404E-13</v>
      </c>
      <c r="FF201" s="18">
        <f>FE201*VLOOKUP('Données projet'!$B$16,Paramètres!$A$1:$I$89,3,0)*VLOOKUP('Données projet'!$B$16,Paramètres!$A$1:$I$89,5,0)</f>
        <v>-1.4897523215040567E-13</v>
      </c>
      <c r="FG201" s="14" t="e">
        <f t="shared" si="182"/>
        <v>#NUM!</v>
      </c>
      <c r="FH201" s="22" t="e">
        <f t="shared" si="183"/>
        <v>#NUM!</v>
      </c>
      <c r="FI201" s="62" t="e">
        <f t="shared" si="199"/>
        <v>#NUM!</v>
      </c>
      <c r="FJ201" s="62">
        <f ca="1">AVERAGE(OFFSET($FI$3,0,0,'Données projet'!$E$16+1,1))-AVERAGE(OFFSET($H$3,0,0,'Données projet'!$E$16+1,1))</f>
        <v>286.59837239471312</v>
      </c>
      <c r="FK201" s="62">
        <f t="shared" si="211"/>
        <v>319.26091328564689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7.9945395385690805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7.9945395385690805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-1.7053025658242404E-13</v>
      </c>
      <c r="GA201" s="18">
        <f>FZ201*VLOOKUP('Données projet'!$B$17,Paramètres!$A$1:$I$89,3,0)*VLOOKUP('Données projet'!$B$17,Paramètres!$A$1:$I$89,5,0)</f>
        <v>-1.1439169611549005E-13</v>
      </c>
      <c r="GB201" s="14" t="e">
        <f t="shared" si="185"/>
        <v>#NUM!</v>
      </c>
      <c r="GC201" s="22" t="e">
        <f t="shared" si="186"/>
        <v>#NUM!</v>
      </c>
      <c r="GD201" s="62" t="e">
        <f t="shared" si="200"/>
        <v>#NUM!</v>
      </c>
      <c r="GE201" s="62">
        <f ca="1">AVERAGE(OFFSET($GD$3,0,0,'Données projet'!$E$17+1,1))-AVERAGE(OFFSET($H$3,0,0,'Données projet'!$E$17+1,1))</f>
        <v>277.37570531842186</v>
      </c>
      <c r="GF201" s="62">
        <f t="shared" si="212"/>
        <v>310.00874200911312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projet'!$B$17,Paramètres!$A$1:$I$89,3,0)*0.475*44/12</f>
        <v>9.3878448247133228</v>
      </c>
      <c r="GM201" s="23">
        <f>EXP(-LN(2)/25)*GM200+(1-EXP(-LN(2)/25))/(LN(2)/25)*Calculateur!GH201*Calculateur!GJ201*VLOOKUP('Données projet'!$B$17,Paramètres!$A$1:$I$89,3,0)*0.475*44/12</f>
        <v>0</v>
      </c>
      <c r="GN201" s="23">
        <f>EXP(-LN(2)/2)*GN200+(1-EXP(-LN(2)/2))/(LN(2)/2)*GH201*GK201*VLOOKUP('Données projet'!$B$17,Paramètres!$A$1:$I$89,3,0)*0.475*44/12</f>
        <v>0</v>
      </c>
      <c r="GO201" s="23">
        <f t="shared" si="187"/>
        <v>9.3878448247133228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-5.6843418860808015E-14</v>
      </c>
      <c r="O202" s="14">
        <f>N202*VLOOKUP('Données projet'!$B$9,Paramètres!$A$1:$I$89,3,0)*VLOOKUP('Données projet'!$B$9,Paramètres!$A$1:$I$89,5,0)</f>
        <v>-4.9658410716801891E-14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401.34220206028908</v>
      </c>
      <c r="T202" s="62">
        <f t="shared" si="204"/>
        <v>265.33314259106987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44.822273463109255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44.822273463109255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1.7053025658242404E-13</v>
      </c>
      <c r="AJ202" s="14">
        <f>AI202*VLOOKUP('Données projet'!$B$10,Paramètres!$A$1:$I$89,3,0)*VLOOKUP('Données projet'!$B$10,Paramètres!$A$1:$I$89,5,0)</f>
        <v>7.9808160080574461E-14</v>
      </c>
      <c r="AK202" s="14">
        <f t="shared" si="164"/>
        <v>1.2308384591775343E-12</v>
      </c>
      <c r="AL202" s="22">
        <f t="shared" si="165"/>
        <v>2.282709528541206E-12</v>
      </c>
      <c r="AM202" s="62">
        <f t="shared" si="193"/>
        <v>290.5163718693384</v>
      </c>
      <c r="AN202" s="62">
        <f ca="1">AVERAGE(OFFSET($AM$3,0,0,'Données projet'!$E$10+1,1))-AVERAGE(OFFSET($H$3,0,0,'Données projet'!$E$10+1,1))</f>
        <v>253.48761861464732</v>
      </c>
      <c r="AO202" s="62">
        <f t="shared" si="205"/>
        <v>219.50855998133855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17.824313479909343</v>
      </c>
      <c r="AV202" s="23">
        <f>EXP(-LN(2)/25)*AV201+(1-EXP(-LN(2)/25))/(LN(2)/25)*Calculateur!AQ202*Calculateur!AS202*VLOOKUP('Données projet'!$B$10,Paramètres!$A$1:$I$89,3,0)*0.475*44/12</f>
        <v>1.8635762454181843</v>
      </c>
      <c r="AW202" s="23">
        <f>EXP(-LN(2)/2)*AW201+(1-EXP(-LN(2)/2))/(LN(2)/2)*AQ202*AT202*VLOOKUP('Données projet'!$B$10,Paramètres!$A$1:$I$89,3,0)*0.475*44/12</f>
        <v>2.9945549463190858E-14</v>
      </c>
      <c r="AX202" s="23">
        <f t="shared" si="166"/>
        <v>19.687889725327555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482.85256243111911</v>
      </c>
      <c r="BJ202" s="62">
        <f t="shared" si="206"/>
        <v>517.78430032567064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7.5434049380021584</v>
      </c>
      <c r="BQ202" s="23">
        <f>EXP(-LN(2)/25)*BQ201+(1-EXP(-LN(2)/25))/(LN(2)/25)*Calculateur!BL202*Calculateur!BN202*VLOOKUP('Données projet'!$B$11,Paramètres!$A$1:$I$89,3,0)*0.475*44/12</f>
        <v>0.6384073813327672</v>
      </c>
      <c r="BR202" s="23">
        <f>EXP(-LN(2)/2)*BR201+(1-EXP(-LN(2)/2))/(LN(2)/2)*BL202*BO202*VLOOKUP('Données projet'!$B$11,Paramètres!$A$1:$I$89,3,0)*0.475*44/12</f>
        <v>6.9783857783901368E-20</v>
      </c>
      <c r="BS202" s="24">
        <f t="shared" si="169"/>
        <v>8.1818123193349255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>
        <f>BY202*VLOOKUP('Données projet'!$B$12,Paramètres!$A$1:$I$89,3,0)*VLOOKUP('Données projet'!$B$12,Paramètres!$A$1:$I$89,5,0)</f>
        <v>0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275.76900776033335</v>
      </c>
      <c r="CE202" s="62">
        <f t="shared" si="207"/>
        <v>299.36898480605191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7.229096398918732</v>
      </c>
      <c r="CL202" s="23">
        <f>EXP(-LN(2)/25)*CL201+(1-EXP(-LN(2)/25))/(LN(2)/25)*Calculateur!CG202*Calculateur!CI202*VLOOKUP('Données projet'!$B$12,Paramètres!$A$1:$I$89,3,0)*0.475*44/12</f>
        <v>0.61180707377723598</v>
      </c>
      <c r="CM202" s="23">
        <f>EXP(-LN(2)/2)*CM201+(1-EXP(-LN(2)/2))/(LN(2)/2)*CG202*CJ202*VLOOKUP('Données projet'!$B$12,Paramètres!$A$1:$I$89,3,0)*0.475*44/12</f>
        <v>6.6876197042905419E-20</v>
      </c>
      <c r="CN202" s="24">
        <f t="shared" si="172"/>
        <v>7.8409034726959677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-5.6843418860808015E-14</v>
      </c>
      <c r="CU202" s="18">
        <f>CT202*VLOOKUP('Données projet'!$B$13,Paramètres!$A$1:$I$89,3,0)*VLOOKUP('Données projet'!$B$13,Paramètres!$A$1:$I$89,5,0)</f>
        <v>-6.2073013396002344E-14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482.24068797679558</v>
      </c>
      <c r="CZ202" s="62">
        <f t="shared" si="208"/>
        <v>316.28941055521693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56.027841828886523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56.027841828886523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-1.7053025658242404E-13</v>
      </c>
      <c r="DP202" s="18">
        <f>DO202*VLOOKUP('Données projet'!$B$14,Paramètres!$A$1:$I$89,3,0)*VLOOKUP('Données projet'!$B$14,Paramètres!$A$1:$I$89,5,0)</f>
        <v>-1.383341441396624E-13</v>
      </c>
      <c r="DQ202" s="14" t="e">
        <f t="shared" si="176"/>
        <v>#NUM!</v>
      </c>
      <c r="DR202" s="22" t="e">
        <f t="shared" si="177"/>
        <v>#NUM!</v>
      </c>
      <c r="DS202" s="62" t="e">
        <f t="shared" si="197"/>
        <v>#NUM!</v>
      </c>
      <c r="DT202" s="62">
        <f ca="1">AVERAGE(OFFSET($DS$3,0,0,'Données projet'!$E$14+1,1))-AVERAGE(OFFSET($H$3,0,0,'Données projet'!$E$14+1,1))</f>
        <v>325.58538970226539</v>
      </c>
      <c r="DU202" s="62">
        <f t="shared" si="209"/>
        <v>361.81085660423457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9.0300991606315684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9.0300991606315684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-2.8421709430404007E-13</v>
      </c>
      <c r="EK202" s="18">
        <f>EJ202*VLOOKUP('Données projet'!$B$15,Paramètres!$A$1:$I$89,3,0)*VLOOKUP('Données projet'!$B$15,Paramètres!$A$1:$I$89,5,0)</f>
        <v>-2.7489477361086758E-13</v>
      </c>
      <c r="EL202" s="14" t="e">
        <f t="shared" si="179"/>
        <v>#NUM!</v>
      </c>
      <c r="EM202" s="22" t="e">
        <f t="shared" si="180"/>
        <v>#NUM!</v>
      </c>
      <c r="EN202" s="62" t="e">
        <f t="shared" si="198"/>
        <v>#NUM!</v>
      </c>
      <c r="EO202" s="62">
        <f ca="1">AVERAGE(OFFSET($EN$3,0,0,'Données projet'!$E$15+1,1))-AVERAGE(OFFSET($H$3,0,0,'Données projet'!$E$15+1,1))</f>
        <v>364.22267539944085</v>
      </c>
      <c r="EP202" s="62">
        <f t="shared" si="210"/>
        <v>241.947139538615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39.699727924468164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39.699727924468164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-1.7053025658242404E-13</v>
      </c>
      <c r="FF202" s="18">
        <f>FE202*VLOOKUP('Données projet'!$B$16,Paramètres!$A$1:$I$89,3,0)*VLOOKUP('Données projet'!$B$16,Paramètres!$A$1:$I$89,5,0)</f>
        <v>-1.4897523215040567E-13</v>
      </c>
      <c r="FG202" s="14" t="e">
        <f t="shared" si="182"/>
        <v>#NUM!</v>
      </c>
      <c r="FH202" s="22" t="e">
        <f t="shared" si="183"/>
        <v>#NUM!</v>
      </c>
      <c r="FI202" s="62" t="e">
        <f t="shared" si="199"/>
        <v>#NUM!</v>
      </c>
      <c r="FJ202" s="62">
        <f ca="1">AVERAGE(OFFSET($FI$3,0,0,'Données projet'!$E$16+1,1))-AVERAGE(OFFSET($H$3,0,0,'Données projet'!$E$16+1,1))</f>
        <v>286.59837239471312</v>
      </c>
      <c r="FK202" s="62">
        <f t="shared" si="211"/>
        <v>319.26091328564689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7.8377714944053762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7.8377714944053762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-1.7053025658242404E-13</v>
      </c>
      <c r="GA202" s="18">
        <f>FZ202*VLOOKUP('Données projet'!$B$17,Paramètres!$A$1:$I$89,3,0)*VLOOKUP('Données projet'!$B$17,Paramètres!$A$1:$I$89,5,0)</f>
        <v>-1.1439169611549005E-13</v>
      </c>
      <c r="GB202" s="14" t="e">
        <f t="shared" si="185"/>
        <v>#NUM!</v>
      </c>
      <c r="GC202" s="22" t="e">
        <f t="shared" si="186"/>
        <v>#NUM!</v>
      </c>
      <c r="GD202" s="62" t="e">
        <f t="shared" si="200"/>
        <v>#NUM!</v>
      </c>
      <c r="GE202" s="62">
        <f ca="1">AVERAGE(OFFSET($GD$3,0,0,'Données projet'!$E$17+1,1))-AVERAGE(OFFSET($H$3,0,0,'Données projet'!$E$17+1,1))</f>
        <v>277.37570531842186</v>
      </c>
      <c r="GF202" s="62">
        <f t="shared" si="212"/>
        <v>310.00874200911312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projet'!$B$17,Paramètres!$A$1:$I$89,3,0)*0.475*44/12</f>
        <v>9.2037549137206405</v>
      </c>
      <c r="GM202" s="23">
        <f>EXP(-LN(2)/25)*GM201+(1-EXP(-LN(2)/25))/(LN(2)/25)*Calculateur!GH202*Calculateur!GJ202*VLOOKUP('Données projet'!$B$17,Paramètres!$A$1:$I$89,3,0)*0.475*44/12</f>
        <v>0</v>
      </c>
      <c r="GN202" s="23">
        <f>EXP(-LN(2)/2)*GN201+(1-EXP(-LN(2)/2))/(LN(2)/2)*GH202*GK202*VLOOKUP('Données projet'!$B$17,Paramètres!$A$1:$I$89,3,0)*0.475*44/12</f>
        <v>0</v>
      </c>
      <c r="GO202" s="23">
        <f t="shared" si="187"/>
        <v>9.2037549137206405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4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-5.6843418860808015E-14</v>
      </c>
      <c r="O203" s="14">
        <f>N203*VLOOKUP('Données projet'!$B$9,Paramètres!$A$1:$I$89,3,0)*VLOOKUP('Données projet'!$B$9,Paramètres!$A$1:$I$89,5,0)</f>
        <v>-4.9658410716801891E-14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401.34220206028908</v>
      </c>
      <c r="T203" s="62">
        <f t="shared" si="204"/>
        <v>265.33314259106987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43.943336019385001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43.943336019385001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1.7053025658242404E-13</v>
      </c>
      <c r="AJ203" s="14">
        <f>AI203*VLOOKUP('Données projet'!$B$10,Paramètres!$A$1:$I$89,3,0)*VLOOKUP('Données projet'!$B$10,Paramètres!$A$1:$I$89,5,0)</f>
        <v>7.9808160080574461E-14</v>
      </c>
      <c r="AK203" s="14">
        <f t="shared" si="164"/>
        <v>1.2308384591775343E-12</v>
      </c>
      <c r="AL203" s="22">
        <f t="shared" si="165"/>
        <v>2.282709528541206E-12</v>
      </c>
      <c r="AM203" s="62">
        <f t="shared" si="193"/>
        <v>290.56523985295638</v>
      </c>
      <c r="AN203" s="62">
        <f ca="1">AVERAGE(OFFSET($AM$3,0,0,'Données projet'!$E$10+1,1))-AVERAGE(OFFSET($H$3,0,0,'Données projet'!$E$10+1,1))</f>
        <v>253.48761861464732</v>
      </c>
      <c r="AO203" s="62">
        <f t="shared" si="205"/>
        <v>219.50855998133855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17.474789564326045</v>
      </c>
      <c r="AV203" s="23">
        <f>EXP(-LN(2)/25)*AV202+(1-EXP(-LN(2)/25))/(LN(2)/25)*Calculateur!AQ203*Calculateur!AS203*VLOOKUP('Données projet'!$B$10,Paramètres!$A$1:$I$89,3,0)*0.475*44/12</f>
        <v>1.8126166549860085</v>
      </c>
      <c r="AW203" s="23">
        <f>EXP(-LN(2)/2)*AW202+(1-EXP(-LN(2)/2))/(LN(2)/2)*AQ203*AT203*VLOOKUP('Données projet'!$B$10,Paramètres!$A$1:$I$89,3,0)*0.475*44/12</f>
        <v>2.1174701091779434E-14</v>
      </c>
      <c r="AX203" s="23">
        <f t="shared" si="166"/>
        <v>19.287406219312075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482.85256243111911</v>
      </c>
      <c r="BJ203" s="62">
        <f t="shared" si="206"/>
        <v>517.78430032567064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7.3954833681906349</v>
      </c>
      <c r="BQ203" s="23">
        <f>EXP(-LN(2)/25)*BQ202+(1-EXP(-LN(2)/25))/(LN(2)/25)*Calculateur!BL203*Calculateur!BN203*VLOOKUP('Données projet'!$B$11,Paramètres!$A$1:$I$89,3,0)*0.475*44/12</f>
        <v>0.62095009791783762</v>
      </c>
      <c r="BR203" s="23">
        <f>EXP(-LN(2)/2)*BR202+(1-EXP(-LN(2)/2))/(LN(2)/2)*BL203*BO203*VLOOKUP('Données projet'!$B$11,Paramètres!$A$1:$I$89,3,0)*0.475*44/12</f>
        <v>4.9344639056354297E-20</v>
      </c>
      <c r="BS203" s="24">
        <f t="shared" si="169"/>
        <v>8.016433466108472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>
        <f>BY203*VLOOKUP('Données projet'!$B$12,Paramètres!$A$1:$I$89,3,0)*VLOOKUP('Données projet'!$B$12,Paramètres!$A$1:$I$89,5,0)</f>
        <v>0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275.76900776033335</v>
      </c>
      <c r="CE203" s="62">
        <f t="shared" si="207"/>
        <v>299.36898480605191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7.0873382278493553</v>
      </c>
      <c r="CL203" s="23">
        <f>EXP(-LN(2)/25)*CL202+(1-EXP(-LN(2)/25))/(LN(2)/25)*Calculateur!CG203*Calculateur!CI203*VLOOKUP('Données projet'!$B$12,Paramètres!$A$1:$I$89,3,0)*0.475*44/12</f>
        <v>0.59507717717126174</v>
      </c>
      <c r="CM203" s="23">
        <f>EXP(-LN(2)/2)*CM202+(1-EXP(-LN(2)/2))/(LN(2)/2)*CG203*CJ203*VLOOKUP('Données projet'!$B$12,Paramètres!$A$1:$I$89,3,0)*0.475*44/12</f>
        <v>4.728861242900616E-20</v>
      </c>
      <c r="CN203" s="24">
        <f t="shared" si="172"/>
        <v>7.6824154050206168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-5.6843418860808015E-14</v>
      </c>
      <c r="CU203" s="18">
        <f>CT203*VLOOKUP('Données projet'!$B$13,Paramètres!$A$1:$I$89,3,0)*VLOOKUP('Données projet'!$B$13,Paramètres!$A$1:$I$89,5,0)</f>
        <v>-6.2073013396002344E-14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482.24068797679558</v>
      </c>
      <c r="CZ203" s="62">
        <f t="shared" si="208"/>
        <v>316.28941055521693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54.929170024231212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54.929170024231212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-1.7053025658242404E-13</v>
      </c>
      <c r="DP203" s="18">
        <f>DO203*VLOOKUP('Données projet'!$B$14,Paramètres!$A$1:$I$89,3,0)*VLOOKUP('Données projet'!$B$14,Paramètres!$A$1:$I$89,5,0)</f>
        <v>-1.383341441396624E-13</v>
      </c>
      <c r="DQ203" s="14" t="e">
        <f t="shared" si="176"/>
        <v>#NUM!</v>
      </c>
      <c r="DR203" s="22" t="e">
        <f t="shared" si="177"/>
        <v>#NUM!</v>
      </c>
      <c r="DS203" s="62" t="e">
        <f t="shared" si="197"/>
        <v>#NUM!</v>
      </c>
      <c r="DT203" s="62">
        <f ca="1">AVERAGE(OFFSET($DS$3,0,0,'Données projet'!$E$14+1,1))-AVERAGE(OFFSET($H$3,0,0,'Données projet'!$E$14+1,1))</f>
        <v>325.58538970226539</v>
      </c>
      <c r="DU203" s="62">
        <f t="shared" si="209"/>
        <v>361.81085660423457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8.8530244239082201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8.8530244239082201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-2.8421709430404007E-13</v>
      </c>
      <c r="EK203" s="18">
        <f>EJ203*VLOOKUP('Données projet'!$B$15,Paramètres!$A$1:$I$89,3,0)*VLOOKUP('Données projet'!$B$15,Paramètres!$A$1:$I$89,5,0)</f>
        <v>-2.7489477361086758E-13</v>
      </c>
      <c r="EL203" s="14" t="e">
        <f t="shared" si="179"/>
        <v>#NUM!</v>
      </c>
      <c r="EM203" s="22" t="e">
        <f t="shared" si="180"/>
        <v>#NUM!</v>
      </c>
      <c r="EN203" s="62" t="e">
        <f t="shared" si="198"/>
        <v>#NUM!</v>
      </c>
      <c r="EO203" s="62">
        <f ca="1">AVERAGE(OFFSET($EN$3,0,0,'Données projet'!$E$15+1,1))-AVERAGE(OFFSET($H$3,0,0,'Données projet'!$E$15+1,1))</f>
        <v>364.22267539944085</v>
      </c>
      <c r="EP203" s="62">
        <f t="shared" si="210"/>
        <v>241.947139538615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38.921240474312398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38.921240474312398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-1.7053025658242404E-13</v>
      </c>
      <c r="FF203" s="18">
        <f>FE203*VLOOKUP('Données projet'!$B$16,Paramètres!$A$1:$I$89,3,0)*VLOOKUP('Données projet'!$B$16,Paramètres!$A$1:$I$89,5,0)</f>
        <v>-1.4897523215040567E-13</v>
      </c>
      <c r="FG203" s="14" t="e">
        <f t="shared" si="182"/>
        <v>#NUM!</v>
      </c>
      <c r="FH203" s="22" t="e">
        <f t="shared" si="183"/>
        <v>#NUM!</v>
      </c>
      <c r="FI203" s="62" t="e">
        <f t="shared" si="199"/>
        <v>#NUM!</v>
      </c>
      <c r="FJ203" s="62">
        <f ca="1">AVERAGE(OFFSET($FI$3,0,0,'Données projet'!$E$16+1,1))-AVERAGE(OFFSET($H$3,0,0,'Données projet'!$E$16+1,1))</f>
        <v>286.59837239471312</v>
      </c>
      <c r="FK203" s="62">
        <f t="shared" si="211"/>
        <v>319.26091328564689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7.6840775759686561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7.6840775759686561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-1.7053025658242404E-13</v>
      </c>
      <c r="GA203" s="18">
        <f>FZ203*VLOOKUP('Données projet'!$B$17,Paramètres!$A$1:$I$89,3,0)*VLOOKUP('Données projet'!$B$17,Paramètres!$A$1:$I$89,5,0)</f>
        <v>-1.1439169611549005E-13</v>
      </c>
      <c r="GB203" s="14" t="e">
        <f t="shared" si="185"/>
        <v>#NUM!</v>
      </c>
      <c r="GC203" s="22" t="e">
        <f t="shared" si="186"/>
        <v>#NUM!</v>
      </c>
      <c r="GD203" s="62" t="e">
        <f t="shared" si="200"/>
        <v>#NUM!</v>
      </c>
      <c r="GE203" s="62">
        <f ca="1">AVERAGE(OFFSET($GD$3,0,0,'Données projet'!$E$17+1,1))-AVERAGE(OFFSET($H$3,0,0,'Données projet'!$E$17+1,1))</f>
        <v>277.37570531842186</v>
      </c>
      <c r="GF203" s="62">
        <f t="shared" si="212"/>
        <v>310.00874200911312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projet'!$B$17,Paramètres!$A$1:$I$89,3,0)*0.475*44/12</f>
        <v>9.0232748935987654</v>
      </c>
      <c r="GM203" s="23">
        <f>EXP(-LN(2)/25)*GM202+(1-EXP(-LN(2)/25))/(LN(2)/25)*Calculateur!GH203*Calculateur!GJ203*VLOOKUP('Données projet'!$B$17,Paramètres!$A$1:$I$89,3,0)*0.475*44/12</f>
        <v>0</v>
      </c>
      <c r="GN203" s="23">
        <f>EXP(-LN(2)/2)*GN202+(1-EXP(-LN(2)/2))/(LN(2)/2)*GH203*GK203*VLOOKUP('Données projet'!$B$17,Paramètres!$A$1:$I$89,3,0)*0.475*44/12</f>
        <v>0</v>
      </c>
      <c r="GO203" s="23">
        <f t="shared" si="187"/>
        <v>9.0232748935987654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4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4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1.144776349855815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1.2677537154322802</v>
      </c>
      <c r="BA205" s="88">
        <f>EXP(LN('Données projet'!B88)/'Données projet'!A88)</f>
        <v>1.3480061545972777</v>
      </c>
      <c r="BV205" s="88">
        <f>EXP(LN('Données projet'!B114)/'Données projet'!A114)</f>
        <v>1.3480061545972777</v>
      </c>
      <c r="CQ205" s="88">
        <f>EXP(LN('Données projet'!B140)/'Données projet'!A140)</f>
        <v>1.144776349855815</v>
      </c>
      <c r="DL205" s="88">
        <f>EXP(LN('Données projet'!B166)/'Données projet'!A166)</f>
        <v>1.3478208741268516</v>
      </c>
      <c r="EG205" s="88">
        <f>EXP(LN('Données projet'!B192)/'Données projet'!A192)</f>
        <v>1.1377024776242637</v>
      </c>
      <c r="FB205" s="88">
        <f>EXP(LN('Données projet'!B218)/'Données projet'!A218)</f>
        <v>1.3208724756526424</v>
      </c>
      <c r="FW205" s="88">
        <f>EXP(LN('Données projet'!B244)/'Données projet'!A244)</f>
        <v>1.3478208741268516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5" bestFit="1" customWidth="1"/>
    <col min="2" max="2" width="27.7265625" style="5" bestFit="1" customWidth="1"/>
    <col min="3" max="3" width="11.81640625" style="5" bestFit="1" customWidth="1"/>
    <col min="4" max="4" width="40" style="5" bestFit="1" customWidth="1"/>
    <col min="5" max="5" width="11.81640625" style="5" bestFit="1" customWidth="1"/>
    <col min="6" max="6" width="13.7265625" style="5" bestFit="1" customWidth="1"/>
    <col min="7" max="7" width="11.453125" style="5" bestFit="1" customWidth="1"/>
    <col min="8" max="8" width="39" style="5" bestFit="1" customWidth="1"/>
    <col min="9" max="9" width="16.7265625" style="5" customWidth="1"/>
    <col min="10" max="14" width="11.453125" style="5"/>
    <col min="15" max="15" width="23.453125" style="5" bestFit="1" customWidth="1"/>
    <col min="16" max="16384" width="11.453125" style="5"/>
  </cols>
  <sheetData>
    <row r="1" spans="1:16" ht="44" thickBot="1" x14ac:dyDescent="0.4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4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4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4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4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4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4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5">
      <c r="A93" s="131" t="s">
        <v>208</v>
      </c>
    </row>
    <row r="94" spans="1:14" x14ac:dyDescent="0.35">
      <c r="A94" s="131" t="s">
        <v>209</v>
      </c>
    </row>
    <row r="95" spans="1:14" x14ac:dyDescent="0.3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zoomScale="90" zoomScaleNormal="90" workbookViewId="0">
      <selection activeCell="I8" sqref="I8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5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5" thickBot="1" x14ac:dyDescent="0.6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4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58.5" thickBot="1" x14ac:dyDescent="0.4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5">
      <c r="A6" s="154" t="str">
        <f>IF('Données projet'!$B$9="","",'Données projet'!$B$9)</f>
        <v>Chêne rouge d'Amérique</v>
      </c>
      <c r="B6" s="155">
        <f>'Données projet'!D9</f>
        <v>1.4008</v>
      </c>
      <c r="C6" s="156">
        <f ca="1">IF(OR('Données projet'!B9="",'Données projet'!C9="",'Données projet'!C9=0%),0,Calculateur!S3)</f>
        <v>401.34220206028908</v>
      </c>
      <c r="D6" s="156">
        <f>IF(OR('Données projet'!B9="",'Données projet'!C9="",'Données projet'!C9=0%),0,Calculateur!T3)</f>
        <v>265.33314259106987</v>
      </c>
      <c r="E6" s="156">
        <f ca="1">MIN(C6,D6)</f>
        <v>265.33314259106987</v>
      </c>
      <c r="F6" s="156">
        <f ca="1">E6*B6</f>
        <v>371.67866614157072</v>
      </c>
      <c r="G6" s="156">
        <f ca="1">F6*(100%-'Données projet'!$C$24)*(100%-'Données projet'!$C$25)*(100%-'Données projet'!$C$26)*(100%-'Données projet'!$C$27)</f>
        <v>284.3341795983016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284.3341795983016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5">
      <c r="A7" s="162" t="str">
        <f>IF('Données projet'!$B$10="","",'Données projet'!$B$10)</f>
        <v>Cèdre de l'Atlas</v>
      </c>
      <c r="B7" s="163">
        <f>'Données projet'!D10</f>
        <v>1.4008</v>
      </c>
      <c r="C7" s="156">
        <f ca="1">IF(OR('Données projet'!B10="",'Données projet'!C10="",'Données projet'!C10=0%),0,Calculateur!AN3)</f>
        <v>253.48761861464732</v>
      </c>
      <c r="D7" s="156">
        <f>IF(OR('Données projet'!B10="",'Données projet'!C10="",'Données projet'!C10=0%),0,Calculateur!AO3)</f>
        <v>219.50855998133855</v>
      </c>
      <c r="E7" s="156">
        <f t="shared" ref="E7:E15" ca="1" si="0">MIN(C7,D7)</f>
        <v>219.50855998133855</v>
      </c>
      <c r="F7" s="156">
        <f t="shared" ref="F7:F15" ca="1" si="1">E7*B7</f>
        <v>307.48759082185904</v>
      </c>
      <c r="G7" s="156">
        <f ca="1">F7*(100%-'Données projet'!$C$24)*(100%-'Données projet'!$C$25)*(100%-'Données projet'!$C$26)*(100%-'Données projet'!$C$27)</f>
        <v>235.22800697872219</v>
      </c>
      <c r="H7" s="164">
        <f>IF(OR('Données projet'!B10="",'Données projet'!C10="",'Données projet'!C10=0%),0,AVERAGE(Calculateur!$AX$3:$AX$33)*B7)</f>
        <v>3.2242008715444812</v>
      </c>
      <c r="I7" s="158">
        <f>H7*(100%-'Données projet'!$C$24)*(100%-'Données projet'!$C$25)*(100%-'Données projet'!$C$26)*(100%-'Données projet'!$C$27)</f>
        <v>2.4665136667315282</v>
      </c>
      <c r="J7" s="159">
        <f>IF(OR('Données projet'!B10="",'Données projet'!C10="",'Données projet'!C10=0%),0,SUM(Calculateur!$AQ$3:$AQ$33)*VLOOKUP('Données projet'!$B$10,Paramètres!$A$1:$I$89,9,0)*B7)</f>
        <v>32.526575999999999</v>
      </c>
      <c r="K7" s="160">
        <f>J7*(100%-'Données projet'!$C$24)*(100%-'Données projet'!$C$25)*(100%-'Données projet'!$C$26)*(100%-'Données projet'!$C$27)</f>
        <v>24.882830639999998</v>
      </c>
      <c r="L7" s="161">
        <f t="shared" ref="L7:L15" ca="1" si="2">G7+I7+K7</f>
        <v>262.57735128545369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5">
      <c r="A8" s="162" t="str">
        <f>IF('Données projet'!$B$11="","",'Données projet'!$B$11)</f>
        <v>Pin pignon</v>
      </c>
      <c r="B8" s="163">
        <f>'Données projet'!D11</f>
        <v>0.26368000000000003</v>
      </c>
      <c r="C8" s="156">
        <f ca="1">IF(OR('Données projet'!B11="",'Données projet'!C11="",'Données projet'!C11=0%),0,Calculateur!BI3)</f>
        <v>482.85256243111911</v>
      </c>
      <c r="D8" s="156">
        <f>IF(OR('Données projet'!B11="",'Données projet'!C11="",'Données projet'!C11=0%),0,Calculateur!BJ3)</f>
        <v>517.78430032567064</v>
      </c>
      <c r="E8" s="156">
        <f t="shared" ca="1" si="0"/>
        <v>482.85256243111911</v>
      </c>
      <c r="F8" s="156">
        <f t="shared" ca="1" si="1"/>
        <v>127.3185636618375</v>
      </c>
      <c r="G8" s="156">
        <f ca="1">F8*(100%-'Données projet'!$C$24)*(100%-'Données projet'!$C$25)*(100%-'Données projet'!$C$26)*(100%-'Données projet'!$C$27)</f>
        <v>97.398701201305684</v>
      </c>
      <c r="H8" s="164">
        <f>IF(OR('Données projet'!B11="",'Données projet'!C11="",'Données projet'!C11=0%),0,AVERAGE(Calculateur!$BS$3:$BS$33)*B8)</f>
        <v>2.0125485443846105</v>
      </c>
      <c r="I8" s="158">
        <f>H8*(100%-'Données projet'!$C$24)*(100%-'Données projet'!$C$25)*(100%-'Données projet'!$C$26)*(100%-'Données projet'!$C$27)</f>
        <v>1.539599636454227</v>
      </c>
      <c r="J8" s="159">
        <f>IF(OR('Données projet'!B11="",'Données projet'!C11="",'Données projet'!C11=0%),0,SUM(Calculateur!$BL$3:$BL$33)*VLOOKUP('Données projet'!$B$11,Paramètres!$A$1:$I$89,9,0)*B8)</f>
        <v>11.678387200000001</v>
      </c>
      <c r="K8" s="160">
        <f>J8*(100%-'Données projet'!$C$24)*(100%-'Données projet'!$C$25)*(100%-'Données projet'!$C$26)*(100%-'Données projet'!$C$27)</f>
        <v>8.9339662080000011</v>
      </c>
      <c r="L8" s="161">
        <f t="shared" ca="1" si="2"/>
        <v>107.87226704575991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5">
      <c r="A9" s="162" t="str">
        <f>IF('Données projet'!$B$12="","",'Données projet'!$B$12)</f>
        <v>Pin taeda</v>
      </c>
      <c r="B9" s="163">
        <f>'Données projet'!D12</f>
        <v>0.26368000000000003</v>
      </c>
      <c r="C9" s="156">
        <f ca="1">IF(OR('Données projet'!B12="",'Données projet'!C12="",'Données projet'!C12=0%),0,Calculateur!CD3)</f>
        <v>275.76900776033335</v>
      </c>
      <c r="D9" s="156">
        <f>IF(OR('Données projet'!B12="",'Données projet'!C12="",'Données projet'!C12=0%),0,Calculateur!CE3)</f>
        <v>299.36898480605191</v>
      </c>
      <c r="E9" s="156">
        <f t="shared" ca="1" si="0"/>
        <v>275.76900776033335</v>
      </c>
      <c r="F9" s="156">
        <f t="shared" ca="1" si="1"/>
        <v>72.714771966244712</v>
      </c>
      <c r="G9" s="156">
        <f ca="1">F9*(100%-'Données projet'!$C$24)*(100%-'Données projet'!$C$25)*(100%-'Données projet'!$C$26)*(100%-'Données projet'!$C$27)</f>
        <v>55.626800554177201</v>
      </c>
      <c r="H9" s="164">
        <f>IF(OR('Données projet'!B12="",'Données projet'!C12="",'Données projet'!C12=0%),0,AVERAGE(Calculateur!$CN$3:$CN$33)*B9)</f>
        <v>1.9286923550352517</v>
      </c>
      <c r="I9" s="158">
        <f>H9*(100%-'Données projet'!$C$24)*(100%-'Données projet'!$C$25)*(100%-'Données projet'!$C$26)*(100%-'Données projet'!$C$27)</f>
        <v>1.4754496516019675</v>
      </c>
      <c r="J9" s="159">
        <f>IF(OR('Données projet'!B12="",'Données projet'!C12="",'Données projet'!C12=0%),0,SUM(Calculateur!$CG$3:$CG$33)*VLOOKUP('Données projet'!$B$12,Paramètres!$A$1:$I$89,9,0)*B9)</f>
        <v>11.678387200000001</v>
      </c>
      <c r="K9" s="160">
        <f>J9*(100%-'Données projet'!$C$24)*(100%-'Données projet'!$C$25)*(100%-'Données projet'!$C$26)*(100%-'Données projet'!$C$27)</f>
        <v>8.9339662080000011</v>
      </c>
      <c r="L9" s="161">
        <f t="shared" ca="1" si="2"/>
        <v>66.036216413779172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5">
      <c r="A10" s="162" t="str">
        <f>IF('Données projet'!$B$13="","",'Données projet'!$B$13)</f>
        <v>Chêne-liège</v>
      </c>
      <c r="B10" s="163">
        <f>'Données projet'!D13</f>
        <v>0.15862000000000001</v>
      </c>
      <c r="C10" s="156">
        <f ca="1">IF(OR('Données projet'!B13="",'Données projet'!C13="",'Données projet'!C13=0%),0,Calculateur!CY3)</f>
        <v>482.24068797679558</v>
      </c>
      <c r="D10" s="156">
        <f>IF(OR('Données projet'!B13="",'Données projet'!C13="",'Données projet'!C13=0%),0,Calculateur!CZ3)</f>
        <v>316.28941055521693</v>
      </c>
      <c r="E10" s="156">
        <f t="shared" ca="1" si="0"/>
        <v>316.28941055521693</v>
      </c>
      <c r="F10" s="156">
        <f t="shared" ca="1" si="1"/>
        <v>50.169826302268511</v>
      </c>
      <c r="G10" s="156">
        <f ca="1">F10*(100%-'Données projet'!$C$24)*(100%-'Données projet'!$C$25)*(100%-'Données projet'!$C$26)*(100%-'Données projet'!$C$27)</f>
        <v>38.379917121235415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ca="1" si="2"/>
        <v>38.379917121235415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5">
      <c r="A11" s="162" t="str">
        <f>IF('Données projet'!$B$14="","",'Données projet'!$B$14)</f>
        <v>Bouleau verruqueux</v>
      </c>
      <c r="B11" s="163">
        <f>'Données projet'!D14</f>
        <v>0.15862000000000001</v>
      </c>
      <c r="C11" s="156">
        <f ca="1">IF(OR('Données projet'!B14="",'Données projet'!C14="",'Données projet'!C14=0%),0,Calculateur!DT3)</f>
        <v>325.58538970226539</v>
      </c>
      <c r="D11" s="156">
        <f>IF(OR('Données projet'!B14="",'Données projet'!C14="",'Données projet'!C14=0%),0,Calculateur!DU3)</f>
        <v>361.81085660423457</v>
      </c>
      <c r="E11" s="156">
        <f t="shared" ca="1" si="0"/>
        <v>325.58538970226539</v>
      </c>
      <c r="F11" s="156">
        <f t="shared" ca="1" si="1"/>
        <v>51.644354514573337</v>
      </c>
      <c r="G11" s="156">
        <f ca="1">F11*(100%-'Données projet'!$C$24)*(100%-'Données projet'!$C$25)*(100%-'Données projet'!$C$26)*(100%-'Données projet'!$C$27)</f>
        <v>39.507931203648603</v>
      </c>
      <c r="H11" s="164">
        <f>IF(OR('Données projet'!B14="",'Données projet'!C14="",'Données projet'!C14=0%),0,AVERAGE(Calculateur!$ED$3:$ED$33)*B11)</f>
        <v>0.19727647020377653</v>
      </c>
      <c r="I11" s="158">
        <f>H11*(100%-'Données projet'!$C$24)*(100%-'Données projet'!$C$25)*(100%-'Données projet'!$C$26)*(100%-'Données projet'!$C$27)</f>
        <v>0.15091649970588905</v>
      </c>
      <c r="J11" s="159">
        <f>IF(OR('Données projet'!B14="",'Données projet'!C14="",'Données projet'!C14=0%),0,SUM(Calculateur!$DW$3:$DW$33)*VLOOKUP('Données projet'!$B$14,Paramètres!$A$1:$I$89,9,0)*B11)</f>
        <v>1.784475</v>
      </c>
      <c r="K11" s="160">
        <f>J11*(100%-'Données projet'!$C$24)*(100%-'Données projet'!$C$25)*(100%-'Données projet'!$C$26)*(100%-'Données projet'!$C$27)</f>
        <v>1.365123375</v>
      </c>
      <c r="L11" s="161">
        <f t="shared" ca="1" si="2"/>
        <v>41.023971078354492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5">
      <c r="A12" s="162" t="str">
        <f>IF('Données projet'!$B$15="","",'Données projet'!$B$15)</f>
        <v>Alisier torminal</v>
      </c>
      <c r="B12" s="163">
        <f>'Données projet'!D15</f>
        <v>0.15656</v>
      </c>
      <c r="C12" s="156">
        <f ca="1">IF(OR('Données projet'!B15="",'Données projet'!C15="",'Données projet'!C15=0%),0,Calculateur!EO3)</f>
        <v>364.22267539944085</v>
      </c>
      <c r="D12" s="156">
        <f>IF(OR('Données projet'!B15="",'Données projet'!C15="",'Données projet'!C15=0%),0,Calculateur!EP3)</f>
        <v>241.947139538615</v>
      </c>
      <c r="E12" s="156">
        <f t="shared" ca="1" si="0"/>
        <v>241.947139538615</v>
      </c>
      <c r="F12" s="156">
        <f t="shared" ca="1" si="1"/>
        <v>37.879244166165563</v>
      </c>
      <c r="G12" s="156">
        <f ca="1">F12*(100%-'Données projet'!$C$24)*(100%-'Données projet'!$C$25)*(100%-'Données projet'!$C$26)*(100%-'Données projet'!$C$27)</f>
        <v>28.977621787116657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ca="1" si="2"/>
        <v>28.977621787116657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5">
      <c r="A13" s="162" t="str">
        <f>IF('Données projet'!$B$16="","",'Données projet'!$B$16)</f>
        <v>Eucalyptus</v>
      </c>
      <c r="B13" s="163">
        <f>'Données projet'!D16</f>
        <v>0.15656</v>
      </c>
      <c r="C13" s="156">
        <f ca="1">IF(OR('Données projet'!B16="",'Données projet'!C16="",'Données projet'!C16=0%),0,Calculateur!FJ3)</f>
        <v>286.59837239471312</v>
      </c>
      <c r="D13" s="156">
        <f>IF(OR('Données projet'!B16="",'Données projet'!C16="",'Données projet'!C16=0%),0,Calculateur!FK3)</f>
        <v>319.26091328564689</v>
      </c>
      <c r="E13" s="156">
        <f t="shared" ca="1" si="0"/>
        <v>286.59837239471312</v>
      </c>
      <c r="F13" s="156">
        <f t="shared" ca="1" si="1"/>
        <v>44.869841182116289</v>
      </c>
      <c r="G13" s="156">
        <f ca="1">F13*(100%-'Données projet'!$C$24)*(100%-'Données projet'!$C$25)*(100%-'Données projet'!$C$26)*(100%-'Données projet'!$C$27)</f>
        <v>34.325428504318957</v>
      </c>
      <c r="H13" s="164">
        <f>IF(OR('Données projet'!B16="",'Données projet'!C16="",'Données projet'!C16=0%),0,AVERAGE(Calculateur!$FT$3:$FT$33)*B13)</f>
        <v>0.20676653035766776</v>
      </c>
      <c r="I13" s="158">
        <f>H13*(100%-'Données projet'!$C$24)*(100%-'Données projet'!$C$25)*(100%-'Données projet'!$C$26)*(100%-'Données projet'!$C$27)</f>
        <v>0.15817639572361583</v>
      </c>
      <c r="J13" s="159">
        <f>IF(OR('Données projet'!C16="",'Données projet'!C16=0%),0,SUM(Calculateur!$FM$3:$FM$33)*VLOOKUP('Données projet'!$B$16,Paramètres!$A$1:$I$89,9,0)*B13)</f>
        <v>1.2133400000000001</v>
      </c>
      <c r="K13" s="160">
        <f>J13*(100%-'Données projet'!$C$24)*(100%-'Données projet'!$C$25)*(100%-'Données projet'!$C$26)*(100%-'Données projet'!$C$27)</f>
        <v>0.92820510000000001</v>
      </c>
      <c r="L13" s="161">
        <f t="shared" ca="1" si="2"/>
        <v>35.411810000042571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5">
      <c r="A14" s="162" t="str">
        <f>IF('Données projet'!$B$17="","",'Données projet'!$B$17)</f>
        <v>Tilleul</v>
      </c>
      <c r="B14" s="163">
        <f>'Données projet'!D17</f>
        <v>0.15656</v>
      </c>
      <c r="C14" s="156">
        <f ca="1">IF(OR('Données projet'!B17="",'Données projet'!C17="",'Données projet'!C17=0%),0,Calculateur!GE3)</f>
        <v>277.37570531842186</v>
      </c>
      <c r="D14" s="156">
        <f>IF(OR('Données projet'!B17="",'Données projet'!C17="",'Données projet'!C17=0%),0,Calculateur!GF3)</f>
        <v>310.00874200911312</v>
      </c>
      <c r="E14" s="156">
        <f t="shared" ca="1" si="0"/>
        <v>277.37570531842186</v>
      </c>
      <c r="F14" s="156">
        <f t="shared" ca="1" si="1"/>
        <v>43.425940424652126</v>
      </c>
      <c r="G14" s="156">
        <f ca="1">F14*(100%-'Données projet'!$C$24)*(100%-'Données projet'!$C$25)*(100%-'Données projet'!$C$26)*(100%-'Données projet'!$C$27)</f>
        <v>33.220844424858882</v>
      </c>
      <c r="H14" s="164">
        <f>IF(OR('Données projet'!B17="",'Données projet'!C17="",'Données projet'!C17=0%),0,AVERAGE(Calculateur!$GO$3:$GO$33)*B14)</f>
        <v>0.19845894654865434</v>
      </c>
      <c r="I14" s="158">
        <f>H14*(100%-'Données projet'!$C$24)*(100%-'Données projet'!$C$25)*(100%-'Données projet'!$C$26)*(100%-'Données projet'!$C$27)</f>
        <v>0.15182109410972056</v>
      </c>
      <c r="J14" s="159">
        <f>IF(OR('Données projet'!B17="",'Données projet'!C17="",'Données projet'!C17=0%),0,SUM(Calculateur!$GH$3:$GH$33)*VLOOKUP('Données projet'!$B$17,Paramètres!$A$1:$I$89,9,0)*B14)</f>
        <v>1.7613000000000001</v>
      </c>
      <c r="K14" s="160">
        <f>J14*(100%-'Données projet'!$C$24)*(100%-'Données projet'!$C$25)*(100%-'Données projet'!$C$26)*(100%-'Données projet'!$C$27)</f>
        <v>1.3473945000000001</v>
      </c>
      <c r="L14" s="161">
        <f t="shared" ca="1" si="2"/>
        <v>34.720060018968603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4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4">
      <c r="A16" s="226"/>
      <c r="B16" s="233"/>
      <c r="C16" s="234"/>
      <c r="D16" s="25"/>
      <c r="E16" s="25"/>
      <c r="F16" s="174">
        <f t="shared" ref="F16:L16" ca="1" si="3">SUM(F6:F15)</f>
        <v>1107.1887991812878</v>
      </c>
      <c r="G16" s="175">
        <f t="shared" ca="1" si="3"/>
        <v>846.99943137368518</v>
      </c>
      <c r="H16" s="176">
        <f t="shared" si="3"/>
        <v>7.7679437180744424</v>
      </c>
      <c r="I16" s="176">
        <f t="shared" si="3"/>
        <v>5.9424769443269474</v>
      </c>
      <c r="J16" s="177">
        <f t="shared" si="3"/>
        <v>60.642465400000006</v>
      </c>
      <c r="K16" s="177">
        <f t="shared" si="3"/>
        <v>46.391486030999999</v>
      </c>
      <c r="L16" s="178">
        <f t="shared" ca="1" si="3"/>
        <v>899.33339434901211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4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4">
      <c r="A21" s="179" t="str">
        <f>A6</f>
        <v>Chêne rouge d'Amérique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4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4">
      <c r="A39" s="179" t="str">
        <f>A7</f>
        <v>Cèdre de l'Atlas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4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4">
      <c r="A57" s="179" t="str">
        <f>A8</f>
        <v>Pin pignon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4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4">
      <c r="A76" s="179" t="str">
        <f>A9</f>
        <v>Pin taeda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4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4">
      <c r="A94" s="179" t="str">
        <f>A10</f>
        <v>Chêne-liège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4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4">
      <c r="A112" s="179" t="str">
        <f>A11</f>
        <v>Bouleau verruqueux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4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4">
      <c r="A130" s="179" t="str">
        <f>A12</f>
        <v>Alisier torminal</v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4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4">
      <c r="A148" s="179" t="str">
        <f>A13</f>
        <v>Eucalyptus</v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4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4">
      <c r="A166" s="179" t="str">
        <f>A14</f>
        <v>Tilleul</v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4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4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H10" zoomScale="80" zoomScaleNormal="80" workbookViewId="0">
      <selection activeCell="I25" sqref="I25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3" customWidth="1"/>
    <col min="7" max="7" width="17.54296875" style="3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5" thickBot="1" x14ac:dyDescent="0.6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4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6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rouge d'Amérique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1480.2475902542867</v>
      </c>
      <c r="U10" s="190">
        <f>'Données projet'!D9</f>
        <v>1.4008</v>
      </c>
      <c r="V10" s="189">
        <f>U10*T10</f>
        <v>2073.5308244282051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Cèdre de l'Atlas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958.63138416762013</v>
      </c>
      <c r="U11" s="190">
        <f>'Données projet'!D10</f>
        <v>1.4008</v>
      </c>
      <c r="V11" s="189">
        <f t="shared" ref="V11" si="0">U11*T11</f>
        <v>1342.8508429420024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Pin pignon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2053.5778522510068</v>
      </c>
      <c r="U12" s="190">
        <f>'Données projet'!D11</f>
        <v>0.26368000000000003</v>
      </c>
      <c r="V12" s="189">
        <f t="shared" ref="V12:V19" si="1">U12*T12</f>
        <v>541.48740808154548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Pin taeda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2053.5778522510068</v>
      </c>
      <c r="U13" s="190">
        <f>'Données projet'!D12</f>
        <v>0.26368000000000003</v>
      </c>
      <c r="V13" s="189">
        <f t="shared" si="1"/>
        <v>541.48740808154548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5">
      <c r="A14" s="49" t="s">
        <v>165</v>
      </c>
      <c r="B14" s="186" t="str">
        <f>IF('Données projet'!$B$9="","",'Données projet'!$B$9)</f>
        <v>Chêne rouge d'Amérique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Chêne-liège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1480.2475902542867</v>
      </c>
      <c r="U14" s="190">
        <f>'Données projet'!D13</f>
        <v>0.15862000000000001</v>
      </c>
      <c r="V14" s="189">
        <f t="shared" si="1"/>
        <v>234.79687276613498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Bouleau verruqueux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1940.8823994936627</v>
      </c>
      <c r="U15" s="190">
        <f>'Données projet'!D14</f>
        <v>0.15862000000000001</v>
      </c>
      <c r="V15" s="189">
        <f t="shared" si="1"/>
        <v>307.86276620768479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>Alisier torminal</v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472.54530490348651</v>
      </c>
      <c r="U16" s="190">
        <f>'Données projet'!D15</f>
        <v>0.15656</v>
      </c>
      <c r="V16" s="189">
        <f t="shared" si="1"/>
        <v>73.98169293568985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>Eucalyptus</v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1505.8450829906071</v>
      </c>
      <c r="U17" s="190">
        <f>'Données projet'!D16</f>
        <v>0.15656</v>
      </c>
      <c r="V17" s="189">
        <f t="shared" si="1"/>
        <v>235.75510619300945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>Tilleul</v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1940.8823994936627</v>
      </c>
      <c r="U18" s="190">
        <f>'Données projet'!D17</f>
        <v>0.15656</v>
      </c>
      <c r="V18" s="189">
        <f t="shared" si="1"/>
        <v>303.86454846472782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1</v>
      </c>
      <c r="I20" s="204">
        <v>3450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thickBot="1" x14ac:dyDescent="0.4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thickBot="1" x14ac:dyDescent="0.4">
      <c r="A23" s="192">
        <f>'Données projet'!A36</f>
        <v>36</v>
      </c>
      <c r="B23" s="193">
        <f>'Données projet'!D36</f>
        <v>36</v>
      </c>
      <c r="C23" s="353">
        <v>10</v>
      </c>
      <c r="D23" s="194">
        <f>B23*C23</f>
        <v>360</v>
      </c>
      <c r="E23" s="206">
        <v>150</v>
      </c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-7946.2964054975419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thickBot="1" x14ac:dyDescent="0.4">
      <c r="A24" s="192">
        <f>'Données projet'!A37</f>
        <v>42</v>
      </c>
      <c r="B24" s="193">
        <f>'Données projet'!D37</f>
        <v>41</v>
      </c>
      <c r="C24" s="354">
        <v>10</v>
      </c>
      <c r="D24" s="194">
        <f t="shared" ref="D24:D42" si="2">B24*C24</f>
        <v>410</v>
      </c>
      <c r="E24" s="206">
        <v>150</v>
      </c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thickBot="1" x14ac:dyDescent="0.4">
      <c r="A25" s="192">
        <f>'Données projet'!A38</f>
        <v>48</v>
      </c>
      <c r="B25" s="193">
        <f>'Données projet'!D38</f>
        <v>41</v>
      </c>
      <c r="C25" s="354">
        <v>50</v>
      </c>
      <c r="D25" s="194">
        <f t="shared" si="2"/>
        <v>2050</v>
      </c>
      <c r="E25" s="206">
        <v>150</v>
      </c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-7946.2964054975419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thickBot="1" x14ac:dyDescent="0.4">
      <c r="A26" s="192">
        <f>'Données projet'!A39</f>
        <v>54</v>
      </c>
      <c r="B26" s="193">
        <f>'Données projet'!D39</f>
        <v>31</v>
      </c>
      <c r="C26" s="354">
        <v>50</v>
      </c>
      <c r="D26" s="194">
        <f t="shared" si="2"/>
        <v>1550</v>
      </c>
      <c r="E26" s="206">
        <v>150</v>
      </c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thickBot="1" x14ac:dyDescent="0.4">
      <c r="A27" s="192">
        <f>'Données projet'!A40</f>
        <v>62</v>
      </c>
      <c r="B27" s="193">
        <f>'Données projet'!D40</f>
        <v>39</v>
      </c>
      <c r="C27" s="354">
        <v>50</v>
      </c>
      <c r="D27" s="194">
        <f t="shared" si="2"/>
        <v>1950</v>
      </c>
      <c r="E27" s="206">
        <v>150</v>
      </c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thickBot="1" x14ac:dyDescent="0.4">
      <c r="A28" s="192">
        <f>'Données projet'!A41</f>
        <v>70</v>
      </c>
      <c r="B28" s="193">
        <f>'Données projet'!D41</f>
        <v>53</v>
      </c>
      <c r="C28" s="354">
        <v>100</v>
      </c>
      <c r="D28" s="194">
        <f t="shared" si="2"/>
        <v>5300</v>
      </c>
      <c r="E28" s="206">
        <v>150</v>
      </c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ht="15" thickBot="1" x14ac:dyDescent="0.4">
      <c r="A29" s="192">
        <f>'Données projet'!A42</f>
        <v>78</v>
      </c>
      <c r="B29" s="193">
        <f>'Données projet'!D42</f>
        <v>42</v>
      </c>
      <c r="C29" s="354">
        <v>100</v>
      </c>
      <c r="D29" s="194">
        <f t="shared" si="2"/>
        <v>4200</v>
      </c>
      <c r="E29" s="206">
        <v>150</v>
      </c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ht="15" thickBot="1" x14ac:dyDescent="0.4">
      <c r="A30" s="192">
        <f>'Données projet'!A43</f>
        <v>87</v>
      </c>
      <c r="B30" s="193">
        <f>'Données projet'!D43</f>
        <v>39</v>
      </c>
      <c r="C30" s="354">
        <v>150</v>
      </c>
      <c r="D30" s="194">
        <f t="shared" si="2"/>
        <v>5850</v>
      </c>
      <c r="E30" s="206">
        <v>150</v>
      </c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ht="15" thickBot="1" x14ac:dyDescent="0.4">
      <c r="A31" s="192">
        <f>'Données projet'!A44</f>
        <v>97</v>
      </c>
      <c r="B31" s="193">
        <f>'Données projet'!D44</f>
        <v>42</v>
      </c>
      <c r="C31" s="354">
        <v>150</v>
      </c>
      <c r="D31" s="194">
        <f t="shared" si="2"/>
        <v>6300</v>
      </c>
      <c r="E31" s="206">
        <v>150</v>
      </c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thickBot="1" x14ac:dyDescent="0.4">
      <c r="A32" s="192">
        <f>'Données projet'!A45</f>
        <v>107</v>
      </c>
      <c r="B32" s="193">
        <f>'Données projet'!D45</f>
        <v>46</v>
      </c>
      <c r="C32" s="354">
        <v>150</v>
      </c>
      <c r="D32" s="194">
        <f t="shared" si="2"/>
        <v>6900</v>
      </c>
      <c r="E32" s="206">
        <v>150</v>
      </c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ht="15" thickBot="1" x14ac:dyDescent="0.4">
      <c r="A33" s="192">
        <f>'Données projet'!A46</f>
        <v>117</v>
      </c>
      <c r="B33" s="193">
        <f>'Données projet'!D46</f>
        <v>45</v>
      </c>
      <c r="C33" s="354">
        <v>200</v>
      </c>
      <c r="D33" s="194">
        <f t="shared" si="2"/>
        <v>9000</v>
      </c>
      <c r="E33" s="206">
        <v>150</v>
      </c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ht="15" thickBot="1" x14ac:dyDescent="0.4">
      <c r="A34" s="192">
        <f>'Données projet'!A47</f>
        <v>129</v>
      </c>
      <c r="B34" s="193">
        <f>'Données projet'!D47</f>
        <v>337</v>
      </c>
      <c r="C34" s="354">
        <v>200</v>
      </c>
      <c r="D34" s="194">
        <f t="shared" si="2"/>
        <v>67400</v>
      </c>
      <c r="E34" s="206">
        <v>150</v>
      </c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5">
      <c r="A45" s="49" t="s">
        <v>166</v>
      </c>
      <c r="B45" s="186" t="str">
        <f>IF('Données projet'!$B$10="","",'Données projet'!$B$10)</f>
        <v>Cèdre de l'Atlas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thickBot="1" x14ac:dyDescent="0.4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thickBot="1" x14ac:dyDescent="0.4">
      <c r="A54" s="192">
        <f>'Données projet'!A62</f>
        <v>20</v>
      </c>
      <c r="B54" s="193">
        <f>'Données projet'!D62</f>
        <v>23</v>
      </c>
      <c r="C54" s="353">
        <v>10</v>
      </c>
      <c r="D54" s="191">
        <f>B54*C54</f>
        <v>230</v>
      </c>
      <c r="E54" s="206">
        <v>150</v>
      </c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thickBot="1" x14ac:dyDescent="0.4">
      <c r="A55" s="192">
        <f>'Données projet'!A63</f>
        <v>30</v>
      </c>
      <c r="B55" s="193">
        <f>'Données projet'!D63</f>
        <v>31</v>
      </c>
      <c r="C55" s="354">
        <v>18</v>
      </c>
      <c r="D55" s="191">
        <f t="shared" ref="D55:D73" si="4">B55*C55</f>
        <v>558</v>
      </c>
      <c r="E55" s="206">
        <v>150</v>
      </c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thickBot="1" x14ac:dyDescent="0.4">
      <c r="A56" s="192">
        <f>'Données projet'!A64</f>
        <v>40</v>
      </c>
      <c r="B56" s="193">
        <f>'Données projet'!D64</f>
        <v>39</v>
      </c>
      <c r="C56" s="354">
        <v>25</v>
      </c>
      <c r="D56" s="191">
        <f t="shared" si="4"/>
        <v>975</v>
      </c>
      <c r="E56" s="206">
        <v>150</v>
      </c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thickBot="1" x14ac:dyDescent="0.4">
      <c r="A57" s="192">
        <f>'Données projet'!A65</f>
        <v>50</v>
      </c>
      <c r="B57" s="193">
        <f>'Données projet'!D65</f>
        <v>45</v>
      </c>
      <c r="C57" s="354">
        <v>35</v>
      </c>
      <c r="D57" s="191">
        <f t="shared" si="4"/>
        <v>1575</v>
      </c>
      <c r="E57" s="206">
        <v>150</v>
      </c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thickBot="1" x14ac:dyDescent="0.4">
      <c r="A58" s="192">
        <f>'Données projet'!A66</f>
        <v>60</v>
      </c>
      <c r="B58" s="193">
        <f>'Données projet'!D66</f>
        <v>52</v>
      </c>
      <c r="C58" s="354">
        <v>40</v>
      </c>
      <c r="D58" s="191">
        <f t="shared" si="4"/>
        <v>2080</v>
      </c>
      <c r="E58" s="206">
        <v>150</v>
      </c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thickBot="1" x14ac:dyDescent="0.4">
      <c r="A59" s="192">
        <f>'Données projet'!A67</f>
        <v>70</v>
      </c>
      <c r="B59" s="193">
        <f>'Données projet'!D67</f>
        <v>57</v>
      </c>
      <c r="C59" s="354">
        <v>45</v>
      </c>
      <c r="D59" s="191">
        <f t="shared" si="4"/>
        <v>2565</v>
      </c>
      <c r="E59" s="206">
        <v>150</v>
      </c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ht="15" thickBot="1" x14ac:dyDescent="0.4">
      <c r="A60" s="192">
        <f>'Données projet'!A68</f>
        <v>80</v>
      </c>
      <c r="B60" s="193">
        <f>'Données projet'!D68</f>
        <v>61</v>
      </c>
      <c r="C60" s="354">
        <v>45</v>
      </c>
      <c r="D60" s="191">
        <f t="shared" si="4"/>
        <v>2745</v>
      </c>
      <c r="E60" s="206">
        <v>150</v>
      </c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ht="15" thickBot="1" x14ac:dyDescent="0.4">
      <c r="A61" s="192">
        <f>'Données projet'!A69</f>
        <v>90</v>
      </c>
      <c r="B61" s="193">
        <f>'Données projet'!D69</f>
        <v>65</v>
      </c>
      <c r="C61" s="354">
        <v>56</v>
      </c>
      <c r="D61" s="191">
        <f t="shared" si="4"/>
        <v>3640</v>
      </c>
      <c r="E61" s="206">
        <v>150</v>
      </c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ht="15" thickBot="1" x14ac:dyDescent="0.4">
      <c r="A62" s="192">
        <f>'Données projet'!A70</f>
        <v>100</v>
      </c>
      <c r="B62" s="193">
        <f>'Données projet'!D70</f>
        <v>344</v>
      </c>
      <c r="C62" s="354">
        <v>56</v>
      </c>
      <c r="D62" s="191">
        <f t="shared" si="4"/>
        <v>19264</v>
      </c>
      <c r="E62" s="206">
        <v>150</v>
      </c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5">
      <c r="A76" s="49" t="s">
        <v>167</v>
      </c>
      <c r="B76" s="186" t="str">
        <f>IF('Données projet'!B11="","",'Données projet'!B11)</f>
        <v>Pin pignon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thickBot="1" x14ac:dyDescent="0.4">
      <c r="A85" s="192">
        <f>'Données projet'!A88</f>
        <v>12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thickBot="1" x14ac:dyDescent="0.4">
      <c r="A86" s="192">
        <f>'Données projet'!A89</f>
        <v>16</v>
      </c>
      <c r="B86" s="193">
        <f>'Données projet'!D89</f>
        <v>15</v>
      </c>
      <c r="C86" s="353">
        <v>10</v>
      </c>
      <c r="D86" s="191">
        <f t="shared" ref="D86:D104" si="6">B86*C86</f>
        <v>150</v>
      </c>
      <c r="E86" s="206">
        <v>150</v>
      </c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thickBot="1" x14ac:dyDescent="0.4">
      <c r="A87" s="192">
        <f>'Données projet'!A90</f>
        <v>20</v>
      </c>
      <c r="B87" s="193">
        <f>'Données projet'!D90</f>
        <v>22</v>
      </c>
      <c r="C87" s="354">
        <v>18</v>
      </c>
      <c r="D87" s="191">
        <f t="shared" si="6"/>
        <v>396</v>
      </c>
      <c r="E87" s="206">
        <v>150</v>
      </c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thickBot="1" x14ac:dyDescent="0.4">
      <c r="A88" s="192">
        <f>'Données projet'!A91</f>
        <v>24</v>
      </c>
      <c r="B88" s="193">
        <f>'Données projet'!D91</f>
        <v>31</v>
      </c>
      <c r="C88" s="354">
        <v>25</v>
      </c>
      <c r="D88" s="191">
        <f t="shared" si="6"/>
        <v>775</v>
      </c>
      <c r="E88" s="206">
        <v>150</v>
      </c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thickBot="1" x14ac:dyDescent="0.4">
      <c r="A89" s="192">
        <f>'Données projet'!A92</f>
        <v>28</v>
      </c>
      <c r="B89" s="193">
        <f>'Données projet'!D92</f>
        <v>35</v>
      </c>
      <c r="C89" s="354">
        <v>25</v>
      </c>
      <c r="D89" s="191">
        <f t="shared" si="6"/>
        <v>875</v>
      </c>
      <c r="E89" s="206">
        <v>150</v>
      </c>
      <c r="F89" s="263"/>
      <c r="G89" s="222"/>
      <c r="H89" s="203"/>
      <c r="I89" s="204"/>
      <c r="J89" s="5"/>
      <c r="K89" s="183"/>
      <c r="L89" s="5"/>
      <c r="M89" s="5"/>
      <c r="N89" s="5"/>
      <c r="O89" s="207" t="str">
        <f>IF(O88+1&lt;=MIN('Données projet'!$E$9:$E$18),O88+1,"STOP")</f>
        <v>STOP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thickBot="1" x14ac:dyDescent="0.4">
      <c r="A90" s="192">
        <f>'Données projet'!A93</f>
        <v>34</v>
      </c>
      <c r="B90" s="193">
        <f>'Données projet'!D93</f>
        <v>46</v>
      </c>
      <c r="C90" s="354">
        <v>35</v>
      </c>
      <c r="D90" s="191">
        <f t="shared" si="6"/>
        <v>1610</v>
      </c>
      <c r="E90" s="206">
        <v>150</v>
      </c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ht="15" thickBot="1" x14ac:dyDescent="0.4">
      <c r="A91" s="192">
        <f>'Données projet'!A94</f>
        <v>40</v>
      </c>
      <c r="B91" s="193">
        <f>'Données projet'!D94</f>
        <v>41</v>
      </c>
      <c r="C91" s="354">
        <v>35</v>
      </c>
      <c r="D91" s="191">
        <f t="shared" si="6"/>
        <v>1435</v>
      </c>
      <c r="E91" s="206">
        <v>150</v>
      </c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ht="15" thickBot="1" x14ac:dyDescent="0.4">
      <c r="A92" s="192">
        <f>'Données projet'!A95</f>
        <v>46</v>
      </c>
      <c r="B92" s="193">
        <f>'Données projet'!D95</f>
        <v>29</v>
      </c>
      <c r="C92" s="354">
        <v>35</v>
      </c>
      <c r="D92" s="191">
        <f t="shared" si="6"/>
        <v>1015</v>
      </c>
      <c r="E92" s="206">
        <v>150</v>
      </c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ht="15" thickBot="1" x14ac:dyDescent="0.4">
      <c r="A93" s="192">
        <f>'Données projet'!A96</f>
        <v>54</v>
      </c>
      <c r="B93" s="193">
        <f>'Données projet'!D96</f>
        <v>16</v>
      </c>
      <c r="C93" s="354">
        <v>40</v>
      </c>
      <c r="D93" s="191">
        <f t="shared" si="6"/>
        <v>640</v>
      </c>
      <c r="E93" s="206">
        <v>150</v>
      </c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ht="15" thickBot="1" x14ac:dyDescent="0.4">
      <c r="A94" s="192">
        <f>'Données projet'!A97</f>
        <v>62</v>
      </c>
      <c r="B94" s="193">
        <f>'Données projet'!D97</f>
        <v>316</v>
      </c>
      <c r="C94" s="354">
        <v>40</v>
      </c>
      <c r="D94" s="191">
        <f t="shared" si="6"/>
        <v>12640</v>
      </c>
      <c r="E94" s="206">
        <v>150</v>
      </c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5">
      <c r="A107" s="49" t="s">
        <v>168</v>
      </c>
      <c r="B107" s="186" t="str">
        <f>IF('Données projet'!B12="","",'Données projet'!B12)</f>
        <v>Pin taeda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thickBot="1" x14ac:dyDescent="0.4">
      <c r="A116" s="192">
        <f>'Données projet'!A114</f>
        <v>12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thickBot="1" x14ac:dyDescent="0.4">
      <c r="A117" s="192">
        <f>'Données projet'!A115</f>
        <v>16</v>
      </c>
      <c r="B117" s="193">
        <f>'Données projet'!D115</f>
        <v>15</v>
      </c>
      <c r="C117" s="353">
        <v>10</v>
      </c>
      <c r="D117" s="191">
        <f t="shared" ref="D117:D135" si="8">B117*C117</f>
        <v>150</v>
      </c>
      <c r="E117" s="206">
        <v>150</v>
      </c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thickBot="1" x14ac:dyDescent="0.4">
      <c r="A118" s="192">
        <f>'Données projet'!A116</f>
        <v>20</v>
      </c>
      <c r="B118" s="193">
        <f>'Données projet'!D116</f>
        <v>22</v>
      </c>
      <c r="C118" s="354">
        <v>18</v>
      </c>
      <c r="D118" s="191">
        <f t="shared" si="8"/>
        <v>396</v>
      </c>
      <c r="E118" s="206">
        <v>150</v>
      </c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thickBot="1" x14ac:dyDescent="0.4">
      <c r="A119" s="192">
        <f>'Données projet'!A117</f>
        <v>24</v>
      </c>
      <c r="B119" s="193">
        <f>'Données projet'!D117</f>
        <v>31</v>
      </c>
      <c r="C119" s="354">
        <v>25</v>
      </c>
      <c r="D119" s="191">
        <f t="shared" si="8"/>
        <v>775</v>
      </c>
      <c r="E119" s="206">
        <v>150</v>
      </c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thickBot="1" x14ac:dyDescent="0.4">
      <c r="A120" s="192">
        <f>'Données projet'!A118</f>
        <v>28</v>
      </c>
      <c r="B120" s="193">
        <f>'Données projet'!D118</f>
        <v>35</v>
      </c>
      <c r="C120" s="354">
        <v>25</v>
      </c>
      <c r="D120" s="191">
        <f t="shared" si="8"/>
        <v>875</v>
      </c>
      <c r="E120" s="206">
        <v>150</v>
      </c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thickBot="1" x14ac:dyDescent="0.4">
      <c r="A121" s="192">
        <f>'Données projet'!A119</f>
        <v>34</v>
      </c>
      <c r="B121" s="193">
        <f>'Données projet'!D119</f>
        <v>46</v>
      </c>
      <c r="C121" s="354">
        <v>35</v>
      </c>
      <c r="D121" s="191">
        <f t="shared" si="8"/>
        <v>1610</v>
      </c>
      <c r="E121" s="206">
        <v>150</v>
      </c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ht="15" thickBot="1" x14ac:dyDescent="0.4">
      <c r="A122" s="192">
        <f>'Données projet'!A120</f>
        <v>40</v>
      </c>
      <c r="B122" s="193">
        <f>'Données projet'!D120</f>
        <v>41</v>
      </c>
      <c r="C122" s="354">
        <v>35</v>
      </c>
      <c r="D122" s="191">
        <f t="shared" si="8"/>
        <v>1435</v>
      </c>
      <c r="E122" s="206">
        <v>150</v>
      </c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ht="15" thickBot="1" x14ac:dyDescent="0.4">
      <c r="A123" s="192">
        <f>'Données projet'!A121</f>
        <v>46</v>
      </c>
      <c r="B123" s="193">
        <f>'Données projet'!D121</f>
        <v>29</v>
      </c>
      <c r="C123" s="354">
        <v>35</v>
      </c>
      <c r="D123" s="191">
        <f t="shared" si="8"/>
        <v>1015</v>
      </c>
      <c r="E123" s="206">
        <v>150</v>
      </c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ht="15" thickBot="1" x14ac:dyDescent="0.4">
      <c r="A124" s="192">
        <f>'Données projet'!A122</f>
        <v>54</v>
      </c>
      <c r="B124" s="193">
        <f>'Données projet'!D122</f>
        <v>16</v>
      </c>
      <c r="C124" s="354">
        <v>40</v>
      </c>
      <c r="D124" s="191">
        <f t="shared" si="8"/>
        <v>640</v>
      </c>
      <c r="E124" s="206">
        <v>150</v>
      </c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ht="15" thickBot="1" x14ac:dyDescent="0.4">
      <c r="A125" s="192">
        <f>'Données projet'!A123</f>
        <v>62</v>
      </c>
      <c r="B125" s="193">
        <f>'Données projet'!D123</f>
        <v>316</v>
      </c>
      <c r="C125" s="354">
        <v>40</v>
      </c>
      <c r="D125" s="191">
        <f t="shared" si="8"/>
        <v>12640</v>
      </c>
      <c r="E125" s="206">
        <v>150</v>
      </c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5">
      <c r="A138" s="49" t="s">
        <v>169</v>
      </c>
      <c r="B138" s="186" t="str">
        <f>IF('Données projet'!B13="","",'Données projet'!B13)</f>
        <v>Chêne-liège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thickBot="1" x14ac:dyDescent="0.4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thickBot="1" x14ac:dyDescent="0.4">
      <c r="A147" s="45">
        <f>'Données projet'!A140</f>
        <v>36</v>
      </c>
      <c r="B147" s="187">
        <f>'Données projet'!D140</f>
        <v>36</v>
      </c>
      <c r="C147" s="353">
        <v>10</v>
      </c>
      <c r="D147" s="194">
        <f>B147*C147</f>
        <v>360</v>
      </c>
      <c r="E147" s="206">
        <v>150</v>
      </c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thickBot="1" x14ac:dyDescent="0.4">
      <c r="A148" s="45">
        <f>'Données projet'!A141</f>
        <v>42</v>
      </c>
      <c r="B148" s="187">
        <f>'Données projet'!D141</f>
        <v>41</v>
      </c>
      <c r="C148" s="354">
        <v>10</v>
      </c>
      <c r="D148" s="194">
        <f t="shared" ref="D148:D166" si="10">B148*C148</f>
        <v>410</v>
      </c>
      <c r="E148" s="206">
        <v>150</v>
      </c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thickBot="1" x14ac:dyDescent="0.4">
      <c r="A149" s="45">
        <f>'Données projet'!A142</f>
        <v>48</v>
      </c>
      <c r="B149" s="187">
        <f>'Données projet'!D142</f>
        <v>41</v>
      </c>
      <c r="C149" s="354">
        <v>50</v>
      </c>
      <c r="D149" s="194">
        <f t="shared" si="10"/>
        <v>2050</v>
      </c>
      <c r="E149" s="206">
        <v>150</v>
      </c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thickBot="1" x14ac:dyDescent="0.4">
      <c r="A150" s="45">
        <f>'Données projet'!A143</f>
        <v>54</v>
      </c>
      <c r="B150" s="187">
        <f>'Données projet'!D143</f>
        <v>31</v>
      </c>
      <c r="C150" s="354">
        <v>50</v>
      </c>
      <c r="D150" s="194">
        <f t="shared" si="10"/>
        <v>1550</v>
      </c>
      <c r="E150" s="206">
        <v>150</v>
      </c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thickBot="1" x14ac:dyDescent="0.4">
      <c r="A151" s="45">
        <f>'Données projet'!A144</f>
        <v>62</v>
      </c>
      <c r="B151" s="187">
        <f>'Données projet'!D144</f>
        <v>39</v>
      </c>
      <c r="C151" s="354">
        <v>50</v>
      </c>
      <c r="D151" s="194">
        <f t="shared" si="10"/>
        <v>1950</v>
      </c>
      <c r="E151" s="206">
        <v>150</v>
      </c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thickBot="1" x14ac:dyDescent="0.4">
      <c r="A152" s="45">
        <f>'Données projet'!A145</f>
        <v>70</v>
      </c>
      <c r="B152" s="187">
        <f>'Données projet'!D145</f>
        <v>53</v>
      </c>
      <c r="C152" s="354">
        <v>100</v>
      </c>
      <c r="D152" s="194">
        <f t="shared" si="10"/>
        <v>5300</v>
      </c>
      <c r="E152" s="206">
        <v>150</v>
      </c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ht="15" thickBot="1" x14ac:dyDescent="0.4">
      <c r="A153" s="45">
        <f>'Données projet'!A146</f>
        <v>78</v>
      </c>
      <c r="B153" s="187">
        <f>'Données projet'!D146</f>
        <v>42</v>
      </c>
      <c r="C153" s="354">
        <v>100</v>
      </c>
      <c r="D153" s="194">
        <f t="shared" si="10"/>
        <v>4200</v>
      </c>
      <c r="E153" s="206">
        <v>150</v>
      </c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ht="15" thickBot="1" x14ac:dyDescent="0.4">
      <c r="A154" s="45">
        <f>'Données projet'!A147</f>
        <v>87</v>
      </c>
      <c r="B154" s="187">
        <f>'Données projet'!D147</f>
        <v>39</v>
      </c>
      <c r="C154" s="354">
        <v>150</v>
      </c>
      <c r="D154" s="194">
        <f t="shared" si="10"/>
        <v>5850</v>
      </c>
      <c r="E154" s="206">
        <v>150</v>
      </c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ht="15" thickBot="1" x14ac:dyDescent="0.4">
      <c r="A155" s="45">
        <f>'Données projet'!A148</f>
        <v>97</v>
      </c>
      <c r="B155" s="187">
        <f>'Données projet'!D148</f>
        <v>42</v>
      </c>
      <c r="C155" s="354">
        <v>150</v>
      </c>
      <c r="D155" s="194">
        <f t="shared" si="10"/>
        <v>6300</v>
      </c>
      <c r="E155" s="206">
        <v>150</v>
      </c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ht="15" thickBot="1" x14ac:dyDescent="0.4">
      <c r="A156" s="45">
        <f>'Données projet'!A149</f>
        <v>107</v>
      </c>
      <c r="B156" s="187">
        <f>'Données projet'!D149</f>
        <v>46</v>
      </c>
      <c r="C156" s="354">
        <v>150</v>
      </c>
      <c r="D156" s="194">
        <f t="shared" si="10"/>
        <v>6900</v>
      </c>
      <c r="E156" s="206">
        <v>150</v>
      </c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ht="15" thickBot="1" x14ac:dyDescent="0.4">
      <c r="A157" s="45">
        <f>'Données projet'!A150</f>
        <v>117</v>
      </c>
      <c r="B157" s="187">
        <f>'Données projet'!D150</f>
        <v>45</v>
      </c>
      <c r="C157" s="354">
        <v>200</v>
      </c>
      <c r="D157" s="194">
        <f t="shared" si="10"/>
        <v>9000</v>
      </c>
      <c r="E157" s="206">
        <v>150</v>
      </c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ht="15" thickBot="1" x14ac:dyDescent="0.4">
      <c r="A158" s="45">
        <f>'Données projet'!A151</f>
        <v>129</v>
      </c>
      <c r="B158" s="187">
        <f>'Données projet'!D151</f>
        <v>337</v>
      </c>
      <c r="C158" s="354">
        <v>200</v>
      </c>
      <c r="D158" s="194">
        <f t="shared" si="10"/>
        <v>67400</v>
      </c>
      <c r="E158" s="206">
        <v>150</v>
      </c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5">
      <c r="A169" s="49" t="s">
        <v>170</v>
      </c>
      <c r="B169" s="186" t="str">
        <f>IF('Données projet'!B14="","",'Données projet'!B14)</f>
        <v>Bouleau verruqueux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thickBot="1" x14ac:dyDescent="0.4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ht="15" thickBot="1" x14ac:dyDescent="0.4">
      <c r="A178" s="192">
        <f>'Données projet'!A166</f>
        <v>15</v>
      </c>
      <c r="B178" s="193">
        <f>'Données projet'!D166</f>
        <v>20</v>
      </c>
      <c r="C178" s="353">
        <v>10</v>
      </c>
      <c r="D178" s="191">
        <f>B178*C178</f>
        <v>200</v>
      </c>
      <c r="E178" s="206">
        <v>150</v>
      </c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ht="15" thickBot="1" x14ac:dyDescent="0.4">
      <c r="A179" s="192">
        <f>'Données projet'!A167</f>
        <v>25</v>
      </c>
      <c r="B179" s="193">
        <f>'Données projet'!D167</f>
        <v>25</v>
      </c>
      <c r="C179" s="354">
        <v>10</v>
      </c>
      <c r="D179" s="191">
        <f t="shared" ref="D179:D197" si="11">B179*C179</f>
        <v>250</v>
      </c>
      <c r="E179" s="206">
        <v>150</v>
      </c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ht="15" thickBot="1" x14ac:dyDescent="0.4">
      <c r="A180" s="192">
        <f>'Données projet'!A168</f>
        <v>35</v>
      </c>
      <c r="B180" s="193">
        <f>'Données projet'!D168</f>
        <v>37</v>
      </c>
      <c r="C180" s="354">
        <v>15</v>
      </c>
      <c r="D180" s="191">
        <f t="shared" si="11"/>
        <v>555</v>
      </c>
      <c r="E180" s="206">
        <v>150</v>
      </c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ht="15" thickBot="1" x14ac:dyDescent="0.4">
      <c r="A181" s="192">
        <f>'Données projet'!A169</f>
        <v>45</v>
      </c>
      <c r="B181" s="193">
        <f>'Données projet'!D169</f>
        <v>51</v>
      </c>
      <c r="C181" s="354">
        <v>15</v>
      </c>
      <c r="D181" s="191">
        <f t="shared" si="11"/>
        <v>765</v>
      </c>
      <c r="E181" s="206">
        <v>150</v>
      </c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ht="15" thickBot="1" x14ac:dyDescent="0.4">
      <c r="A182" s="192">
        <f>'Données projet'!A170</f>
        <v>55</v>
      </c>
      <c r="B182" s="193">
        <f>'Données projet'!D170</f>
        <v>388</v>
      </c>
      <c r="C182" s="354">
        <v>50</v>
      </c>
      <c r="D182" s="191">
        <f t="shared" si="11"/>
        <v>19400</v>
      </c>
      <c r="E182" s="206">
        <v>150</v>
      </c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5">
      <c r="A200" s="49" t="s">
        <v>171</v>
      </c>
      <c r="B200" s="186" t="str">
        <f>IF('Données projet'!$B$15="","",'Données projet'!$B$15)</f>
        <v>Alisier torminal</v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ht="15" thickBot="1" x14ac:dyDescent="0.4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ht="15" thickBot="1" x14ac:dyDescent="0.4">
      <c r="A209" s="192">
        <f>'Données projet'!A192</f>
        <v>36</v>
      </c>
      <c r="B209" s="193">
        <f>'Données projet'!D192</f>
        <v>28.8</v>
      </c>
      <c r="C209" s="353">
        <v>10</v>
      </c>
      <c r="D209" s="191">
        <f>B209*C209</f>
        <v>288</v>
      </c>
      <c r="E209" s="206">
        <v>150</v>
      </c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ht="15" thickBot="1" x14ac:dyDescent="0.4">
      <c r="A210" s="192">
        <f>'Données projet'!A193</f>
        <v>42</v>
      </c>
      <c r="B210" s="193">
        <f>'Données projet'!D193</f>
        <v>32.799999999999997</v>
      </c>
      <c r="C210" s="354">
        <v>10</v>
      </c>
      <c r="D210" s="191">
        <f t="shared" ref="D210:D228" si="12">B210*C210</f>
        <v>328</v>
      </c>
      <c r="E210" s="206">
        <v>150</v>
      </c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ht="15" thickBot="1" x14ac:dyDescent="0.4">
      <c r="A211" s="192">
        <f>'Données projet'!A194</f>
        <v>48</v>
      </c>
      <c r="B211" s="193">
        <f>'Données projet'!D194</f>
        <v>32.799999999999997</v>
      </c>
      <c r="C211" s="354">
        <v>15</v>
      </c>
      <c r="D211" s="191">
        <f t="shared" si="12"/>
        <v>491.99999999999994</v>
      </c>
      <c r="E211" s="206">
        <v>150</v>
      </c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ht="15" thickBot="1" x14ac:dyDescent="0.4">
      <c r="A212" s="192">
        <f>'Données projet'!A195</f>
        <v>54</v>
      </c>
      <c r="B212" s="193">
        <f>'Données projet'!D195</f>
        <v>24.8</v>
      </c>
      <c r="C212" s="354">
        <v>15</v>
      </c>
      <c r="D212" s="191">
        <f t="shared" si="12"/>
        <v>372</v>
      </c>
      <c r="E212" s="206">
        <v>150</v>
      </c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ht="15" thickBot="1" x14ac:dyDescent="0.4">
      <c r="A213" s="192">
        <f>'Données projet'!A196</f>
        <v>62</v>
      </c>
      <c r="B213" s="193">
        <f>'Données projet'!D196</f>
        <v>31.2</v>
      </c>
      <c r="C213" s="354">
        <v>50</v>
      </c>
      <c r="D213" s="191">
        <f>B213*C213</f>
        <v>1560</v>
      </c>
      <c r="E213" s="206">
        <v>150</v>
      </c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ht="15" thickBot="1" x14ac:dyDescent="0.4">
      <c r="A214" s="192">
        <f>'Données projet'!A197</f>
        <v>70</v>
      </c>
      <c r="B214" s="193">
        <f>'Données projet'!D197</f>
        <v>42.4</v>
      </c>
      <c r="C214" s="354">
        <v>50</v>
      </c>
      <c r="D214" s="191">
        <f>B214*C214</f>
        <v>2120</v>
      </c>
      <c r="E214" s="206">
        <v>150</v>
      </c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ht="15" thickBot="1" x14ac:dyDescent="0.4">
      <c r="A215" s="192">
        <f>'Données projet'!A198</f>
        <v>78</v>
      </c>
      <c r="B215" s="193">
        <f>'Données projet'!D198</f>
        <v>33.6</v>
      </c>
      <c r="C215" s="354">
        <v>50</v>
      </c>
      <c r="D215" s="191">
        <f t="shared" si="12"/>
        <v>1680</v>
      </c>
      <c r="E215" s="206">
        <v>150</v>
      </c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ht="15" thickBot="1" x14ac:dyDescent="0.4">
      <c r="A216" s="192">
        <f>'Données projet'!A199</f>
        <v>87</v>
      </c>
      <c r="B216" s="193">
        <f>'Données projet'!D199</f>
        <v>31.2</v>
      </c>
      <c r="C216" s="354">
        <v>50</v>
      </c>
      <c r="D216" s="191">
        <f t="shared" si="12"/>
        <v>1560</v>
      </c>
      <c r="E216" s="206">
        <v>150</v>
      </c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ht="15" thickBot="1" x14ac:dyDescent="0.4">
      <c r="A217" s="192">
        <f>'Données projet'!A200</f>
        <v>97</v>
      </c>
      <c r="B217" s="193">
        <f>'Données projet'!D200</f>
        <v>33.6</v>
      </c>
      <c r="C217" s="354">
        <v>50</v>
      </c>
      <c r="D217" s="191">
        <f t="shared" si="12"/>
        <v>1680</v>
      </c>
      <c r="E217" s="206">
        <v>150</v>
      </c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ht="15" thickBot="1" x14ac:dyDescent="0.4">
      <c r="A218" s="192">
        <f>'Données projet'!A201</f>
        <v>107</v>
      </c>
      <c r="B218" s="193">
        <f>'Données projet'!D201</f>
        <v>36.799999999999997</v>
      </c>
      <c r="C218" s="354">
        <v>50</v>
      </c>
      <c r="D218" s="191">
        <f t="shared" si="12"/>
        <v>1839.9999999999998</v>
      </c>
      <c r="E218" s="206">
        <v>150</v>
      </c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ht="15" thickBot="1" x14ac:dyDescent="0.4">
      <c r="A219" s="192">
        <f>'Données projet'!A202</f>
        <v>117</v>
      </c>
      <c r="B219" s="193">
        <f>'Données projet'!D202</f>
        <v>36</v>
      </c>
      <c r="C219" s="354">
        <v>50</v>
      </c>
      <c r="D219" s="191">
        <f t="shared" si="12"/>
        <v>1800</v>
      </c>
      <c r="E219" s="206">
        <v>150</v>
      </c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ht="15" thickBot="1" x14ac:dyDescent="0.4">
      <c r="A220" s="192">
        <f>'Données projet'!A203</f>
        <v>129</v>
      </c>
      <c r="B220" s="193">
        <f>'Données projet'!D203</f>
        <v>269.60000000000002</v>
      </c>
      <c r="C220" s="354">
        <v>50</v>
      </c>
      <c r="D220" s="191">
        <f t="shared" si="12"/>
        <v>13480.000000000002</v>
      </c>
      <c r="E220" s="206">
        <v>150</v>
      </c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5">
      <c r="A231" s="49" t="s">
        <v>172</v>
      </c>
      <c r="B231" s="186" t="str">
        <f>IF('Données projet'!$B$16="","",'Données projet'!$B$16)</f>
        <v>Eucalyptus</v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ht="15" thickBot="1" x14ac:dyDescent="0.4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ht="15" thickBot="1" x14ac:dyDescent="0.4">
      <c r="A240" s="192">
        <f>'Données projet'!A218</f>
        <v>15</v>
      </c>
      <c r="B240" s="193">
        <f>'Données projet'!D218</f>
        <v>11</v>
      </c>
      <c r="C240" s="353">
        <v>10</v>
      </c>
      <c r="D240" s="191">
        <f>B240*C240</f>
        <v>110</v>
      </c>
      <c r="E240" s="206">
        <v>150</v>
      </c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ht="15" thickBot="1" x14ac:dyDescent="0.4">
      <c r="A241" s="192">
        <f>'Données projet'!A219</f>
        <v>25</v>
      </c>
      <c r="B241" s="193">
        <f>'Données projet'!D219</f>
        <v>20</v>
      </c>
      <c r="C241" s="354">
        <v>10</v>
      </c>
      <c r="D241" s="191">
        <f t="shared" ref="D241:D259" si="13">B241*C241</f>
        <v>200</v>
      </c>
      <c r="E241" s="206">
        <v>150</v>
      </c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ht="15" thickBot="1" x14ac:dyDescent="0.4">
      <c r="A242" s="192">
        <f>'Données projet'!A220</f>
        <v>35</v>
      </c>
      <c r="B242" s="193">
        <f>'Données projet'!D220</f>
        <v>30</v>
      </c>
      <c r="C242" s="354">
        <v>15</v>
      </c>
      <c r="D242" s="191">
        <f t="shared" si="13"/>
        <v>450</v>
      </c>
      <c r="E242" s="206">
        <v>150</v>
      </c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ht="15" thickBot="1" x14ac:dyDescent="0.4">
      <c r="A243" s="192">
        <f>'Données projet'!A221</f>
        <v>45</v>
      </c>
      <c r="B243" s="193">
        <f>'Données projet'!D221</f>
        <v>41</v>
      </c>
      <c r="C243" s="354">
        <v>15</v>
      </c>
      <c r="D243" s="191">
        <f t="shared" si="13"/>
        <v>615</v>
      </c>
      <c r="E243" s="206">
        <v>150</v>
      </c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ht="15" thickBot="1" x14ac:dyDescent="0.4">
      <c r="A244" s="192">
        <f>'Données projet'!A222</f>
        <v>55</v>
      </c>
      <c r="B244" s="193">
        <f>'Données projet'!D222</f>
        <v>314</v>
      </c>
      <c r="C244" s="354">
        <v>50</v>
      </c>
      <c r="D244" s="191">
        <f t="shared" si="13"/>
        <v>15700</v>
      </c>
      <c r="E244" s="206">
        <v>150</v>
      </c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5">
      <c r="A262" s="49" t="s">
        <v>173</v>
      </c>
      <c r="B262" s="186" t="str">
        <f>IF('Données projet'!$B$17="","",'Données projet'!$B$17)</f>
        <v>Tilleul</v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ht="15" thickBot="1" x14ac:dyDescent="0.4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ht="15" thickBot="1" x14ac:dyDescent="0.4">
      <c r="A271" s="192">
        <f>'Données projet'!A244</f>
        <v>15</v>
      </c>
      <c r="B271" s="193">
        <f>'Données projet'!D244</f>
        <v>20</v>
      </c>
      <c r="C271" s="353">
        <v>10</v>
      </c>
      <c r="D271" s="191">
        <f>B271*C271</f>
        <v>200</v>
      </c>
      <c r="E271" s="206">
        <v>150</v>
      </c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ht="15" thickBot="1" x14ac:dyDescent="0.4">
      <c r="A272" s="192">
        <f>'Données projet'!A245</f>
        <v>25</v>
      </c>
      <c r="B272" s="193">
        <f>'Données projet'!D245</f>
        <v>25</v>
      </c>
      <c r="C272" s="354">
        <v>10</v>
      </c>
      <c r="D272" s="191">
        <f t="shared" ref="D272:D290" si="14">B272*C272</f>
        <v>250</v>
      </c>
      <c r="E272" s="206">
        <v>150</v>
      </c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ht="15" thickBot="1" x14ac:dyDescent="0.4">
      <c r="A273" s="192">
        <f>'Données projet'!A246</f>
        <v>35</v>
      </c>
      <c r="B273" s="193">
        <f>'Données projet'!D246</f>
        <v>37</v>
      </c>
      <c r="C273" s="354">
        <v>15</v>
      </c>
      <c r="D273" s="191">
        <f t="shared" si="14"/>
        <v>555</v>
      </c>
      <c r="E273" s="206">
        <v>150</v>
      </c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ht="15" thickBot="1" x14ac:dyDescent="0.4">
      <c r="A274" s="192">
        <f>'Données projet'!A247</f>
        <v>45</v>
      </c>
      <c r="B274" s="193">
        <f>'Données projet'!D247</f>
        <v>51</v>
      </c>
      <c r="C274" s="354">
        <v>15</v>
      </c>
      <c r="D274" s="191">
        <f t="shared" si="14"/>
        <v>765</v>
      </c>
      <c r="E274" s="206">
        <v>150</v>
      </c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ht="15" thickBot="1" x14ac:dyDescent="0.4">
      <c r="A275" s="192">
        <f>'Données projet'!A248</f>
        <v>55</v>
      </c>
      <c r="B275" s="193">
        <f>'Données projet'!D248</f>
        <v>388</v>
      </c>
      <c r="C275" s="354">
        <v>50</v>
      </c>
      <c r="D275" s="191">
        <f t="shared" si="14"/>
        <v>19400</v>
      </c>
      <c r="E275" s="206">
        <v>150</v>
      </c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LINK Alexia</cp:lastModifiedBy>
  <dcterms:created xsi:type="dcterms:W3CDTF">2021-02-01T08:22:39Z</dcterms:created>
  <dcterms:modified xsi:type="dcterms:W3CDTF">2023-05-17T10:20:22Z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d26f538-337a-4593-a7e6-123667b1a538_Enabled">
    <vt:lpwstr>true</vt:lpwstr>
  </property>
  <property fmtid="{D5CDD505-2E9C-101B-9397-08002B2CF9AE}" pid="3" name="MSIP_Label_2d26f538-337a-4593-a7e6-123667b1a538_SetDate">
    <vt:lpwstr>2023-05-17T09:54:57Z</vt:lpwstr>
  </property>
  <property fmtid="{D5CDD505-2E9C-101B-9397-08002B2CF9AE}" pid="4" name="MSIP_Label_2d26f538-337a-4593-a7e6-123667b1a538_Method">
    <vt:lpwstr>Standard</vt:lpwstr>
  </property>
  <property fmtid="{D5CDD505-2E9C-101B-9397-08002B2CF9AE}" pid="5" name="MSIP_Label_2d26f538-337a-4593-a7e6-123667b1a538_Name">
    <vt:lpwstr>C1 Interne</vt:lpwstr>
  </property>
  <property fmtid="{D5CDD505-2E9C-101B-9397-08002B2CF9AE}" pid="6" name="MSIP_Label_2d26f538-337a-4593-a7e6-123667b1a538_SiteId">
    <vt:lpwstr>e242425b-70fc-44dc-9ddf-c21e304e6c80</vt:lpwstr>
  </property>
  <property fmtid="{D5CDD505-2E9C-101B-9397-08002B2CF9AE}" pid="7" name="MSIP_Label_2d26f538-337a-4593-a7e6-123667b1a538_ActionId">
    <vt:lpwstr>037550a0-fd88-4b86-b0f3-4b4e44966680</vt:lpwstr>
  </property>
  <property fmtid="{D5CDD505-2E9C-101B-9397-08002B2CF9AE}" pid="8" name="MSIP_Label_2d26f538-337a-4593-a7e6-123667b1a538_ContentBits">
    <vt:lpwstr>0</vt:lpwstr>
  </property>
</Properties>
</file>