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04_PROJETS/BAREL Anthony/Soudan_44_Jary_16,14(Barel)/02_Dossier LBC déposé/"/>
    </mc:Choice>
  </mc:AlternateContent>
  <xr:revisionPtr revIDLastSave="53" documentId="8_{D652E32B-E5A4-476A-9B5D-B2228579A2B5}" xr6:coauthVersionLast="47" xr6:coauthVersionMax="47" xr10:uidLastSave="{ACBCBE19-12D3-42B7-8963-4875E5BE235E}"/>
  <bookViews>
    <workbookView minimized="1" xWindow="3375" yWindow="-11370" windowWidth="14400" windowHeight="808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12" i="1"/>
  <c r="E11" i="1"/>
  <c r="E10" i="1"/>
  <c r="E9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BR4" i="2"/>
  <c r="EA4" i="2"/>
  <c r="FQ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HH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V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EW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H20" i="2"/>
  <c r="EC20" i="2"/>
  <c r="HG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W22" i="2"/>
  <c r="HH22" i="2"/>
  <c r="HG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V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HH35" i="2"/>
  <c r="EA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W38" i="2"/>
  <c r="HH38" i="2"/>
  <c r="HG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G43" i="2"/>
  <c r="D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I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EC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EA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B78" i="2"/>
  <c r="EC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C107" i="2"/>
  <c r="HG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HI112" i="2"/>
  <c r="FQ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EW113" i="2"/>
  <c r="FS113" i="2"/>
  <c r="HG113" i="2"/>
  <c r="HI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EX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EW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FS128" i="2"/>
  <c r="EX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I130" i="2"/>
  <c r="FS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W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G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FS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HH145" i="2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HH150" i="2"/>
  <c r="FS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H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EX155" i="2"/>
  <c r="EA155" i="2"/>
  <c r="ED154" i="2"/>
  <c r="DI154" i="2"/>
  <c r="AC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X156" i="2" l="1"/>
  <c r="FS156" i="2"/>
  <c r="DH156" i="2"/>
  <c r="EB156" i="2"/>
  <c r="HH156" i="2"/>
  <c r="A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HH157" i="2"/>
  <c r="HG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D159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EB161" i="2"/>
  <c r="EX161" i="2"/>
  <c r="A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DI161" i="2"/>
  <c r="EB162" i="2"/>
  <c r="EC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A163" i="2"/>
  <c r="HI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X164" i="2"/>
  <c r="ED163" i="2"/>
  <c r="DI163" i="2"/>
  <c r="DH164" i="2"/>
  <c r="HG164" i="2"/>
  <c r="EA164" i="2"/>
  <c r="HH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A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C167" i="2"/>
  <c r="EA167" i="2"/>
  <c r="EB167" i="2"/>
  <c r="DG167" i="2"/>
  <c r="HI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C168" i="2"/>
  <c r="DG168" i="2"/>
  <c r="DI167" i="2"/>
  <c r="HI168" i="2"/>
  <c r="HH168" i="2"/>
  <c r="EW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EA169" i="2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D171" i="2"/>
  <c r="HI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D172" i="2"/>
  <c r="EB173" i="2"/>
  <c r="HH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W175" i="2"/>
  <c r="FS175" i="2"/>
  <c r="EB175" i="2"/>
  <c r="AA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EW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EA178" i="2"/>
  <c r="FQ178" i="2"/>
  <c r="FS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B183" i="2"/>
  <c r="ED182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W185" i="2"/>
  <c r="EB185" i="2"/>
  <c r="HH185" i="2"/>
  <c r="HG185" i="2"/>
  <c r="HI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FR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HH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HH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I192" i="2"/>
  <c r="EW192" i="2"/>
  <c r="EV192" i="2"/>
  <c r="EC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X193" i="2"/>
  <c r="ED192" i="2"/>
  <c r="DI192" i="2"/>
  <c r="FQ193" i="2"/>
  <c r="EB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X195" i="2" l="1"/>
  <c r="EY194" i="2"/>
  <c r="ED194" i="2"/>
  <c r="DH195" i="2"/>
  <c r="EB195" i="2"/>
  <c r="AA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AA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D197" i="2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EY198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A201" i="2" l="1"/>
  <c r="ED200" i="2"/>
  <c r="EB201" i="2"/>
  <c r="DI200" i="2"/>
  <c r="FS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W202" i="2" l="1"/>
  <c r="EX202" i="2"/>
  <c r="FZ6" i="2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59" i="2" a="1"/>
  <c r="FD59" i="2" s="1"/>
  <c r="BC34" i="2" a="1"/>
  <c r="BC34" i="2" s="1"/>
  <c r="BC126" i="2" a="1"/>
  <c r="BC126" i="2" s="1"/>
  <c r="BC114" i="2" a="1"/>
  <c r="BC114" i="2" s="1"/>
  <c r="BC65" i="2" a="1"/>
  <c r="BC65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52" i="2" a="1"/>
  <c r="DN152" i="2" s="1"/>
  <c r="EI195" i="2" a="1"/>
  <c r="EI195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43" i="2" a="1"/>
  <c r="FD43" i="2" s="1"/>
  <c r="FD131" i="2" a="1"/>
  <c r="FD131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6" i="2" a="1"/>
  <c r="DN6" i="2" s="1"/>
  <c r="DO6" i="2" s="1"/>
  <c r="HJ202" i="2"/>
  <c r="EY202" i="2"/>
  <c r="AX200" i="2"/>
  <c r="CS72" i="2" l="1" a="1"/>
  <c r="CS72" i="2" s="1"/>
  <c r="AH163" i="2" a="1"/>
  <c r="AH163" i="2" s="1"/>
  <c r="AH62" i="2" a="1"/>
  <c r="AH62" i="2" s="1"/>
  <c r="AH19" i="2" a="1"/>
  <c r="AH19" i="2" s="1"/>
  <c r="DN31" i="2" a="1"/>
  <c r="DN31" i="2" s="1"/>
  <c r="DN168" i="2" a="1"/>
  <c r="DN168" i="2" s="1"/>
  <c r="DN66" i="2" a="1"/>
  <c r="DN66" i="2" s="1"/>
  <c r="CS114" i="2" a="1"/>
  <c r="CS114" i="2" s="1"/>
  <c r="CS56" i="2" a="1"/>
  <c r="CS56" i="2" s="1"/>
  <c r="CS38" i="2" a="1"/>
  <c r="CS38" i="2" s="1"/>
  <c r="CS77" i="2" a="1"/>
  <c r="CS77" i="2" s="1"/>
  <c r="CS134" i="2" a="1"/>
  <c r="CS134" i="2" s="1"/>
  <c r="CS116" i="2" a="1"/>
  <c r="CS116" i="2" s="1"/>
  <c r="CS24" i="2" a="1"/>
  <c r="CS24" i="2" s="1"/>
  <c r="CS120" i="2" a="1"/>
  <c r="CS120" i="2" s="1"/>
  <c r="BC83" i="2" a="1"/>
  <c r="BC83" i="2" s="1"/>
  <c r="BC7" i="2" a="1"/>
  <c r="BC7" i="2" s="1"/>
  <c r="BC151" i="2" a="1"/>
  <c r="BC151" i="2" s="1"/>
  <c r="BC185" i="2" a="1"/>
  <c r="BC185" i="2" s="1"/>
  <c r="AH90" i="2" a="1"/>
  <c r="AH90" i="2" s="1"/>
  <c r="AH151" i="2" a="1"/>
  <c r="AH151" i="2" s="1"/>
  <c r="DN188" i="2" a="1"/>
  <c r="DN188" i="2" s="1"/>
  <c r="DN16" i="2" a="1"/>
  <c r="DN16" i="2" s="1"/>
  <c r="FY115" i="2" a="1"/>
  <c r="FY115" i="2" s="1"/>
  <c r="FY34" i="2" a="1"/>
  <c r="FY34" i="2" s="1"/>
  <c r="FY109" i="2" a="1"/>
  <c r="FY109" i="2" s="1"/>
  <c r="DN114" i="2" a="1"/>
  <c r="DN114" i="2" s="1"/>
  <c r="DN43" i="2" a="1"/>
  <c r="DN43" i="2" s="1"/>
  <c r="FY164" i="2" a="1"/>
  <c r="FY164" i="2" s="1"/>
  <c r="FY159" i="2" a="1"/>
  <c r="FY159" i="2" s="1"/>
  <c r="FY79" i="2" a="1"/>
  <c r="FY79" i="2" s="1"/>
  <c r="DN49" i="2" a="1"/>
  <c r="DN49" i="2" s="1"/>
  <c r="BC143" i="2" a="1"/>
  <c r="BC143" i="2" s="1"/>
  <c r="DN103" i="2" a="1"/>
  <c r="DN103" i="2" s="1"/>
  <c r="BC82" i="2" a="1"/>
  <c r="BC82" i="2" s="1"/>
  <c r="FY28" i="2" a="1"/>
  <c r="FY28" i="2" s="1"/>
  <c r="FY29" i="2" a="1"/>
  <c r="FY29" i="2" s="1"/>
  <c r="DN176" i="2" a="1"/>
  <c r="DN176" i="2" s="1"/>
  <c r="DN153" i="2" a="1"/>
  <c r="DN153" i="2" s="1"/>
  <c r="BC47" i="2" a="1"/>
  <c r="BC47" i="2" s="1"/>
  <c r="FY78" i="2" a="1"/>
  <c r="FY78" i="2" s="1"/>
  <c r="FY35" i="2" a="1"/>
  <c r="FY35" i="2" s="1"/>
  <c r="FR203" i="2"/>
  <c r="DN187" i="2" a="1"/>
  <c r="DN187" i="2" s="1"/>
  <c r="DN190" i="2" a="1"/>
  <c r="DN190" i="2" s="1"/>
  <c r="DN135" i="2" a="1"/>
  <c r="DN135" i="2" s="1"/>
  <c r="BC84" i="2" a="1"/>
  <c r="BC84" i="2" s="1"/>
  <c r="FD107" i="2" a="1"/>
  <c r="FD107" i="2" s="1"/>
  <c r="FY167" i="2" a="1"/>
  <c r="FY167" i="2" s="1"/>
  <c r="CS105" i="2" a="1"/>
  <c r="CS105" i="2" s="1"/>
  <c r="CS137" i="2" a="1"/>
  <c r="CS137" i="2" s="1"/>
  <c r="DN170" i="2" a="1"/>
  <c r="DN170" i="2" s="1"/>
  <c r="CS129" i="2" a="1"/>
  <c r="CS129" i="2" s="1"/>
  <c r="BC68" i="2" a="1"/>
  <c r="BC68" i="2" s="1"/>
  <c r="FY124" i="2" a="1"/>
  <c r="FY124" i="2" s="1"/>
  <c r="FY174" i="2" a="1"/>
  <c r="FY174" i="2" s="1"/>
  <c r="FY110" i="2" a="1"/>
  <c r="FY110" i="2" s="1"/>
  <c r="FY165" i="2" a="1"/>
  <c r="FY165" i="2" s="1"/>
  <c r="HG203" i="2"/>
  <c r="DN167" i="2" a="1"/>
  <c r="DN167" i="2" s="1"/>
  <c r="DN30" i="2" a="1"/>
  <c r="DN30" i="2" s="1"/>
  <c r="DN41" i="2" a="1"/>
  <c r="DN41" i="2" s="1"/>
  <c r="FY133" i="2" a="1"/>
  <c r="FY133" i="2" s="1"/>
  <c r="DN46" i="2" a="1"/>
  <c r="DN46" i="2" s="1"/>
  <c r="DN162" i="2" a="1"/>
  <c r="DN162" i="2" s="1"/>
  <c r="FY86" i="2" a="1"/>
  <c r="FY86" i="2" s="1"/>
  <c r="DN177" i="2" a="1"/>
  <c r="DN177" i="2" s="1"/>
  <c r="FY188" i="2" a="1"/>
  <c r="FY188" i="2" s="1"/>
  <c r="FY140" i="2" a="1"/>
  <c r="FY140" i="2" s="1"/>
  <c r="FY58" i="2" a="1"/>
  <c r="FY58" i="2" s="1"/>
  <c r="DN115" i="2" a="1"/>
  <c r="DN115" i="2" s="1"/>
  <c r="DN186" i="2" a="1"/>
  <c r="DN186" i="2" s="1"/>
  <c r="FY149" i="2" a="1"/>
  <c r="FY149" i="2" s="1"/>
  <c r="FY143" i="2" a="1"/>
  <c r="FY143" i="2" s="1"/>
  <c r="FY47" i="2" a="1"/>
  <c r="FY47" i="2" s="1"/>
  <c r="HH203" i="2"/>
  <c r="DN164" i="2" a="1"/>
  <c r="DN164" i="2" s="1"/>
  <c r="BC31" i="2" a="1"/>
  <c r="BC31" i="2" s="1"/>
  <c r="FY121" i="2" a="1"/>
  <c r="FY121" i="2" s="1"/>
  <c r="DN137" i="2" a="1"/>
  <c r="DN137" i="2" s="1"/>
  <c r="FY24" i="2" a="1"/>
  <c r="FY24" i="2" s="1"/>
  <c r="FY191" i="2" a="1"/>
  <c r="FY191" i="2" s="1"/>
  <c r="FD82" i="2" a="1"/>
  <c r="FD82" i="2" s="1"/>
  <c r="DN133" i="2" a="1"/>
  <c r="DN133" i="2" s="1"/>
  <c r="DN38" i="2" a="1"/>
  <c r="DN38" i="2" s="1"/>
  <c r="BC32" i="2" a="1"/>
  <c r="BC32" i="2" s="1"/>
  <c r="FD167" i="2" a="1"/>
  <c r="FD167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BC58" i="2" a="1"/>
  <c r="BC58" i="2" s="1"/>
  <c r="FY169" i="2" a="1"/>
  <c r="FY169" i="2" s="1"/>
  <c r="FY99" i="2" a="1"/>
  <c r="FY99" i="2" s="1"/>
  <c r="FY153" i="2" a="1"/>
  <c r="FY153" i="2" s="1"/>
  <c r="FY146" i="2" a="1"/>
  <c r="FY146" i="2" s="1"/>
  <c r="DN29" i="2" a="1"/>
  <c r="DN29" i="2" s="1"/>
  <c r="FY173" i="2" a="1"/>
  <c r="FY173" i="2" s="1"/>
  <c r="BX107" i="2" a="1"/>
  <c r="BX107" i="2" s="1"/>
  <c r="FY80" i="2" a="1"/>
  <c r="FY80" i="2" s="1"/>
  <c r="DN50" i="2" a="1"/>
  <c r="DN50" i="2" s="1"/>
  <c r="FY116" i="2" a="1"/>
  <c r="FY116" i="2" s="1"/>
  <c r="BC192" i="2" a="1"/>
  <c r="BC192" i="2" s="1"/>
  <c r="FY30" i="2" a="1"/>
  <c r="FY30" i="2" s="1"/>
  <c r="DN113" i="2" a="1"/>
  <c r="DN113" i="2" s="1"/>
  <c r="FY92" i="2" a="1"/>
  <c r="FY92" i="2" s="1"/>
  <c r="FY22" i="2" a="1"/>
  <c r="FY22" i="2" s="1"/>
  <c r="DN45" i="2" a="1"/>
  <c r="DN45" i="2" s="1"/>
  <c r="DN80" i="2" a="1"/>
  <c r="DN80" i="2" s="1"/>
  <c r="BC18" i="2" a="1"/>
  <c r="BC18" i="2" s="1"/>
  <c r="BC55" i="2" a="1"/>
  <c r="BC55" i="2" s="1"/>
  <c r="FD64" i="2" a="1"/>
  <c r="FD64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DN132" i="2" a="1"/>
  <c r="DN132" i="2" s="1"/>
  <c r="DN86" i="2" a="1"/>
  <c r="DN86" i="2" s="1"/>
  <c r="FY126" i="2" a="1"/>
  <c r="FY126" i="2" s="1"/>
  <c r="DN65" i="2" a="1"/>
  <c r="DN65" i="2" s="1"/>
  <c r="DN124" i="2" a="1"/>
  <c r="DN124" i="2" s="1"/>
  <c r="FY62" i="2" a="1"/>
  <c r="FY62" i="2" s="1"/>
  <c r="FY102" i="2" a="1"/>
  <c r="FY102" i="2" s="1"/>
  <c r="FY32" i="2" a="1"/>
  <c r="FY32" i="2" s="1"/>
  <c r="DN70" i="2" a="1"/>
  <c r="DN70" i="2" s="1"/>
  <c r="DN63" i="2" a="1"/>
  <c r="DN63" i="2" s="1"/>
  <c r="FY190" i="2" a="1"/>
  <c r="FY190" i="2" s="1"/>
  <c r="FY69" i="2" a="1"/>
  <c r="FY69" i="2" s="1"/>
  <c r="DN55" i="2" a="1"/>
  <c r="DN55" i="2" s="1"/>
  <c r="DN110" i="2" a="1"/>
  <c r="DN110" i="2" s="1"/>
  <c r="CS185" i="2" a="1"/>
  <c r="CS185" i="2" s="1"/>
  <c r="BC38" i="2" a="1"/>
  <c r="BC38" i="2" s="1"/>
  <c r="BC130" i="2" a="1"/>
  <c r="BC130" i="2" s="1"/>
  <c r="FD189" i="2" a="1"/>
  <c r="FD189" i="2" s="1"/>
  <c r="FY196" i="2" a="1"/>
  <c r="FY196" i="2" s="1"/>
  <c r="AH166" i="2" a="1"/>
  <c r="AH166" i="2" s="1"/>
  <c r="DN192" i="2" a="1"/>
  <c r="DN192" i="2" s="1"/>
  <c r="DN184" i="2" a="1"/>
  <c r="DN184" i="2" s="1"/>
  <c r="BC117" i="2" a="1"/>
  <c r="BC117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DI203" i="2"/>
  <c r="ED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AN32" i="2" l="1"/>
  <c r="AN29" i="2"/>
  <c r="AN192" i="2"/>
  <c r="AN121" i="2"/>
  <c r="AN100" i="2"/>
  <c r="AN144" i="2"/>
  <c r="AN183" i="2"/>
  <c r="AN25" i="2"/>
  <c r="AN118" i="2"/>
  <c r="AN92" i="2"/>
  <c r="AN79" i="2"/>
  <c r="AN88" i="2"/>
  <c r="AN182" i="2"/>
  <c r="AN27" i="2"/>
  <c r="AN143" i="2"/>
  <c r="AN30" i="2"/>
  <c r="AN6" i="2"/>
  <c r="AN153" i="2"/>
  <c r="AN80" i="2"/>
  <c r="AN148" i="2"/>
  <c r="AN172" i="2"/>
  <c r="AN36" i="2"/>
  <c r="AN107" i="2"/>
  <c r="AN34" i="2"/>
  <c r="AN19" i="2"/>
  <c r="AN105" i="2"/>
  <c r="AN113" i="2"/>
  <c r="AN55" i="2"/>
  <c r="AN186" i="2"/>
  <c r="AN53" i="2"/>
  <c r="AN97" i="2"/>
  <c r="AN116" i="2"/>
  <c r="AN173" i="2"/>
  <c r="AN54" i="2"/>
  <c r="AN78" i="2"/>
  <c r="AN101" i="2"/>
  <c r="AN75" i="2"/>
  <c r="AN70" i="2"/>
  <c r="AN40" i="2"/>
  <c r="AN203" i="2"/>
  <c r="AN48" i="2"/>
  <c r="AN120" i="2"/>
  <c r="AN17" i="2"/>
  <c r="AN199" i="2"/>
  <c r="AN129" i="2"/>
  <c r="AN83" i="2"/>
  <c r="AN86" i="2"/>
  <c r="AN185" i="2"/>
  <c r="AN69" i="2"/>
  <c r="AN169" i="2"/>
  <c r="AN147" i="2"/>
  <c r="AN31" i="2"/>
  <c r="AN194" i="2"/>
  <c r="AN131" i="2"/>
  <c r="AN155" i="2"/>
  <c r="AN14" i="2"/>
  <c r="AN180" i="2"/>
  <c r="AN134" i="2"/>
  <c r="AN151" i="2"/>
  <c r="AN114" i="2"/>
  <c r="AN60" i="2"/>
  <c r="AN20" i="2"/>
  <c r="AN45" i="2"/>
  <c r="AN164" i="2"/>
  <c r="AN66" i="2"/>
  <c r="AN165" i="2"/>
  <c r="AN122" i="2"/>
  <c r="AN111" i="2"/>
  <c r="AN179" i="2"/>
  <c r="AN87" i="2"/>
  <c r="AN57" i="2"/>
  <c r="AN135" i="2"/>
  <c r="AN42" i="2"/>
  <c r="AN46" i="2"/>
  <c r="AN73" i="2"/>
  <c r="AN110" i="2"/>
  <c r="AN177" i="2"/>
  <c r="AN123" i="2"/>
  <c r="AN168" i="2"/>
  <c r="AN11" i="2"/>
  <c r="AN74" i="2"/>
  <c r="AN140" i="2"/>
  <c r="AN44" i="2"/>
  <c r="AN161" i="2"/>
  <c r="AN126" i="2"/>
  <c r="AN9" i="2"/>
  <c r="AN3" i="2"/>
  <c r="C7" i="4" s="1"/>
  <c r="E7" i="4" s="1"/>
  <c r="F7" i="4" s="1"/>
  <c r="G7" i="4" s="1"/>
  <c r="L7" i="4" s="1"/>
  <c r="AN181" i="2"/>
  <c r="AN193" i="2"/>
  <c r="AN201" i="2"/>
  <c r="AN150" i="2"/>
  <c r="AN152" i="2"/>
  <c r="AN4" i="2"/>
  <c r="AN108" i="2"/>
  <c r="AN184" i="2"/>
  <c r="AN160" i="2"/>
  <c r="AN13" i="2"/>
  <c r="AN175" i="2"/>
  <c r="AN159" i="2"/>
  <c r="AN128" i="2"/>
  <c r="AN23" i="2"/>
  <c r="AN167" i="2"/>
  <c r="AN39" i="2"/>
  <c r="AN95" i="2"/>
  <c r="AN81" i="2"/>
  <c r="AN52" i="2"/>
  <c r="AN198" i="2"/>
  <c r="AN130" i="2"/>
  <c r="AN141" i="2"/>
  <c r="AN93" i="2"/>
  <c r="AN104" i="2"/>
  <c r="AN124" i="2"/>
  <c r="AN202" i="2"/>
  <c r="AN82" i="2"/>
  <c r="AN63" i="2"/>
  <c r="AN132" i="2"/>
  <c r="AN24" i="2"/>
  <c r="AN76" i="2"/>
  <c r="AN99" i="2"/>
  <c r="AN146" i="2"/>
  <c r="AN94" i="2"/>
  <c r="AN85" i="2"/>
  <c r="AN187" i="2"/>
  <c r="AN65" i="2"/>
  <c r="AN38" i="2"/>
  <c r="AN61" i="2"/>
  <c r="AN59" i="2"/>
  <c r="AN103" i="2"/>
  <c r="AN176" i="2"/>
  <c r="AN166" i="2"/>
  <c r="AN178" i="2"/>
  <c r="AN127" i="2"/>
  <c r="AN125" i="2"/>
  <c r="AN67" i="2"/>
  <c r="AN15" i="2"/>
  <c r="AN8" i="2"/>
  <c r="AN136" i="2"/>
  <c r="AN112" i="2"/>
  <c r="AN37" i="2"/>
  <c r="AN157" i="2"/>
  <c r="AN84" i="2"/>
  <c r="AN119" i="2"/>
  <c r="AN58" i="2"/>
  <c r="AN35" i="2"/>
  <c r="AN158" i="2"/>
  <c r="AN47" i="2"/>
  <c r="AN64" i="2"/>
  <c r="AN191" i="2"/>
  <c r="AN28" i="2"/>
  <c r="AN50" i="2"/>
  <c r="AN106" i="2"/>
  <c r="AN98" i="2"/>
  <c r="AN189" i="2"/>
  <c r="AN22" i="2"/>
  <c r="AN174" i="2"/>
  <c r="AN171" i="2"/>
  <c r="AN68" i="2"/>
  <c r="AN7" i="2"/>
  <c r="AN62" i="2"/>
  <c r="AN117" i="2"/>
  <c r="AN5" i="2"/>
  <c r="AN115" i="2"/>
  <c r="AN196" i="2"/>
  <c r="AN10" i="2"/>
  <c r="AN109" i="2"/>
  <c r="AN149" i="2"/>
  <c r="AN137" i="2"/>
  <c r="AN89" i="2"/>
  <c r="AN26" i="2"/>
  <c r="AN72" i="2"/>
  <c r="AN77" i="2"/>
  <c r="AN188" i="2"/>
  <c r="AN139" i="2"/>
  <c r="AN56" i="2"/>
  <c r="AN102" i="2"/>
  <c r="AN33" i="2"/>
  <c r="AN163" i="2"/>
  <c r="AN138" i="2"/>
  <c r="AN145" i="2"/>
  <c r="AN16" i="2"/>
  <c r="AN51" i="2"/>
  <c r="AN197" i="2"/>
  <c r="AN41" i="2"/>
  <c r="AN18" i="2"/>
  <c r="AN96" i="2"/>
  <c r="AN90" i="2"/>
  <c r="AN195" i="2"/>
  <c r="AN21" i="2"/>
  <c r="AN49" i="2"/>
  <c r="AN12" i="2"/>
  <c r="AN133" i="2"/>
  <c r="AN154" i="2"/>
  <c r="AN43" i="2"/>
  <c r="AN162" i="2"/>
  <c r="AN91" i="2"/>
  <c r="AN156" i="2"/>
  <c r="AN190" i="2"/>
  <c r="AN170" i="2"/>
  <c r="AN142" i="2"/>
  <c r="AN200" i="2"/>
  <c r="AN71" i="2"/>
  <c r="FE170" i="2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<sst xmlns="http://schemas.openxmlformats.org/spreadsheetml/2006/main" count="1178" uniqueCount="325">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</sst>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2.6675160418488701</c:v>
                </c:pt>
                <c:pt idx="2">
                  <c:v>3.0797796475340888</c:v>
                </c:pt>
                <c:pt idx="3">
                  <c:v>3.5559878385050854</c:v>
                </c:pt>
                <c:pt idx="4">
                  <c:v>4.1060924309989639</c:v>
                </c:pt>
                <c:pt idx="5">
                  <c:v>4.7415989716746161</c:v>
                </c:pt>
                <c:pt idx="6">
                  <c:v>5.4758100289950429</c:v>
                </c:pt>
                <c:pt idx="7">
                  <c:v>6.3241066841717739</c:v>
                </c:pt>
                <c:pt idx="8">
                  <c:v>7.3042742344467291</c:v>
                </c:pt>
                <c:pt idx="9">
                  <c:v>8.4368790700879845</c:v>
                </c:pt>
                <c:pt idx="10">
                  <c:v>9.7457047850437757</c:v>
                </c:pt>
                <c:pt idx="11">
                  <c:v>11.258256853487337</c:v>
                </c:pt>
                <c:pt idx="12">
                  <c:v>13.006346678015461</c:v>
                </c:pt>
                <c:pt idx="13">
                  <c:v>15.026767521926386</c:v>
                </c:pt>
                <c:pt idx="14">
                  <c:v>17.362076814748239</c:v>
                </c:pt>
                <c:pt idx="15">
                  <c:v>20.06150160983681</c:v>
                </c:pt>
                <c:pt idx="16">
                  <c:v>23.181986625026479</c:v>
                </c:pt>
                <c:pt idx="17">
                  <c:v>26.789407369499227</c:v>
                </c:pt>
                <c:pt idx="18">
                  <c:v>30.959974418863357</c:v>
                </c:pt>
                <c:pt idx="19">
                  <c:v>35.781859023124703</c:v>
                </c:pt>
                <c:pt idx="20">
                  <c:v>41.357075008275459</c:v>
                </c:pt>
                <c:pt idx="21">
                  <c:v>47.803657465333458</c:v>
                </c:pt>
                <c:pt idx="22">
                  <c:v>55.258185131035383</c:v>
                </c:pt>
                <c:pt idx="23">
                  <c:v>63.878700791334211</c:v>
                </c:pt>
                <c:pt idx="24">
                  <c:v>73.848092643840616</c:v>
                </c:pt>
                <c:pt idx="25">
                  <c:v>85.37800952552827</c:v>
                </c:pt>
                <c:pt idx="26">
                  <c:v>98.71339446431891</c:v>
                </c:pt>
                <c:pt idx="27">
                  <c:v>114.13773439901051</c:v>
                </c:pt>
                <c:pt idx="28">
                  <c:v>131.9791394228651</c:v>
                </c:pt>
                <c:pt idx="29">
                  <c:v>152.61738287987308</c:v>
                </c:pt>
                <c:pt idx="30">
                  <c:v>176.49205447088363</c:v>
                </c:pt>
                <c:pt idx="31">
                  <c:v>186.95359711706033</c:v>
                </c:pt>
                <c:pt idx="32">
                  <c:v>197.40148207463395</c:v>
                </c:pt>
                <c:pt idx="33">
                  <c:v>207.83653473133492</c:v>
                </c:pt>
                <c:pt idx="34">
                  <c:v>218.25949073176866</c:v>
                </c:pt>
                <c:pt idx="35">
                  <c:v>228.67100964856897</c:v>
                </c:pt>
                <c:pt idx="36">
                  <c:v>239.07168602996975</c:v>
                </c:pt>
                <c:pt idx="37">
                  <c:v>249.46205842189795</c:v>
                </c:pt>
                <c:pt idx="38">
                  <c:v>259.8426168066029</c:v>
                </c:pt>
                <c:pt idx="39">
                  <c:v>270.21380878920627</c:v>
                </c:pt>
                <c:pt idx="40">
                  <c:v>280.57604478389567</c:v>
                </c:pt>
                <c:pt idx="41">
                  <c:v>290.92970239325638</c:v>
                </c:pt>
                <c:pt idx="42">
                  <c:v>301.27513013111576</c:v>
                </c:pt>
                <c:pt idx="43">
                  <c:v>311.61265060694552</c:v>
                </c:pt>
                <c:pt idx="44">
                  <c:v>321.94256326534446</c:v>
                </c:pt>
                <c:pt idx="45">
                  <c:v>210.01760539829328</c:v>
                </c:pt>
                <c:pt idx="46">
                  <c:v>223.3433746739031</c:v>
                </c:pt>
                <c:pt idx="47">
                  <c:v>236.65091661924077</c:v>
                </c:pt>
                <c:pt idx="48">
                  <c:v>249.94140096875267</c:v>
                </c:pt>
                <c:pt idx="49">
                  <c:v>263.21586282211655</c:v>
                </c:pt>
                <c:pt idx="50">
                  <c:v>276.47522429459542</c:v>
                </c:pt>
                <c:pt idx="51">
                  <c:v>289.72031179267179</c:v>
                </c:pt>
                <c:pt idx="52">
                  <c:v>228.87902042277122</c:v>
                </c:pt>
                <c:pt idx="53">
                  <c:v>241.33853237147972</c:v>
                </c:pt>
                <c:pt idx="54">
                  <c:v>253.78341018742489</c:v>
                </c:pt>
                <c:pt idx="55">
                  <c:v>266.21447290517364</c:v>
                </c:pt>
                <c:pt idx="56">
                  <c:v>278.63245677901716</c:v>
                </c:pt>
                <c:pt idx="57">
                  <c:v>291.03802704516664</c:v>
                </c:pt>
                <c:pt idx="58">
                  <c:v>303.43178757201281</c:v>
                </c:pt>
                <c:pt idx="59">
                  <c:v>315.81428885019949</c:v>
                </c:pt>
                <c:pt idx="60">
                  <c:v>251.78351312244976</c:v>
                </c:pt>
                <c:pt idx="61">
                  <c:v>263.34000449594265</c:v>
                </c:pt>
                <c:pt idx="62">
                  <c:v>274.88505676542917</c:v>
                </c:pt>
                <c:pt idx="63">
                  <c:v>286.41921831121891</c:v>
                </c:pt>
                <c:pt idx="64">
                  <c:v>297.94298971608151</c:v>
                </c:pt>
                <c:pt idx="65">
                  <c:v>309.45682965861977</c:v>
                </c:pt>
                <c:pt idx="66">
                  <c:v>320.96115988314858</c:v>
                </c:pt>
                <c:pt idx="67">
                  <c:v>332.45636941938818</c:v>
                </c:pt>
                <c:pt idx="68">
                  <c:v>281.50796218784762</c:v>
                </c:pt>
                <c:pt idx="69">
                  <c:v>292.545155837614</c:v>
                </c:pt>
                <c:pt idx="70">
                  <c:v>303.57305400018032</c:v>
                </c:pt>
                <c:pt idx="71">
                  <c:v>314.59204211276312</c:v>
                </c:pt>
                <c:pt idx="72">
                  <c:v>325.60247639377735</c:v>
                </c:pt>
                <c:pt idx="73">
                  <c:v>336.60468699221047</c:v>
                </c:pt>
                <c:pt idx="74">
                  <c:v>347.59898070352688</c:v>
                </c:pt>
                <c:pt idx="75">
                  <c:v>358.58564332386726</c:v>
                </c:pt>
                <c:pt idx="76">
                  <c:v>309.45579518663413</c:v>
                </c:pt>
                <c:pt idx="77">
                  <c:v>320.11097004984299</c:v>
                </c:pt>
                <c:pt idx="78">
                  <c:v>330.75829794599554</c:v>
                </c:pt>
                <c:pt idx="79">
                  <c:v>341.39806719991861</c:v>
                </c:pt>
                <c:pt idx="80">
                  <c:v>352.03054668974067</c:v>
                </c:pt>
                <c:pt idx="81">
                  <c:v>362.65598771889108</c:v>
                </c:pt>
                <c:pt idx="82">
                  <c:v>373.27462565717025</c:v>
                </c:pt>
                <c:pt idx="83">
                  <c:v>383.88668138527265</c:v>
                </c:pt>
                <c:pt idx="84">
                  <c:v>394.49236257119691</c:v>
                </c:pt>
                <c:pt idx="85">
                  <c:v>336.95058721961857</c:v>
                </c:pt>
                <c:pt idx="86">
                  <c:v>347.11556558587159</c:v>
                </c:pt>
                <c:pt idx="87">
                  <c:v>357.27401054854323</c:v>
                </c:pt>
                <c:pt idx="88">
                  <c:v>367.42613414859778</c:v>
                </c:pt>
                <c:pt idx="89">
                  <c:v>377.57213574794014</c:v>
                </c:pt>
                <c:pt idx="90">
                  <c:v>387.71220311524468</c:v>
                </c:pt>
                <c:pt idx="91">
                  <c:v>397.84651339222506</c:v>
                </c:pt>
                <c:pt idx="92">
                  <c:v>407.97523395628696</c:v>
                </c:pt>
                <c:pt idx="93">
                  <c:v>418.09852319302132</c:v>
                </c:pt>
                <c:pt idx="94">
                  <c:v>370.27809221654746</c:v>
                </c:pt>
                <c:pt idx="95">
                  <c:v>380.41787655047784</c:v>
                </c:pt>
                <c:pt idx="96">
                  <c:v>390.55178264624448</c:v>
                </c:pt>
                <c:pt idx="97">
                  <c:v>400.67998459146901</c:v>
                </c:pt>
                <c:pt idx="98">
                  <c:v>410.80264695148441</c:v>
                </c:pt>
                <c:pt idx="99">
                  <c:v>420.91992551704237</c:v>
                </c:pt>
                <c:pt idx="100">
                  <c:v>431.03196797636821</c:v>
                </c:pt>
                <c:pt idx="101">
                  <c:v>441.13891452085255</c:v>
                </c:pt>
                <c:pt idx="102">
                  <c:v>451.2408983923292</c:v>
                </c:pt>
                <c:pt idx="103">
                  <c:v>461.33804637878757</c:v>
                </c:pt>
                <c:pt idx="104">
                  <c:v>395.15912626693824</c:v>
                </c:pt>
                <c:pt idx="105">
                  <c:v>404.97257180631692</c:v>
                </c:pt>
                <c:pt idx="106">
                  <c:v>414.78087724967219</c:v>
                </c:pt>
                <c:pt idx="107">
                  <c:v>424.58418132465653</c:v>
                </c:pt>
                <c:pt idx="108">
                  <c:v>434.38261582791301</c:v>
                </c:pt>
                <c:pt idx="109">
                  <c:v>444.17630612325894</c:v>
                </c:pt>
                <c:pt idx="110">
                  <c:v>453.96537159363237</c:v>
                </c:pt>
                <c:pt idx="111">
                  <c:v>463.74992605201828</c:v>
                </c:pt>
                <c:pt idx="112">
                  <c:v>473.53007811588674</c:v>
                </c:pt>
                <c:pt idx="113">
                  <c:v>483.30593154907984</c:v>
                </c:pt>
                <c:pt idx="114">
                  <c:v>432.8155990693013</c:v>
                </c:pt>
                <c:pt idx="115">
                  <c:v>443.01444777265607</c:v>
                </c:pt>
                <c:pt idx="116">
                  <c:v>453.20826667532333</c:v>
                </c:pt>
                <c:pt idx="117">
                  <c:v>463.39718488359148</c:v>
                </c:pt>
                <c:pt idx="118">
                  <c:v>473.58132536211127</c:v>
                </c:pt>
                <c:pt idx="119">
                  <c:v>483.76080535467781</c:v>
                </c:pt>
                <c:pt idx="120">
                  <c:v>493.93573676774707</c:v>
                </c:pt>
                <c:pt idx="121">
                  <c:v>504.10622652070589</c:v>
                </c:pt>
                <c:pt idx="122">
                  <c:v>514.27237686640376</c:v>
                </c:pt>
                <c:pt idx="123">
                  <c:v>524.43428568501929</c:v>
                </c:pt>
                <c:pt idx="124">
                  <c:v>534.59204675396666</c:v>
                </c:pt>
                <c:pt idx="125">
                  <c:v>544.74574999622132</c:v>
                </c:pt>
                <c:pt idx="126">
                  <c:v>462.50915412595759</c:v>
                </c:pt>
                <c:pt idx="127">
                  <c:v>472.57480781864791</c:v>
                </c:pt>
                <c:pt idx="128">
                  <c:v>482.6358981589994</c:v>
                </c:pt>
                <c:pt idx="129">
                  <c:v>492.69253370091127</c:v>
                </c:pt>
                <c:pt idx="130">
                  <c:v>502.74481820472732</c:v>
                </c:pt>
                <c:pt idx="131">
                  <c:v>512.7928509425783</c:v>
                </c:pt>
                <c:pt idx="132">
                  <c:v>522.83672697854365</c:v>
                </c:pt>
                <c:pt idx="133">
                  <c:v>532.87653742616862</c:v>
                </c:pt>
                <c:pt idx="134">
                  <c:v>542.91236968556427</c:v>
                </c:pt>
                <c:pt idx="135">
                  <c:v>552.94430766206358</c:v>
                </c:pt>
                <c:pt idx="136">
                  <c:v>562.97243196818863</c:v>
                </c:pt>
                <c:pt idx="137">
                  <c:v>572.9968201104773</c:v>
                </c:pt>
                <c:pt idx="138">
                  <c:v>484.83750873596932</c:v>
                </c:pt>
                <c:pt idx="139">
                  <c:v>494.62796935081639</c:v>
                </c:pt>
                <c:pt idx="140">
                  <c:v>504.41432391708167</c:v>
                </c:pt>
                <c:pt idx="141">
                  <c:v>514.19666333944122</c:v>
                </c:pt>
                <c:pt idx="142">
                  <c:v>523.97507478125954</c:v>
                </c:pt>
                <c:pt idx="143">
                  <c:v>533.74964188701165</c:v>
                </c:pt>
                <c:pt idx="144">
                  <c:v>543.52044498756334</c:v>
                </c:pt>
                <c:pt idx="145">
                  <c:v>553.28756128992666</c:v>
                </c:pt>
                <c:pt idx="146">
                  <c:v>563.05106505291644</c:v>
                </c:pt>
                <c:pt idx="147">
                  <c:v>572.8110277499942</c:v>
                </c:pt>
                <c:pt idx="148">
                  <c:v>582.56751822043464</c:v>
                </c:pt>
                <c:pt idx="149">
                  <c:v>592.3206028098424</c:v>
                </c:pt>
                <c:pt idx="150">
                  <c:v>367.05615628788252</c:v>
                </c:pt>
                <c:pt idx="151">
                  <c:v>373.02531238000211</c:v>
                </c:pt>
                <c:pt idx="152">
                  <c:v>378.99238662296966</c:v>
                </c:pt>
                <c:pt idx="153">
                  <c:v>384.95741645192157</c:v>
                </c:pt>
                <c:pt idx="154">
                  <c:v>252.86690014923991</c:v>
                </c:pt>
                <c:pt idx="155">
                  <c:v>256.50755974111013</c:v>
                </c:pt>
                <c:pt idx="156">
                  <c:v>260.14705039921722</c:v>
                </c:pt>
                <c:pt idx="157">
                  <c:v>263.78539081889153</c:v>
                </c:pt>
                <c:pt idx="158">
                  <c:v>176.83468552294804</c:v>
                </c:pt>
                <c:pt idx="159">
                  <c:v>179.11325863950762</c:v>
                </c:pt>
                <c:pt idx="160">
                  <c:v>181.39115234734456</c:v>
                </c:pt>
                <c:pt idx="161">
                  <c:v>183.66837640937331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2.9770808019599735</c:v>
                </c:pt>
                <c:pt idx="2">
                  <c:v>3.4373570828714688</c:v>
                </c:pt>
                <c:pt idx="3">
                  <c:v>3.969049858352836</c:v>
                </c:pt>
                <c:pt idx="4">
                  <c:v>4.5832774414983648</c:v>
                </c:pt>
                <c:pt idx="5">
                  <c:v>5.2928945237969822</c:v>
                </c:pt>
                <c:pt idx="6">
                  <c:v>6.1127641431566362</c:v>
                </c:pt>
                <c:pt idx="7">
                  <c:v>7.0600723651439914</c:v>
                </c:pt>
                <c:pt idx="8">
                  <c:v>8.1546924022830094</c:v>
                </c:pt>
                <c:pt idx="9">
                  <c:v>9.4196059574262012</c:v>
                </c:pt>
                <c:pt idx="10">
                  <c:v>10.881390806178834</c:v>
                </c:pt>
                <c:pt idx="11">
                  <c:v>12.570785056701292</c:v>
                </c:pt>
                <c:pt idx="12">
                  <c:v>14.523340173738314</c:v>
                </c:pt>
                <c:pt idx="13">
                  <c:v>16.780176763115087</c:v>
                </c:pt>
                <c:pt idx="14">
                  <c:v>19.388859324553817</c:v>
                </c:pt>
                <c:pt idx="15">
                  <c:v>22.40440874242114</c:v>
                </c:pt>
                <c:pt idx="16">
                  <c:v>25.890474251448747</c:v>
                </c:pt>
                <c:pt idx="17">
                  <c:v>29.92069005192911</c:v>
                </c:pt>
                <c:pt idx="18">
                  <c:v>34.580245730952278</c:v>
                </c:pt>
                <c:pt idx="19">
                  <c:v>39.967704259345972</c:v>
                </c:pt>
                <c:pt idx="20">
                  <c:v>46.197106678273713</c:v>
                </c:pt>
                <c:pt idx="21">
                  <c:v>53.400408781022065</c:v>
                </c:pt>
                <c:pt idx="22">
                  <c:v>61.730302268911977</c:v>
                </c:pt>
                <c:pt idx="23">
                  <c:v>71.363481171441208</c:v>
                </c:pt>
                <c:pt idx="24">
                  <c:v>82.504423950448952</c:v>
                </c:pt>
                <c:pt idx="25">
                  <c:v>95.389772865783996</c:v>
                </c:pt>
                <c:pt idx="26">
                  <c:v>110.29340510848425</c:v>
                </c:pt>
                <c:pt idx="27">
                  <c:v>127.53230518830827</c:v>
                </c:pt>
                <c:pt idx="28">
                  <c:v>147.47336542186929</c:v>
                </c:pt>
                <c:pt idx="29">
                  <c:v>170.54126148381732</c:v>
                </c:pt>
                <c:pt idx="30">
                  <c:v>197.22757329492163</c:v>
                </c:pt>
                <c:pt idx="31">
                  <c:v>208.92142876180176</c:v>
                </c:pt>
                <c:pt idx="32">
                  <c:v>220.60017986363141</c:v>
                </c:pt>
                <c:pt idx="33">
                  <c:v>232.264739416477</c:v>
                </c:pt>
                <c:pt idx="34">
                  <c:v>243.91592098733301</c:v>
                </c:pt>
                <c:pt idx="35">
                  <c:v>255.55445401337798</c:v>
                </c:pt>
                <c:pt idx="36">
                  <c:v>267.18099601974819</c:v>
                </c:pt>
                <c:pt idx="37">
                  <c:v>278.79614259728777</c:v>
                </c:pt>
                <c:pt idx="38">
                  <c:v>290.4004356291054</c:v>
                </c:pt>
                <c:pt idx="39">
                  <c:v>301.99437013242931</c:v>
                </c:pt>
                <c:pt idx="40">
                  <c:v>313.57839999414279</c:v>
                </c:pt>
                <c:pt idx="41">
                  <c:v>325.15294281399184</c:v>
                </c:pt>
                <c:pt idx="42">
                  <c:v>336.71838402176826</c:v>
                </c:pt>
                <c:pt idx="43">
                  <c:v>348.27508039901596</c:v>
                </c:pt>
                <c:pt idx="44">
                  <c:v>359.82336310869147</c:v>
                </c:pt>
                <c:pt idx="45">
                  <c:v>234.70281254814427</c:v>
                </c:pt>
                <c:pt idx="46">
                  <c:v>249.59893217379951</c:v>
                </c:pt>
                <c:pt idx="47">
                  <c:v>264.47489375819822</c:v>
                </c:pt>
                <c:pt idx="48">
                  <c:v>279.33199093869058</c:v>
                </c:pt>
                <c:pt idx="49">
                  <c:v>294.17136845681017</c:v>
                </c:pt>
                <c:pt idx="50">
                  <c:v>308.99404610191897</c:v>
                </c:pt>
                <c:pt idx="51">
                  <c:v>323.80093781674623</c:v>
                </c:pt>
                <c:pt idx="52">
                  <c:v>255.78698052992738</c:v>
                </c:pt>
                <c:pt idx="53">
                  <c:v>269.71503855690486</c:v>
                </c:pt>
                <c:pt idx="54">
                  <c:v>283.62691234584025</c:v>
                </c:pt>
                <c:pt idx="55">
                  <c:v>297.52350768668458</c:v>
                </c:pt>
                <c:pt idx="56">
                  <c:v>311.40563882069802</c:v>
                </c:pt>
                <c:pt idx="57">
                  <c:v>325.27404144854546</c:v>
                </c:pt>
                <c:pt idx="58">
                  <c:v>339.12938340274769</c:v>
                </c:pt>
                <c:pt idx="59">
                  <c:v>352.97227348409729</c:v>
                </c:pt>
                <c:pt idx="60">
                  <c:v>281.39125702931875</c:v>
                </c:pt>
                <c:pt idx="61">
                  <c:v>294.31014596253618</c:v>
                </c:pt>
                <c:pt idx="62">
                  <c:v>307.2163841165638</c:v>
                </c:pt>
                <c:pt idx="63">
                  <c:v>320.11057795832443</c:v>
                </c:pt>
                <c:pt idx="64">
                  <c:v>332.99328109429655</c:v>
                </c:pt>
                <c:pt idx="65">
                  <c:v>345.86500078813629</c:v>
                </c:pt>
                <c:pt idx="66">
                  <c:v>358.72620345698607</c:v>
                </c:pt>
                <c:pt idx="67">
                  <c:v>371.57731933813437</c:v>
                </c:pt>
                <c:pt idx="68">
                  <c:v>314.62020332185165</c:v>
                </c:pt>
                <c:pt idx="69">
                  <c:v>326.95889671398453</c:v>
                </c:pt>
                <c:pt idx="70">
                  <c:v>339.28731000411216</c:v>
                </c:pt>
                <c:pt idx="71">
                  <c:v>351.60586945648743</c:v>
                </c:pt>
                <c:pt idx="72">
                  <c:v>363.9149690215898</c:v>
                </c:pt>
                <c:pt idx="73">
                  <c:v>376.21497381909467</c:v>
                </c:pt>
                <c:pt idx="74">
                  <c:v>388.50622314145625</c:v>
                </c:pt>
                <c:pt idx="75">
                  <c:v>400.78903305747446</c:v>
                </c:pt>
                <c:pt idx="76">
                  <c:v>345.86384431093734</c:v>
                </c:pt>
                <c:pt idx="77">
                  <c:v>357.77573460306729</c:v>
                </c:pt>
                <c:pt idx="78">
                  <c:v>369.67894674632447</c:v>
                </c:pt>
                <c:pt idx="79">
                  <c:v>381.57379960604271</c:v>
                </c:pt>
                <c:pt idx="80">
                  <c:v>393.46059054098606</c:v>
                </c:pt>
                <c:pt idx="81">
                  <c:v>405.33959747363838</c:v>
                </c:pt>
                <c:pt idx="82">
                  <c:v>417.21108070510104</c:v>
                </c:pt>
                <c:pt idx="83">
                  <c:v>429.07528451262601</c:v>
                </c:pt>
                <c:pt idx="84">
                  <c:v>440.93243856122854</c:v>
                </c:pt>
                <c:pt idx="85">
                  <c:v>376.60167716610619</c:v>
                </c:pt>
                <c:pt idx="86">
                  <c:v>387.96577939828467</c:v>
                </c:pt>
                <c:pt idx="87">
                  <c:v>399.32265618290847</c:v>
                </c:pt>
                <c:pt idx="88">
                  <c:v>410.67254202116061</c:v>
                </c:pt>
                <c:pt idx="89">
                  <c:v>422.01565739214857</c:v>
                </c:pt>
                <c:pt idx="90">
                  <c:v>433.35220995374738</c:v>
                </c:pt>
                <c:pt idx="91">
                  <c:v>444.6823956112226</c:v>
                </c:pt>
                <c:pt idx="92">
                  <c:v>456.00639947125768</c:v>
                </c:pt>
                <c:pt idx="93">
                  <c:v>467.32439669627183</c:v>
                </c:pt>
                <c:pt idx="94">
                  <c:v>413.86099161777793</c:v>
                </c:pt>
                <c:pt idx="95">
                  <c:v>425.19717647466877</c:v>
                </c:pt>
                <c:pt idx="96">
                  <c:v>436.52686044713772</c:v>
                </c:pt>
                <c:pt idx="97">
                  <c:v>447.85023606285631</c:v>
                </c:pt>
                <c:pt idx="98">
                  <c:v>459.16748531856956</c:v>
                </c:pt>
                <c:pt idx="99">
                  <c:v>470.47878050700183</c:v>
                </c:pt>
                <c:pt idx="100">
                  <c:v>481.78428496010048</c:v>
                </c:pt>
                <c:pt idx="101">
                  <c:v>493.08415371888253</c:v>
                </c:pt>
                <c:pt idx="102">
                  <c:v>504.37853413868493</c:v>
                </c:pt>
                <c:pt idx="103">
                  <c:v>515.6675664373829</c:v>
                </c:pt>
                <c:pt idx="104">
                  <c:v>441.67788304694392</c:v>
                </c:pt>
                <c:pt idx="105">
                  <c:v>452.64938831122686</c:v>
                </c:pt>
                <c:pt idx="106">
                  <c:v>463.61520902016565</c:v>
                </c:pt>
                <c:pt idx="107">
                  <c:v>474.57549859599521</c:v>
                </c:pt>
                <c:pt idx="108">
                  <c:v>485.53040279578119</c:v>
                </c:pt>
                <c:pt idx="109">
                  <c:v>496.48006026237272</c:v>
                </c:pt>
                <c:pt idx="110">
                  <c:v>507.42460302422029</c:v>
                </c:pt>
                <c:pt idx="111">
                  <c:v>518.36415694983214</c:v>
                </c:pt>
                <c:pt idx="112">
                  <c:v>529.29884216187008</c:v>
                </c:pt>
                <c:pt idx="113">
                  <c:v>540.22877341525339</c:v>
                </c:pt>
                <c:pt idx="114">
                  <c:v>483.77843347470525</c:v>
                </c:pt>
                <c:pt idx="115">
                  <c:v>495.18106269086019</c:v>
                </c:pt>
                <c:pt idx="116">
                  <c:v>506.57812932992596</c:v>
                </c:pt>
                <c:pt idx="117">
                  <c:v>517.96977617364007</c:v>
                </c:pt>
                <c:pt idx="118">
                  <c:v>529.35613921155607</c:v>
                </c:pt>
                <c:pt idx="119">
                  <c:v>540.73734810639564</c:v>
                </c:pt>
                <c:pt idx="120">
                  <c:v>552.11352661818967</c:v>
                </c:pt>
                <c:pt idx="121">
                  <c:v>563.48479299165012</c:v>
                </c:pt>
                <c:pt idx="122">
                  <c:v>574.85126031065295</c:v>
                </c:pt>
                <c:pt idx="123">
                  <c:v>586.21303682323253</c:v>
                </c:pt>
                <c:pt idx="124">
                  <c:v>597.57022624007823</c:v>
                </c:pt>
                <c:pt idx="125">
                  <c:v>608.92292800916312</c:v>
                </c:pt>
                <c:pt idx="126">
                  <c:v>516.97691743661551</c:v>
                </c:pt>
                <c:pt idx="127">
                  <c:v>528.23080123722991</c:v>
                </c:pt>
                <c:pt idx="128">
                  <c:v>539.47963831715936</c:v>
                </c:pt>
                <c:pt idx="129">
                  <c:v>550.7235487287619</c:v>
                </c:pt>
                <c:pt idx="130">
                  <c:v>561.96264722308808</c:v>
                </c:pt>
                <c:pt idx="131">
                  <c:v>573.19704358756508</c:v>
                </c:pt>
                <c:pt idx="132">
                  <c:v>584.42684295583661</c:v>
                </c:pt>
                <c:pt idx="133">
                  <c:v>595.65214609255543</c:v>
                </c:pt>
                <c:pt idx="134">
                  <c:v>606.87304965559781</c:v>
                </c:pt>
                <c:pt idx="135">
                  <c:v>618.08964643788192</c:v>
                </c:pt>
                <c:pt idx="136">
                  <c:v>629.30202559072757</c:v>
                </c:pt>
                <c:pt idx="137">
                  <c:v>640.51027283047199</c:v>
                </c:pt>
                <c:pt idx="138">
                  <c:v>541.94116393966794</c:v>
                </c:pt>
                <c:pt idx="139">
                  <c:v>552.88748579227229</c:v>
                </c:pt>
                <c:pt idx="140">
                  <c:v>563.82926666737285</c:v>
                </c:pt>
                <c:pt idx="141">
                  <c:v>574.76660709862961</c:v>
                </c:pt>
                <c:pt idx="142">
                  <c:v>585.69960348209554</c:v>
                </c:pt>
                <c:pt idx="143">
                  <c:v>596.6283483221988</c:v>
                </c:pt>
                <c:pt idx="144">
                  <c:v>607.55293045876988</c:v>
                </c:pt>
                <c:pt idx="145">
                  <c:v>618.47343527689191</c:v>
                </c:pt>
                <c:pt idx="146">
                  <c:v>629.38994490116841</c:v>
                </c:pt>
                <c:pt idx="147">
                  <c:v>640.30253837581188</c:v>
                </c:pt>
                <c:pt idx="148">
                  <c:v>651.21129183182666</c:v>
                </c:pt>
                <c:pt idx="149">
                  <c:v>662.11627864240563</c:v>
                </c:pt>
                <c:pt idx="150">
                  <c:v>410.25891232631693</c:v>
                </c:pt>
                <c:pt idx="151">
                  <c:v>416.93235115607769</c:v>
                </c:pt>
                <c:pt idx="152">
                  <c:v>423.60348761898211</c:v>
                </c:pt>
                <c:pt idx="153">
                  <c:v>430.27236311544448</c:v>
                </c:pt>
                <c:pt idx="154">
                  <c:v>282.60235881259825</c:v>
                </c:pt>
                <c:pt idx="155">
                  <c:v>286.67220565892609</c:v>
                </c:pt>
                <c:pt idx="156">
                  <c:v>290.74075975339895</c:v>
                </c:pt>
                <c:pt idx="157">
                  <c:v>294.80804177163026</c:v>
                </c:pt>
                <c:pt idx="158">
                  <c:v>197.61056174383398</c:v>
                </c:pt>
                <c:pt idx="159">
                  <c:v>200.15752525879137</c:v>
                </c:pt>
                <c:pt idx="160">
                  <c:v>202.70373739936451</c:v>
                </c:pt>
                <c:pt idx="161">
                  <c:v>205.24920896259434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2.5674081613595483</c:v>
                </c:pt>
                <c:pt idx="2">
                  <c:v>2.9509973995419365</c:v>
                </c:pt>
                <c:pt idx="3">
                  <c:v>3.3921035249964064</c:v>
                </c:pt>
                <c:pt idx="4">
                  <c:v>3.8993800326575379</c:v>
                </c:pt>
                <c:pt idx="5">
                  <c:v>4.4827864698435551</c:v>
                </c:pt>
                <c:pt idx="6">
                  <c:v>5.1537861360321822</c:v>
                </c:pt>
                <c:pt idx="7">
                  <c:v>5.9255737902693291</c:v>
                </c:pt>
                <c:pt idx="8">
                  <c:v>6.8133379322758998</c:v>
                </c:pt>
                <c:pt idx="9">
                  <c:v>7.834562919695732</c:v>
                </c:pt>
                <c:pt idx="10">
                  <c:v>9.0093769867322209</c:v>
                </c:pt>
                <c:pt idx="11">
                  <c:v>10.360953154948495</c:v>
                </c:pt>
                <c:pt idx="12">
                  <c:v>11.915971094051232</c:v>
                </c:pt>
                <c:pt idx="13">
                  <c:v>13.705149220720239</c:v>
                </c:pt>
                <c:pt idx="14">
                  <c:v>15.763857741989639</c:v>
                </c:pt>
                <c:pt idx="15">
                  <c:v>18.132824985174668</c:v>
                </c:pt>
                <c:pt idx="16">
                  <c:v>20.858951242140964</c:v>
                </c:pt>
                <c:pt idx="17">
                  <c:v>23.996246530208428</c:v>
                </c:pt>
                <c:pt idx="18">
                  <c:v>27.606911179441123</c:v>
                </c:pt>
                <c:pt idx="19">
                  <c:v>31.762581047569586</c:v>
                </c:pt>
                <c:pt idx="20">
                  <c:v>36.545762498237771</c:v>
                </c:pt>
                <c:pt idx="21">
                  <c:v>45.584627750837576</c:v>
                </c:pt>
                <c:pt idx="22">
                  <c:v>60.41745678275786</c:v>
                </c:pt>
                <c:pt idx="23">
                  <c:v>75.154841693095705</c:v>
                </c:pt>
                <c:pt idx="24">
                  <c:v>89.818285035590179</c:v>
                </c:pt>
                <c:pt idx="25">
                  <c:v>104.42161400042001</c:v>
                </c:pt>
                <c:pt idx="26">
                  <c:v>91.742969984406372</c:v>
                </c:pt>
                <c:pt idx="27">
                  <c:v>105.9557293591423</c:v>
                </c:pt>
                <c:pt idx="28">
                  <c:v>120.12142182376846</c:v>
                </c:pt>
                <c:pt idx="29">
                  <c:v>134.24638938649045</c:v>
                </c:pt>
                <c:pt idx="30">
                  <c:v>148.33552588657849</c:v>
                </c:pt>
                <c:pt idx="31">
                  <c:v>134.24638938649045</c:v>
                </c:pt>
                <c:pt idx="32">
                  <c:v>146.81397834828735</c:v>
                </c:pt>
                <c:pt idx="33">
                  <c:v>159.35586286360194</c:v>
                </c:pt>
                <c:pt idx="34">
                  <c:v>171.87435267338171</c:v>
                </c:pt>
                <c:pt idx="35">
                  <c:v>184.37139305479846</c:v>
                </c:pt>
                <c:pt idx="36">
                  <c:v>168.46242240333265</c:v>
                </c:pt>
                <c:pt idx="37">
                  <c:v>179.07212574507776</c:v>
                </c:pt>
                <c:pt idx="38">
                  <c:v>189.66710135325764</c:v>
                </c:pt>
                <c:pt idx="39">
                  <c:v>200.24828861934861</c:v>
                </c:pt>
                <c:pt idx="40">
                  <c:v>210.81651943579459</c:v>
                </c:pt>
                <c:pt idx="41">
                  <c:v>193.8255924984071</c:v>
                </c:pt>
                <c:pt idx="42">
                  <c:v>203.26907123098988</c:v>
                </c:pt>
                <c:pt idx="43">
                  <c:v>212.70239804910184</c:v>
                </c:pt>
                <c:pt idx="44">
                  <c:v>222.12608711761609</c:v>
                </c:pt>
                <c:pt idx="45">
                  <c:v>231.54060536306474</c:v>
                </c:pt>
                <c:pt idx="46">
                  <c:v>212.70239804910184</c:v>
                </c:pt>
                <c:pt idx="47">
                  <c:v>220.24209728386401</c:v>
                </c:pt>
                <c:pt idx="48">
                  <c:v>227.77587045440154</c:v>
                </c:pt>
                <c:pt idx="49">
                  <c:v>235.30394147234654</c:v>
                </c:pt>
                <c:pt idx="50">
                  <c:v>242.82651873322848</c:v>
                </c:pt>
                <c:pt idx="51">
                  <c:v>229.28193394845093</c:v>
                </c:pt>
                <c:pt idx="52">
                  <c:v>236.43267338641544</c:v>
                </c:pt>
                <c:pt idx="53">
                  <c:v>243.57848190120231</c:v>
                </c:pt>
                <c:pt idx="54">
                  <c:v>250.71952474895636</c:v>
                </c:pt>
                <c:pt idx="55">
                  <c:v>257.85595699105767</c:v>
                </c:pt>
                <c:pt idx="56">
                  <c:v>246.58580846713622</c:v>
                </c:pt>
                <c:pt idx="57">
                  <c:v>252.22230966781112</c:v>
                </c:pt>
                <c:pt idx="58">
                  <c:v>257.85595699105767</c:v>
                </c:pt>
                <c:pt idx="59">
                  <c:v>263.48682168593831</c:v>
                </c:pt>
                <c:pt idx="60">
                  <c:v>269.11497170292421</c:v>
                </c:pt>
                <c:pt idx="61">
                  <c:v>260.85942671475163</c:v>
                </c:pt>
                <c:pt idx="62">
                  <c:v>265.73840375453761</c:v>
                </c:pt>
                <c:pt idx="63">
                  <c:v>270.61536157536983</c:v>
                </c:pt>
                <c:pt idx="64">
                  <c:v>275.49034176419696</c:v>
                </c:pt>
                <c:pt idx="65">
                  <c:v>280.36338431358683</c:v>
                </c:pt>
                <c:pt idx="66">
                  <c:v>273.24059406456803</c:v>
                </c:pt>
                <c:pt idx="67">
                  <c:v>277.36481607055651</c:v>
                </c:pt>
                <c:pt idx="68">
                  <c:v>281.48766152009563</c:v>
                </c:pt>
                <c:pt idx="69">
                  <c:v>285.6091534570931</c:v>
                </c:pt>
                <c:pt idx="70">
                  <c:v>289.72931420493518</c:v>
                </c:pt>
                <c:pt idx="71">
                  <c:v>283.73591438004928</c:v>
                </c:pt>
                <c:pt idx="72">
                  <c:v>287.107546598586</c:v>
                </c:pt>
                <c:pt idx="73">
                  <c:v>290.47829302179059</c:v>
                </c:pt>
                <c:pt idx="74">
                  <c:v>293.84816539917779</c:v>
                </c:pt>
                <c:pt idx="75">
                  <c:v>297.21717518827546</c:v>
                </c:pt>
                <c:pt idx="76">
                  <c:v>292.72497100977256</c:v>
                </c:pt>
                <c:pt idx="77">
                  <c:v>295.71994327479496</c:v>
                </c:pt>
                <c:pt idx="78">
                  <c:v>298.71423892515395</c:v>
                </c:pt>
                <c:pt idx="79">
                  <c:v>301.70786571384548</c:v>
                </c:pt>
                <c:pt idx="80">
                  <c:v>304.70083122716056</c:v>
                </c:pt>
                <c:pt idx="81">
                  <c:v>299.08847869495395</c:v>
                </c:pt>
                <c:pt idx="82">
                  <c:v>299.08847869495395</c:v>
                </c:pt>
                <c:pt idx="83">
                  <c:v>299.08847869495395</c:v>
                </c:pt>
                <c:pt idx="84">
                  <c:v>299.08847869495395</c:v>
                </c:pt>
                <c:pt idx="85">
                  <c:v>299.08847869495395</c:v>
                </c:pt>
                <c:pt idx="86">
                  <c:v>299.08847869495395</c:v>
                </c:pt>
                <c:pt idx="87">
                  <c:v>299.08847869495395</c:v>
                </c:pt>
                <c:pt idx="88">
                  <c:v>299.08847869495395</c:v>
                </c:pt>
                <c:pt idx="89">
                  <c:v>299.08847869495395</c:v>
                </c:pt>
                <c:pt idx="90">
                  <c:v>299.08847869495395</c:v>
                </c:pt>
                <c:pt idx="91">
                  <c:v>299.08847869495395</c:v>
                </c:pt>
                <c:pt idx="92">
                  <c:v>299.08847869495395</c:v>
                </c:pt>
                <c:pt idx="93">
                  <c:v>299.08847869495395</c:v>
                </c:pt>
                <c:pt idx="94">
                  <c:v>299.08847869495395</c:v>
                </c:pt>
                <c:pt idx="95">
                  <c:v>299.08847869495395</c:v>
                </c:pt>
                <c:pt idx="96">
                  <c:v>299.08847869495395</c:v>
                </c:pt>
                <c:pt idx="97">
                  <c:v>299.08847869495395</c:v>
                </c:pt>
                <c:pt idx="98">
                  <c:v>299.08847869495395</c:v>
                </c:pt>
                <c:pt idx="99">
                  <c:v>299.08847869495395</c:v>
                </c:pt>
                <c:pt idx="100">
                  <c:v>299.08847869495395</c:v>
                </c:pt>
                <c:pt idx="101">
                  <c:v>299.08847869495395</c:v>
                </c:pt>
                <c:pt idx="102">
                  <c:v>299.08847869495395</c:v>
                </c:pt>
                <c:pt idx="103">
                  <c:v>299.08847869495395</c:v>
                </c:pt>
                <c:pt idx="104">
                  <c:v>299.08847869495395</c:v>
                </c:pt>
                <c:pt idx="105">
                  <c:v>299.08847869495395</c:v>
                </c:pt>
                <c:pt idx="106">
                  <c:v>299.08847869495395</c:v>
                </c:pt>
                <c:pt idx="107">
                  <c:v>299.08847869495395</c:v>
                </c:pt>
                <c:pt idx="108">
                  <c:v>299.08847869495395</c:v>
                </c:pt>
                <c:pt idx="109">
                  <c:v>299.08847869495395</c:v>
                </c:pt>
                <c:pt idx="110">
                  <c:v>299.08847869495395</c:v>
                </c:pt>
                <c:pt idx="111">
                  <c:v>299.08847869495395</c:v>
                </c:pt>
                <c:pt idx="112">
                  <c:v>299.08847869495395</c:v>
                </c:pt>
                <c:pt idx="113">
                  <c:v>299.08847869495395</c:v>
                </c:pt>
                <c:pt idx="114">
                  <c:v>299.08847869495395</c:v>
                </c:pt>
                <c:pt idx="115">
                  <c:v>299.08847869495395</c:v>
                </c:pt>
                <c:pt idx="116">
                  <c:v>299.08847869495395</c:v>
                </c:pt>
                <c:pt idx="117">
                  <c:v>299.08847869495395</c:v>
                </c:pt>
                <c:pt idx="118">
                  <c:v>299.08847869495395</c:v>
                </c:pt>
                <c:pt idx="119">
                  <c:v>299.08847869495395</c:v>
                </c:pt>
                <c:pt idx="120">
                  <c:v>299.08847869495395</c:v>
                </c:pt>
                <c:pt idx="121">
                  <c:v>299.08847869495395</c:v>
                </c:pt>
                <c:pt idx="122">
                  <c:v>299.08847869495395</c:v>
                </c:pt>
                <c:pt idx="123">
                  <c:v>299.08847869495395</c:v>
                </c:pt>
                <c:pt idx="124">
                  <c:v>299.08847869495395</c:v>
                </c:pt>
                <c:pt idx="125">
                  <c:v>299.08847869495395</c:v>
                </c:pt>
                <c:pt idx="126">
                  <c:v>299.08847869495395</c:v>
                </c:pt>
                <c:pt idx="127">
                  <c:v>299.08847869495395</c:v>
                </c:pt>
                <c:pt idx="128">
                  <c:v>299.08847869495395</c:v>
                </c:pt>
                <c:pt idx="129">
                  <c:v>299.08847869495395</c:v>
                </c:pt>
                <c:pt idx="130">
                  <c:v>299.08847869495395</c:v>
                </c:pt>
                <c:pt idx="131">
                  <c:v>299.08847869495395</c:v>
                </c:pt>
                <c:pt idx="132">
                  <c:v>299.08847869495395</c:v>
                </c:pt>
                <c:pt idx="133">
                  <c:v>299.08847869495395</c:v>
                </c:pt>
                <c:pt idx="134">
                  <c:v>299.08847869495395</c:v>
                </c:pt>
                <c:pt idx="135">
                  <c:v>299.08847869495395</c:v>
                </c:pt>
                <c:pt idx="136">
                  <c:v>299.08847869495395</c:v>
                </c:pt>
                <c:pt idx="137">
                  <c:v>299.08847869495395</c:v>
                </c:pt>
                <c:pt idx="138">
                  <c:v>299.08847869495395</c:v>
                </c:pt>
                <c:pt idx="139">
                  <c:v>299.08847869495395</c:v>
                </c:pt>
                <c:pt idx="140">
                  <c:v>299.08847869495395</c:v>
                </c:pt>
                <c:pt idx="141">
                  <c:v>299.08847869495395</c:v>
                </c:pt>
                <c:pt idx="142">
                  <c:v>299.08847869495395</c:v>
                </c:pt>
                <c:pt idx="143">
                  <c:v>299.08847869495395</c:v>
                </c:pt>
                <c:pt idx="144">
                  <c:v>299.08847869495395</c:v>
                </c:pt>
                <c:pt idx="145">
                  <c:v>299.08847869495395</c:v>
                </c:pt>
                <c:pt idx="146">
                  <c:v>299.08847869495395</c:v>
                </c:pt>
                <c:pt idx="147">
                  <c:v>299.08847869495395</c:v>
                </c:pt>
                <c:pt idx="148">
                  <c:v>299.08847869495395</c:v>
                </c:pt>
                <c:pt idx="149">
                  <c:v>299.08847869495395</c:v>
                </c:pt>
                <c:pt idx="150">
                  <c:v>299.08847869495395</c:v>
                </c:pt>
                <c:pt idx="151">
                  <c:v>299.08847869495395</c:v>
                </c:pt>
                <c:pt idx="152">
                  <c:v>299.08847869495395</c:v>
                </c:pt>
                <c:pt idx="153">
                  <c:v>299.08847869495395</c:v>
                </c:pt>
                <c:pt idx="154">
                  <c:v>299.08847869495395</c:v>
                </c:pt>
                <c:pt idx="155">
                  <c:v>299.08847869495395</c:v>
                </c:pt>
                <c:pt idx="156">
                  <c:v>299.08847869495395</c:v>
                </c:pt>
                <c:pt idx="157">
                  <c:v>299.08847869495395</c:v>
                </c:pt>
                <c:pt idx="158">
                  <c:v>299.08847869495395</c:v>
                </c:pt>
                <c:pt idx="159">
                  <c:v>299.08847869495395</c:v>
                </c:pt>
                <c:pt idx="160">
                  <c:v>299.08847869495395</c:v>
                </c:pt>
                <c:pt idx="161">
                  <c:v>299.08847869495395</c:v>
                </c:pt>
                <c:pt idx="162">
                  <c:v>299.08847869495395</c:v>
                </c:pt>
                <c:pt idx="163">
                  <c:v>299.08847869495395</c:v>
                </c:pt>
                <c:pt idx="164">
                  <c:v>299.08847869495395</c:v>
                </c:pt>
                <c:pt idx="165">
                  <c:v>299.08847869495395</c:v>
                </c:pt>
                <c:pt idx="166">
                  <c:v>299.08847869495395</c:v>
                </c:pt>
                <c:pt idx="167">
                  <c:v>299.08847869495395</c:v>
                </c:pt>
                <c:pt idx="168">
                  <c:v>299.08847869495395</c:v>
                </c:pt>
                <c:pt idx="169">
                  <c:v>299.08847869495395</c:v>
                </c:pt>
                <c:pt idx="170">
                  <c:v>299.08847869495395</c:v>
                </c:pt>
                <c:pt idx="171">
                  <c:v>299.08847869495395</c:v>
                </c:pt>
                <c:pt idx="172">
                  <c:v>299.08847869495395</c:v>
                </c:pt>
                <c:pt idx="173">
                  <c:v>299.08847869495395</c:v>
                </c:pt>
                <c:pt idx="174">
                  <c:v>299.08847869495395</c:v>
                </c:pt>
                <c:pt idx="175">
                  <c:v>299.08847869495395</c:v>
                </c:pt>
                <c:pt idx="176">
                  <c:v>299.08847869495395</c:v>
                </c:pt>
                <c:pt idx="177">
                  <c:v>299.08847869495395</c:v>
                </c:pt>
                <c:pt idx="178">
                  <c:v>299.08847869495395</c:v>
                </c:pt>
                <c:pt idx="179">
                  <c:v>299.08847869495395</c:v>
                </c:pt>
                <c:pt idx="180">
                  <c:v>299.08847869495395</c:v>
                </c:pt>
                <c:pt idx="181">
                  <c:v>299.08847869495395</c:v>
                </c:pt>
                <c:pt idx="182">
                  <c:v>299.08847869495395</c:v>
                </c:pt>
                <c:pt idx="183">
                  <c:v>299.08847869495395</c:v>
                </c:pt>
                <c:pt idx="184">
                  <c:v>299.08847869495395</c:v>
                </c:pt>
                <c:pt idx="185">
                  <c:v>299.08847869495395</c:v>
                </c:pt>
                <c:pt idx="186">
                  <c:v>299.08847869495395</c:v>
                </c:pt>
                <c:pt idx="187">
                  <c:v>299.08847869495395</c:v>
                </c:pt>
                <c:pt idx="188">
                  <c:v>299.08847869495395</c:v>
                </c:pt>
                <c:pt idx="189">
                  <c:v>299.08847869495395</c:v>
                </c:pt>
                <c:pt idx="190">
                  <c:v>299.08847869495395</c:v>
                </c:pt>
                <c:pt idx="191">
                  <c:v>299.08847869495395</c:v>
                </c:pt>
                <c:pt idx="192">
                  <c:v>299.08847869495395</c:v>
                </c:pt>
                <c:pt idx="193">
                  <c:v>299.08847869495395</c:v>
                </c:pt>
                <c:pt idx="194">
                  <c:v>299.08847869495395</c:v>
                </c:pt>
                <c:pt idx="195">
                  <c:v>299.08847869495395</c:v>
                </c:pt>
                <c:pt idx="196">
                  <c:v>299.08847869495395</c:v>
                </c:pt>
                <c:pt idx="197">
                  <c:v>299.08847869495395</c:v>
                </c:pt>
                <c:pt idx="198">
                  <c:v>299.08847869495395</c:v>
                </c:pt>
                <c:pt idx="199">
                  <c:v>299.08847869495395</c:v>
                </c:pt>
                <c:pt idx="200">
                  <c:v>299.08847869495395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2.5983166838350953</c:v>
                </c:pt>
                <c:pt idx="2">
                  <c:v>3.2463174463232147</c:v>
                </c:pt>
                <c:pt idx="3">
                  <c:v>4.0565513374209239</c:v>
                </c:pt>
                <c:pt idx="4">
                  <c:v>5.0697828618695446</c:v>
                </c:pt>
                <c:pt idx="5">
                  <c:v>6.3370542463297648</c:v>
                </c:pt>
                <c:pt idx="6">
                  <c:v>7.9222848506989054</c:v>
                </c:pt>
                <c:pt idx="7">
                  <c:v>9.9055299174053317</c:v>
                </c:pt>
                <c:pt idx="8">
                  <c:v>12.387066341894517</c:v>
                </c:pt>
                <c:pt idx="9">
                  <c:v>15.492515895586982</c:v>
                </c:pt>
                <c:pt idx="10">
                  <c:v>19.379270002357259</c:v>
                </c:pt>
                <c:pt idx="11">
                  <c:v>24.244547556933963</c:v>
                </c:pt>
                <c:pt idx="12">
                  <c:v>30.335501891424943</c:v>
                </c:pt>
                <c:pt idx="13">
                  <c:v>37.961899258450863</c:v>
                </c:pt>
                <c:pt idx="14">
                  <c:v>47.512024652827165</c:v>
                </c:pt>
                <c:pt idx="15">
                  <c:v>59.472638408851729</c:v>
                </c:pt>
                <c:pt idx="16">
                  <c:v>67.408662492679099</c:v>
                </c:pt>
                <c:pt idx="17">
                  <c:v>75.320599808628302</c:v>
                </c:pt>
                <c:pt idx="18">
                  <c:v>83.211344052224632</c:v>
                </c:pt>
                <c:pt idx="19">
                  <c:v>91.083193034949701</c:v>
                </c:pt>
                <c:pt idx="20">
                  <c:v>98.938013551923461</c:v>
                </c:pt>
                <c:pt idx="21">
                  <c:v>91.083193034949701</c:v>
                </c:pt>
                <c:pt idx="22">
                  <c:v>99.294672325256556</c:v>
                </c:pt>
                <c:pt idx="23">
                  <c:v>107.48929666408317</c:v>
                </c:pt>
                <c:pt idx="24">
                  <c:v>115.66853455207824</c:v>
                </c:pt>
                <c:pt idx="25">
                  <c:v>123.83362931472313</c:v>
                </c:pt>
                <c:pt idx="26">
                  <c:v>118.15500842956747</c:v>
                </c:pt>
                <c:pt idx="27">
                  <c:v>126.67054710265984</c:v>
                </c:pt>
                <c:pt idx="28">
                  <c:v>135.17221080393281</c:v>
                </c:pt>
                <c:pt idx="29">
                  <c:v>143.6609965738989</c:v>
                </c:pt>
                <c:pt idx="30">
                  <c:v>152.13777377111359</c:v>
                </c:pt>
                <c:pt idx="31">
                  <c:v>144.72123383801272</c:v>
                </c:pt>
                <c:pt idx="32">
                  <c:v>153.19656565271245</c:v>
                </c:pt>
                <c:pt idx="33">
                  <c:v>161.66074237922859</c:v>
                </c:pt>
                <c:pt idx="34">
                  <c:v>170.11443123681147</c:v>
                </c:pt>
                <c:pt idx="35">
                  <c:v>178.5582276070445</c:v>
                </c:pt>
                <c:pt idx="36">
                  <c:v>169.41034278527815</c:v>
                </c:pt>
                <c:pt idx="37">
                  <c:v>177.85494234060414</c:v>
                </c:pt>
                <c:pt idx="38">
                  <c:v>186.29014136595831</c:v>
                </c:pt>
                <c:pt idx="39">
                  <c:v>194.71642608832349</c:v>
                </c:pt>
                <c:pt idx="40">
                  <c:v>203.13423715529458</c:v>
                </c:pt>
                <c:pt idx="41">
                  <c:v>194.01456514244958</c:v>
                </c:pt>
                <c:pt idx="42">
                  <c:v>202.43306651788544</c:v>
                </c:pt>
                <c:pt idx="43">
                  <c:v>210.84346329040019</c:v>
                </c:pt>
                <c:pt idx="44">
                  <c:v>219.24612472524976</c:v>
                </c:pt>
                <c:pt idx="45">
                  <c:v>227.64138943591345</c:v>
                </c:pt>
                <c:pt idx="46">
                  <c:v>216.44607557160018</c:v>
                </c:pt>
                <c:pt idx="47">
                  <c:v>224.49401164296521</c:v>
                </c:pt>
                <c:pt idx="48">
                  <c:v>232.53533626130942</c:v>
                </c:pt>
                <c:pt idx="49">
                  <c:v>240.57031057620057</c:v>
                </c:pt>
                <c:pt idx="50">
                  <c:v>248.5991768469012</c:v>
                </c:pt>
                <c:pt idx="51">
                  <c:v>237.07760782499096</c:v>
                </c:pt>
                <c:pt idx="52">
                  <c:v>244.76003171038448</c:v>
                </c:pt>
                <c:pt idx="53">
                  <c:v>252.43697663025776</c:v>
                </c:pt>
                <c:pt idx="54">
                  <c:v>260.1086329077587</c:v>
                </c:pt>
                <c:pt idx="55">
                  <c:v>267.77517870928619</c:v>
                </c:pt>
                <c:pt idx="56">
                  <c:v>255.92473775915403</c:v>
                </c:pt>
                <c:pt idx="57">
                  <c:v>263.24555506532812</c:v>
                </c:pt>
                <c:pt idx="58">
                  <c:v>270.56177945365766</c:v>
                </c:pt>
                <c:pt idx="59">
                  <c:v>277.8735527877754</c:v>
                </c:pt>
                <c:pt idx="60">
                  <c:v>285.18100884727511</c:v>
                </c:pt>
                <c:pt idx="61">
                  <c:v>272.99952502719975</c:v>
                </c:pt>
                <c:pt idx="62">
                  <c:v>279.9618322548356</c:v>
                </c:pt>
                <c:pt idx="63">
                  <c:v>286.92025704588667</c:v>
                </c:pt>
                <c:pt idx="64">
                  <c:v>293.87490695294497</c:v>
                </c:pt>
                <c:pt idx="65">
                  <c:v>300.82588401658904</c:v>
                </c:pt>
                <c:pt idx="66">
                  <c:v>288.65926934113503</c:v>
                </c:pt>
                <c:pt idx="67">
                  <c:v>295.61299167710996</c:v>
                </c:pt>
                <c:pt idx="68">
                  <c:v>302.56306586704608</c:v>
                </c:pt>
                <c:pt idx="69">
                  <c:v>309.50958762804504</c:v>
                </c:pt>
                <c:pt idx="70">
                  <c:v>316.45264802528948</c:v>
                </c:pt>
                <c:pt idx="71">
                  <c:v>303.60526832221183</c:v>
                </c:pt>
                <c:pt idx="72">
                  <c:v>309.85682211726316</c:v>
                </c:pt>
                <c:pt idx="73">
                  <c:v>316.10557585698524</c:v>
                </c:pt>
                <c:pt idx="74">
                  <c:v>322.35159276879085</c:v>
                </c:pt>
                <c:pt idx="75">
                  <c:v>328.59493342700068</c:v>
                </c:pt>
                <c:pt idx="76">
                  <c:v>315.75849524236122</c:v>
                </c:pt>
                <c:pt idx="77">
                  <c:v>322.00466258727687</c:v>
                </c:pt>
                <c:pt idx="78">
                  <c:v>328.24815038016726</c:v>
                </c:pt>
                <c:pt idx="79">
                  <c:v>334.48901683747772</c:v>
                </c:pt>
                <c:pt idx="80">
                  <c:v>340.72731782352434</c:v>
                </c:pt>
                <c:pt idx="81">
                  <c:v>327.20775266086656</c:v>
                </c:pt>
                <c:pt idx="82">
                  <c:v>332.7557025053955</c:v>
                </c:pt>
                <c:pt idx="83">
                  <c:v>338.30161326098943</c:v>
                </c:pt>
                <c:pt idx="84">
                  <c:v>343.8455231132736</c:v>
                </c:pt>
                <c:pt idx="85">
                  <c:v>349.38746891454912</c:v>
                </c:pt>
                <c:pt idx="86">
                  <c:v>337.26190853958695</c:v>
                </c:pt>
                <c:pt idx="87">
                  <c:v>342.45973119739136</c:v>
                </c:pt>
                <c:pt idx="88">
                  <c:v>347.65581965898036</c:v>
                </c:pt>
                <c:pt idx="89">
                  <c:v>352.85020353381969</c:v>
                </c:pt>
                <c:pt idx="90">
                  <c:v>358.0429114873919</c:v>
                </c:pt>
                <c:pt idx="91">
                  <c:v>340.72731782352429</c:v>
                </c:pt>
                <c:pt idx="92">
                  <c:v>340.72731782352429</c:v>
                </c:pt>
                <c:pt idx="93">
                  <c:v>340.72731782352429</c:v>
                </c:pt>
                <c:pt idx="94">
                  <c:v>340.72731782352429</c:v>
                </c:pt>
                <c:pt idx="95">
                  <c:v>340.72731782352429</c:v>
                </c:pt>
                <c:pt idx="96">
                  <c:v>340.72731782352429</c:v>
                </c:pt>
                <c:pt idx="97">
                  <c:v>340.72731782352429</c:v>
                </c:pt>
                <c:pt idx="98">
                  <c:v>340.72731782352429</c:v>
                </c:pt>
                <c:pt idx="99">
                  <c:v>340.72731782352429</c:v>
                </c:pt>
                <c:pt idx="100">
                  <c:v>340.72731782352429</c:v>
                </c:pt>
                <c:pt idx="101">
                  <c:v>340.72731782352429</c:v>
                </c:pt>
                <c:pt idx="102">
                  <c:v>340.72731782352429</c:v>
                </c:pt>
                <c:pt idx="103">
                  <c:v>340.72731782352429</c:v>
                </c:pt>
                <c:pt idx="104">
                  <c:v>340.72731782352429</c:v>
                </c:pt>
                <c:pt idx="105">
                  <c:v>340.72731782352429</c:v>
                </c:pt>
                <c:pt idx="106">
                  <c:v>340.72731782352429</c:v>
                </c:pt>
                <c:pt idx="107">
                  <c:v>340.72731782352429</c:v>
                </c:pt>
                <c:pt idx="108">
                  <c:v>340.72731782352429</c:v>
                </c:pt>
                <c:pt idx="109">
                  <c:v>340.72731782352429</c:v>
                </c:pt>
                <c:pt idx="110">
                  <c:v>340.72731782352429</c:v>
                </c:pt>
                <c:pt idx="111">
                  <c:v>340.72731782352429</c:v>
                </c:pt>
                <c:pt idx="112">
                  <c:v>340.72731782352429</c:v>
                </c:pt>
                <c:pt idx="113">
                  <c:v>340.72731782352429</c:v>
                </c:pt>
                <c:pt idx="114">
                  <c:v>340.72731782352429</c:v>
                </c:pt>
                <c:pt idx="115">
                  <c:v>340.72731782352429</c:v>
                </c:pt>
                <c:pt idx="116">
                  <c:v>340.72731782352429</c:v>
                </c:pt>
                <c:pt idx="117">
                  <c:v>340.72731782352429</c:v>
                </c:pt>
                <c:pt idx="118">
                  <c:v>340.72731782352429</c:v>
                </c:pt>
                <c:pt idx="119">
                  <c:v>340.72731782352429</c:v>
                </c:pt>
                <c:pt idx="120">
                  <c:v>340.72731782352429</c:v>
                </c:pt>
                <c:pt idx="121">
                  <c:v>340.72731782352429</c:v>
                </c:pt>
                <c:pt idx="122">
                  <c:v>340.72731782352429</c:v>
                </c:pt>
                <c:pt idx="123">
                  <c:v>340.72731782352429</c:v>
                </c:pt>
                <c:pt idx="124">
                  <c:v>340.72731782352429</c:v>
                </c:pt>
                <c:pt idx="125">
                  <c:v>340.72731782352429</c:v>
                </c:pt>
                <c:pt idx="126">
                  <c:v>340.72731782352429</c:v>
                </c:pt>
                <c:pt idx="127">
                  <c:v>340.72731782352429</c:v>
                </c:pt>
                <c:pt idx="128">
                  <c:v>340.72731782352429</c:v>
                </c:pt>
                <c:pt idx="129">
                  <c:v>340.72731782352429</c:v>
                </c:pt>
                <c:pt idx="130">
                  <c:v>340.72731782352429</c:v>
                </c:pt>
                <c:pt idx="131">
                  <c:v>340.72731782352429</c:v>
                </c:pt>
                <c:pt idx="132">
                  <c:v>340.72731782352429</c:v>
                </c:pt>
                <c:pt idx="133">
                  <c:v>340.72731782352429</c:v>
                </c:pt>
                <c:pt idx="134">
                  <c:v>340.72731782352429</c:v>
                </c:pt>
                <c:pt idx="135">
                  <c:v>340.72731782352429</c:v>
                </c:pt>
                <c:pt idx="136">
                  <c:v>340.72731782352429</c:v>
                </c:pt>
                <c:pt idx="137">
                  <c:v>340.72731782352429</c:v>
                </c:pt>
                <c:pt idx="138">
                  <c:v>340.72731782352429</c:v>
                </c:pt>
                <c:pt idx="139">
                  <c:v>340.72731782352429</c:v>
                </c:pt>
                <c:pt idx="140">
                  <c:v>340.72731782352429</c:v>
                </c:pt>
                <c:pt idx="141">
                  <c:v>340.72731782352429</c:v>
                </c:pt>
                <c:pt idx="142">
                  <c:v>340.72731782352429</c:v>
                </c:pt>
                <c:pt idx="143">
                  <c:v>340.72731782352429</c:v>
                </c:pt>
                <c:pt idx="144">
                  <c:v>340.72731782352429</c:v>
                </c:pt>
                <c:pt idx="145">
                  <c:v>340.72731782352429</c:v>
                </c:pt>
                <c:pt idx="146">
                  <c:v>340.72731782352429</c:v>
                </c:pt>
                <c:pt idx="147">
                  <c:v>340.72731782352429</c:v>
                </c:pt>
                <c:pt idx="148">
                  <c:v>340.72731782352429</c:v>
                </c:pt>
                <c:pt idx="149">
                  <c:v>340.72731782352429</c:v>
                </c:pt>
                <c:pt idx="150">
                  <c:v>340.72731782352429</c:v>
                </c:pt>
                <c:pt idx="151">
                  <c:v>340.72731782352429</c:v>
                </c:pt>
                <c:pt idx="152">
                  <c:v>340.72731782352429</c:v>
                </c:pt>
                <c:pt idx="153">
                  <c:v>340.72731782352429</c:v>
                </c:pt>
                <c:pt idx="154">
                  <c:v>340.72731782352429</c:v>
                </c:pt>
                <c:pt idx="155">
                  <c:v>340.72731782352429</c:v>
                </c:pt>
                <c:pt idx="156">
                  <c:v>340.72731782352429</c:v>
                </c:pt>
                <c:pt idx="157">
                  <c:v>340.72731782352429</c:v>
                </c:pt>
                <c:pt idx="158">
                  <c:v>340.72731782352429</c:v>
                </c:pt>
                <c:pt idx="159">
                  <c:v>340.72731782352429</c:v>
                </c:pt>
                <c:pt idx="160">
                  <c:v>340.72731782352429</c:v>
                </c:pt>
                <c:pt idx="161">
                  <c:v>340.72731782352429</c:v>
                </c:pt>
                <c:pt idx="162">
                  <c:v>340.72731782352429</c:v>
                </c:pt>
                <c:pt idx="163">
                  <c:v>340.72731782352429</c:v>
                </c:pt>
                <c:pt idx="164">
                  <c:v>340.72731782352429</c:v>
                </c:pt>
                <c:pt idx="165">
                  <c:v>340.72731782352429</c:v>
                </c:pt>
                <c:pt idx="166">
                  <c:v>340.72731782352429</c:v>
                </c:pt>
                <c:pt idx="167">
                  <c:v>340.72731782352429</c:v>
                </c:pt>
                <c:pt idx="168">
                  <c:v>340.72731782352429</c:v>
                </c:pt>
                <c:pt idx="169">
                  <c:v>340.72731782352429</c:v>
                </c:pt>
                <c:pt idx="170">
                  <c:v>340.72731782352429</c:v>
                </c:pt>
                <c:pt idx="171">
                  <c:v>340.72731782352429</c:v>
                </c:pt>
                <c:pt idx="172">
                  <c:v>340.72731782352429</c:v>
                </c:pt>
                <c:pt idx="173">
                  <c:v>340.72731782352429</c:v>
                </c:pt>
                <c:pt idx="174">
                  <c:v>340.72731782352429</c:v>
                </c:pt>
                <c:pt idx="175">
                  <c:v>340.72731782352429</c:v>
                </c:pt>
                <c:pt idx="176">
                  <c:v>340.72731782352429</c:v>
                </c:pt>
                <c:pt idx="177">
                  <c:v>340.72731782352429</c:v>
                </c:pt>
                <c:pt idx="178">
                  <c:v>340.72731782352429</c:v>
                </c:pt>
                <c:pt idx="179">
                  <c:v>340.72731782352429</c:v>
                </c:pt>
                <c:pt idx="180">
                  <c:v>340.72731782352429</c:v>
                </c:pt>
                <c:pt idx="181">
                  <c:v>340.72731782352429</c:v>
                </c:pt>
                <c:pt idx="182">
                  <c:v>340.72731782352429</c:v>
                </c:pt>
                <c:pt idx="183">
                  <c:v>340.72731782352429</c:v>
                </c:pt>
                <c:pt idx="184">
                  <c:v>340.72731782352429</c:v>
                </c:pt>
                <c:pt idx="185">
                  <c:v>340.72731782352429</c:v>
                </c:pt>
                <c:pt idx="186">
                  <c:v>340.72731782352429</c:v>
                </c:pt>
                <c:pt idx="187">
                  <c:v>340.72731782352429</c:v>
                </c:pt>
                <c:pt idx="188">
                  <c:v>340.72731782352429</c:v>
                </c:pt>
                <c:pt idx="189">
                  <c:v>340.72731782352429</c:v>
                </c:pt>
                <c:pt idx="190">
                  <c:v>340.72731782352429</c:v>
                </c:pt>
                <c:pt idx="191">
                  <c:v>340.72731782352429</c:v>
                </c:pt>
                <c:pt idx="192">
                  <c:v>340.72731782352429</c:v>
                </c:pt>
                <c:pt idx="193">
                  <c:v>340.72731782352429</c:v>
                </c:pt>
                <c:pt idx="194">
                  <c:v>340.72731782352429</c:v>
                </c:pt>
                <c:pt idx="195">
                  <c:v>340.72731782352429</c:v>
                </c:pt>
                <c:pt idx="196">
                  <c:v>340.72731782352429</c:v>
                </c:pt>
                <c:pt idx="197">
                  <c:v>340.72731782352429</c:v>
                </c:pt>
                <c:pt idx="198">
                  <c:v>340.72731782352429</c:v>
                </c:pt>
                <c:pt idx="199">
                  <c:v>340.72731782352429</c:v>
                </c:pt>
                <c:pt idx="200">
                  <c:v>340.72731782352429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1.8605416662383625</c:v>
                </c:pt>
                <c:pt idx="2">
                  <c:v>2.3093600281236659</c:v>
                </c:pt>
                <c:pt idx="3">
                  <c:v>2.8668713049945311</c:v>
                </c:pt>
                <c:pt idx="4">
                  <c:v>3.5594954482684216</c:v>
                </c:pt>
                <c:pt idx="5">
                  <c:v>4.4200964526637767</c:v>
                </c:pt>
                <c:pt idx="6">
                  <c:v>5.489559144080669</c:v>
                </c:pt>
                <c:pt idx="7">
                  <c:v>6.8187529298170411</c:v>
                </c:pt>
                <c:pt idx="8">
                  <c:v>8.4709777333507592</c:v>
                </c:pt>
                <c:pt idx="9">
                  <c:v>10.525010825694711</c:v>
                </c:pt>
                <c:pt idx="10">
                  <c:v>13.078902562636225</c:v>
                </c:pt>
                <c:pt idx="11">
                  <c:v>16.254705580741589</c:v>
                </c:pt>
                <c:pt idx="12">
                  <c:v>20.204367590655394</c:v>
                </c:pt>
                <c:pt idx="13">
                  <c:v>25.117074775612483</c:v>
                </c:pt>
                <c:pt idx="14">
                  <c:v>31.22840375457508</c:v>
                </c:pt>
                <c:pt idx="15">
                  <c:v>38.831728596561412</c:v>
                </c:pt>
                <c:pt idx="16">
                  <c:v>45.83652466159851</c:v>
                </c:pt>
                <c:pt idx="17">
                  <c:v>56.677546880032999</c:v>
                </c:pt>
                <c:pt idx="18">
                  <c:v>67.464070562205677</c:v>
                </c:pt>
                <c:pt idx="19">
                  <c:v>78.206081369370224</c:v>
                </c:pt>
                <c:pt idx="20">
                  <c:v>88.910576120025439</c:v>
                </c:pt>
                <c:pt idx="21">
                  <c:v>88.401607374052034</c:v>
                </c:pt>
                <c:pt idx="22">
                  <c:v>96.790522450391052</c:v>
                </c:pt>
                <c:pt idx="23">
                  <c:v>105.16134575903915</c:v>
                </c:pt>
                <c:pt idx="24">
                  <c:v>113.51572310291067</c:v>
                </c:pt>
                <c:pt idx="25">
                  <c:v>121.85503760961667</c:v>
                </c:pt>
                <c:pt idx="26">
                  <c:v>112.50389896791954</c:v>
                </c:pt>
                <c:pt idx="27">
                  <c:v>120.84497289554749</c:v>
                </c:pt>
                <c:pt idx="28">
                  <c:v>129.17202852773087</c:v>
                </c:pt>
                <c:pt idx="29">
                  <c:v>137.48609841748333</c:v>
                </c:pt>
                <c:pt idx="30">
                  <c:v>145.78807977958135</c:v>
                </c:pt>
                <c:pt idx="31">
                  <c:v>132.19677933344471</c:v>
                </c:pt>
                <c:pt idx="32">
                  <c:v>140.00308887267502</c:v>
                </c:pt>
                <c:pt idx="33">
                  <c:v>147.79895143931776</c:v>
                </c:pt>
                <c:pt idx="34">
                  <c:v>155.5849966637613</c:v>
                </c:pt>
                <c:pt idx="35">
                  <c:v>163.36178589487767</c:v>
                </c:pt>
                <c:pt idx="36">
                  <c:v>148.30156685454071</c:v>
                </c:pt>
                <c:pt idx="37">
                  <c:v>155.83600245999449</c:v>
                </c:pt>
                <c:pt idx="38">
                  <c:v>163.36178589487767</c:v>
                </c:pt>
                <c:pt idx="39">
                  <c:v>170.87937259733215</c:v>
                </c:pt>
                <c:pt idx="40">
                  <c:v>178.38917459039467</c:v>
                </c:pt>
                <c:pt idx="41">
                  <c:v>161.60651890758371</c:v>
                </c:pt>
                <c:pt idx="42">
                  <c:v>168.62493195391249</c:v>
                </c:pt>
                <c:pt idx="43">
                  <c:v>175.63645999411156</c:v>
                </c:pt>
                <c:pt idx="44">
                  <c:v>182.64141710738065</c:v>
                </c:pt>
                <c:pt idx="45">
                  <c:v>189.64009127150473</c:v>
                </c:pt>
                <c:pt idx="46">
                  <c:v>172.13153631847408</c:v>
                </c:pt>
                <c:pt idx="47">
                  <c:v>178.38917459039467</c:v>
                </c:pt>
                <c:pt idx="48">
                  <c:v>184.6416674200614</c:v>
                </c:pt>
                <c:pt idx="49">
                  <c:v>190.88921394362887</c:v>
                </c:pt>
                <c:pt idx="50">
                  <c:v>197.1319991740985</c:v>
                </c:pt>
                <c:pt idx="51">
                  <c:v>180.39052228624686</c:v>
                </c:pt>
                <c:pt idx="52">
                  <c:v>186.14152249162998</c:v>
                </c:pt>
                <c:pt idx="53">
                  <c:v>191.88837491699522</c:v>
                </c:pt>
                <c:pt idx="54">
                  <c:v>197.63122154787936</c:v>
                </c:pt>
                <c:pt idx="55">
                  <c:v>203.3701954286511</c:v>
                </c:pt>
                <c:pt idx="56">
                  <c:v>187.89099689996033</c:v>
                </c:pt>
                <c:pt idx="57">
                  <c:v>193.63661556819133</c:v>
                </c:pt>
                <c:pt idx="58">
                  <c:v>199.37826984118738</c:v>
                </c:pt>
                <c:pt idx="59">
                  <c:v>205.11609020648632</c:v>
                </c:pt>
                <c:pt idx="60">
                  <c:v>210.85019924163888</c:v>
                </c:pt>
                <c:pt idx="61">
                  <c:v>194.88513388320507</c:v>
                </c:pt>
                <c:pt idx="62">
                  <c:v>200.12689592175283</c:v>
                </c:pt>
                <c:pt idx="63">
                  <c:v>205.36547560924728</c:v>
                </c:pt>
                <c:pt idx="64">
                  <c:v>210.60096573779424</c:v>
                </c:pt>
                <c:pt idx="65">
                  <c:v>215.83345410032044</c:v>
                </c:pt>
                <c:pt idx="66">
                  <c:v>200.62594388226037</c:v>
                </c:pt>
                <c:pt idx="67">
                  <c:v>205.36547560924728</c:v>
                </c:pt>
                <c:pt idx="68">
                  <c:v>210.10247830330107</c:v>
                </c:pt>
                <c:pt idx="69">
                  <c:v>214.83701714979586</c:v>
                </c:pt>
                <c:pt idx="70">
                  <c:v>219.56915422062784</c:v>
                </c:pt>
                <c:pt idx="71">
                  <c:v>205.36547560924737</c:v>
                </c:pt>
                <c:pt idx="72">
                  <c:v>209.85322435416322</c:v>
                </c:pt>
                <c:pt idx="73">
                  <c:v>214.33875879502713</c:v>
                </c:pt>
                <c:pt idx="74">
                  <c:v>218.82213190949747</c:v>
                </c:pt>
                <c:pt idx="75">
                  <c:v>223.30339432263688</c:v>
                </c:pt>
                <c:pt idx="76">
                  <c:v>210.10247830330107</c:v>
                </c:pt>
                <c:pt idx="77">
                  <c:v>214.33875879502713</c:v>
                </c:pt>
                <c:pt idx="78">
                  <c:v>218.57311145585507</c:v>
                </c:pt>
                <c:pt idx="79">
                  <c:v>222.80557898497716</c:v>
                </c:pt>
                <c:pt idx="80">
                  <c:v>227.03620232349112</c:v>
                </c:pt>
                <c:pt idx="81">
                  <c:v>214.58789130305817</c:v>
                </c:pt>
                <c:pt idx="82">
                  <c:v>218.32408447977036</c:v>
                </c:pt>
                <c:pt idx="83">
                  <c:v>222.05880810195723</c:v>
                </c:pt>
                <c:pt idx="84">
                  <c:v>225.79209043046674</c:v>
                </c:pt>
                <c:pt idx="85">
                  <c:v>229.52395871325146</c:v>
                </c:pt>
                <c:pt idx="86">
                  <c:v>218.07505097272636</c:v>
                </c:pt>
                <c:pt idx="87">
                  <c:v>221.56092883337791</c:v>
                </c:pt>
                <c:pt idx="88">
                  <c:v>225.04554794620651</c:v>
                </c:pt>
                <c:pt idx="89">
                  <c:v>228.5289305983143</c:v>
                </c:pt>
                <c:pt idx="90">
                  <c:v>232.01109834037732</c:v>
                </c:pt>
                <c:pt idx="91">
                  <c:v>218.32408447977051</c:v>
                </c:pt>
                <c:pt idx="92">
                  <c:v>218.32408447977051</c:v>
                </c:pt>
                <c:pt idx="93">
                  <c:v>218.32408447977051</c:v>
                </c:pt>
                <c:pt idx="94">
                  <c:v>218.32408447977051</c:v>
                </c:pt>
                <c:pt idx="95">
                  <c:v>218.32408447977051</c:v>
                </c:pt>
                <c:pt idx="96">
                  <c:v>218.32408447977051</c:v>
                </c:pt>
                <c:pt idx="97">
                  <c:v>218.32408447977051</c:v>
                </c:pt>
                <c:pt idx="98">
                  <c:v>218.32408447977051</c:v>
                </c:pt>
                <c:pt idx="99">
                  <c:v>218.32408447977051</c:v>
                </c:pt>
                <c:pt idx="100">
                  <c:v>218.32408447977051</c:v>
                </c:pt>
                <c:pt idx="101">
                  <c:v>218.32408447977051</c:v>
                </c:pt>
                <c:pt idx="102">
                  <c:v>218.32408447977051</c:v>
                </c:pt>
                <c:pt idx="103">
                  <c:v>218.32408447977051</c:v>
                </c:pt>
                <c:pt idx="104">
                  <c:v>218.32408447977051</c:v>
                </c:pt>
                <c:pt idx="105">
                  <c:v>218.32408447977051</c:v>
                </c:pt>
                <c:pt idx="106">
                  <c:v>218.32408447977051</c:v>
                </c:pt>
                <c:pt idx="107">
                  <c:v>218.32408447977051</c:v>
                </c:pt>
                <c:pt idx="108">
                  <c:v>218.32408447977051</c:v>
                </c:pt>
                <c:pt idx="109">
                  <c:v>218.32408447977051</c:v>
                </c:pt>
                <c:pt idx="110">
                  <c:v>218.32408447977051</c:v>
                </c:pt>
                <c:pt idx="111">
                  <c:v>218.32408447977051</c:v>
                </c:pt>
                <c:pt idx="112">
                  <c:v>218.32408447977051</c:v>
                </c:pt>
                <c:pt idx="113">
                  <c:v>218.32408447977051</c:v>
                </c:pt>
                <c:pt idx="114">
                  <c:v>218.32408447977051</c:v>
                </c:pt>
                <c:pt idx="115">
                  <c:v>218.32408447977051</c:v>
                </c:pt>
                <c:pt idx="116">
                  <c:v>218.32408447977051</c:v>
                </c:pt>
                <c:pt idx="117">
                  <c:v>218.32408447977051</c:v>
                </c:pt>
                <c:pt idx="118">
                  <c:v>218.32408447977051</c:v>
                </c:pt>
                <c:pt idx="119">
                  <c:v>218.32408447977051</c:v>
                </c:pt>
                <c:pt idx="120">
                  <c:v>218.32408447977051</c:v>
                </c:pt>
                <c:pt idx="121">
                  <c:v>218.32408447977051</c:v>
                </c:pt>
                <c:pt idx="122">
                  <c:v>218.32408447977051</c:v>
                </c:pt>
                <c:pt idx="123">
                  <c:v>218.32408447977051</c:v>
                </c:pt>
                <c:pt idx="124">
                  <c:v>218.32408447977051</c:v>
                </c:pt>
                <c:pt idx="125">
                  <c:v>218.32408447977051</c:v>
                </c:pt>
                <c:pt idx="126">
                  <c:v>218.32408447977051</c:v>
                </c:pt>
                <c:pt idx="127">
                  <c:v>218.32408447977051</c:v>
                </c:pt>
                <c:pt idx="128">
                  <c:v>218.32408447977051</c:v>
                </c:pt>
                <c:pt idx="129">
                  <c:v>218.32408447977051</c:v>
                </c:pt>
                <c:pt idx="130">
                  <c:v>218.32408447977051</c:v>
                </c:pt>
                <c:pt idx="131">
                  <c:v>218.32408447977051</c:v>
                </c:pt>
                <c:pt idx="132">
                  <c:v>218.32408447977051</c:v>
                </c:pt>
                <c:pt idx="133">
                  <c:v>218.32408447977051</c:v>
                </c:pt>
                <c:pt idx="134">
                  <c:v>218.32408447977051</c:v>
                </c:pt>
                <c:pt idx="135">
                  <c:v>218.32408447977051</c:v>
                </c:pt>
                <c:pt idx="136">
                  <c:v>218.32408447977051</c:v>
                </c:pt>
                <c:pt idx="137">
                  <c:v>218.32408447977051</c:v>
                </c:pt>
                <c:pt idx="138">
                  <c:v>218.32408447977051</c:v>
                </c:pt>
                <c:pt idx="139">
                  <c:v>218.32408447977051</c:v>
                </c:pt>
                <c:pt idx="140">
                  <c:v>218.32408447977051</c:v>
                </c:pt>
                <c:pt idx="141">
                  <c:v>218.32408447977051</c:v>
                </c:pt>
                <c:pt idx="142">
                  <c:v>218.32408447977051</c:v>
                </c:pt>
                <c:pt idx="143">
                  <c:v>218.32408447977051</c:v>
                </c:pt>
                <c:pt idx="144">
                  <c:v>218.32408447977051</c:v>
                </c:pt>
                <c:pt idx="145">
                  <c:v>218.32408447977051</c:v>
                </c:pt>
                <c:pt idx="146">
                  <c:v>218.32408447977051</c:v>
                </c:pt>
                <c:pt idx="147">
                  <c:v>218.32408447977051</c:v>
                </c:pt>
                <c:pt idx="148">
                  <c:v>218.32408447977051</c:v>
                </c:pt>
                <c:pt idx="149">
                  <c:v>218.32408447977051</c:v>
                </c:pt>
                <c:pt idx="150">
                  <c:v>218.32408447977051</c:v>
                </c:pt>
                <c:pt idx="151">
                  <c:v>218.32408447977051</c:v>
                </c:pt>
                <c:pt idx="152">
                  <c:v>218.32408447977051</c:v>
                </c:pt>
                <c:pt idx="153">
                  <c:v>218.32408447977051</c:v>
                </c:pt>
                <c:pt idx="154">
                  <c:v>218.32408447977051</c:v>
                </c:pt>
                <c:pt idx="155">
                  <c:v>218.32408447977051</c:v>
                </c:pt>
                <c:pt idx="156">
                  <c:v>218.32408447977051</c:v>
                </c:pt>
                <c:pt idx="157">
                  <c:v>218.32408447977051</c:v>
                </c:pt>
                <c:pt idx="158">
                  <c:v>218.32408447977051</c:v>
                </c:pt>
                <c:pt idx="159">
                  <c:v>218.32408447977051</c:v>
                </c:pt>
                <c:pt idx="160">
                  <c:v>218.32408447977051</c:v>
                </c:pt>
                <c:pt idx="161">
                  <c:v>218.32408447977051</c:v>
                </c:pt>
                <c:pt idx="162">
                  <c:v>218.32408447977051</c:v>
                </c:pt>
                <c:pt idx="163">
                  <c:v>218.32408447977051</c:v>
                </c:pt>
                <c:pt idx="164">
                  <c:v>218.32408447977051</c:v>
                </c:pt>
                <c:pt idx="165">
                  <c:v>218.32408447977051</c:v>
                </c:pt>
                <c:pt idx="166">
                  <c:v>218.32408447977051</c:v>
                </c:pt>
                <c:pt idx="167">
                  <c:v>218.32408447977051</c:v>
                </c:pt>
                <c:pt idx="168">
                  <c:v>218.32408447977051</c:v>
                </c:pt>
                <c:pt idx="169">
                  <c:v>218.32408447977051</c:v>
                </c:pt>
                <c:pt idx="170">
                  <c:v>218.32408447977051</c:v>
                </c:pt>
                <c:pt idx="171">
                  <c:v>218.32408447977051</c:v>
                </c:pt>
                <c:pt idx="172">
                  <c:v>218.32408447977051</c:v>
                </c:pt>
                <c:pt idx="173">
                  <c:v>218.32408447977051</c:v>
                </c:pt>
                <c:pt idx="174">
                  <c:v>218.32408447977051</c:v>
                </c:pt>
                <c:pt idx="175">
                  <c:v>218.32408447977051</c:v>
                </c:pt>
                <c:pt idx="176">
                  <c:v>218.32408447977051</c:v>
                </c:pt>
                <c:pt idx="177">
                  <c:v>218.32408447977051</c:v>
                </c:pt>
                <c:pt idx="178">
                  <c:v>218.32408447977051</c:v>
                </c:pt>
                <c:pt idx="179">
                  <c:v>218.32408447977051</c:v>
                </c:pt>
                <c:pt idx="180">
                  <c:v>218.32408447977051</c:v>
                </c:pt>
                <c:pt idx="181">
                  <c:v>218.32408447977051</c:v>
                </c:pt>
                <c:pt idx="182">
                  <c:v>218.32408447977051</c:v>
                </c:pt>
                <c:pt idx="183">
                  <c:v>218.32408447977051</c:v>
                </c:pt>
                <c:pt idx="184">
                  <c:v>218.32408447977051</c:v>
                </c:pt>
                <c:pt idx="185">
                  <c:v>218.32408447977051</c:v>
                </c:pt>
                <c:pt idx="186">
                  <c:v>218.32408447977051</c:v>
                </c:pt>
                <c:pt idx="187">
                  <c:v>218.32408447977051</c:v>
                </c:pt>
                <c:pt idx="188">
                  <c:v>218.32408447977051</c:v>
                </c:pt>
                <c:pt idx="189">
                  <c:v>218.32408447977051</c:v>
                </c:pt>
                <c:pt idx="190">
                  <c:v>218.32408447977051</c:v>
                </c:pt>
                <c:pt idx="191">
                  <c:v>218.32408447977051</c:v>
                </c:pt>
                <c:pt idx="192">
                  <c:v>218.32408447977051</c:v>
                </c:pt>
                <c:pt idx="193">
                  <c:v>218.32408447977051</c:v>
                </c:pt>
                <c:pt idx="194">
                  <c:v>218.32408447977051</c:v>
                </c:pt>
                <c:pt idx="195">
                  <c:v>218.32408447977051</c:v>
                </c:pt>
                <c:pt idx="196">
                  <c:v>218.32408447977051</c:v>
                </c:pt>
                <c:pt idx="197">
                  <c:v>218.32408447977051</c:v>
                </c:pt>
                <c:pt idx="198">
                  <c:v>218.32408447977051</c:v>
                </c:pt>
                <c:pt idx="199">
                  <c:v>218.32408447977051</c:v>
                </c:pt>
                <c:pt idx="200">
                  <c:v>218.32408447977051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2.80033121253499</c:v>
                </c:pt>
                <c:pt idx="2">
                  <c:v>3.2331920402022267</c:v>
                </c:pt>
                <c:pt idx="3">
                  <c:v>3.7332025678630338</c:v>
                </c:pt>
                <c:pt idx="4">
                  <c:v>4.3108149429188805</c:v>
                </c:pt>
                <c:pt idx="5">
                  <c:v>4.9781133777906152</c:v>
                </c:pt>
                <c:pt idx="6">
                  <c:v>5.7490697393039083</c:v>
                </c:pt>
                <c:pt idx="7">
                  <c:v>6.6398392731882963</c:v>
                </c:pt>
                <c:pt idx="8">
                  <c:v>7.6691027817963127</c:v>
                </c:pt>
                <c:pt idx="9">
                  <c:v>8.8584625700164565</c:v>
                </c:pt>
                <c:pt idx="10">
                  <c:v>10.232900628832473</c:v>
                </c:pt>
                <c:pt idx="11">
                  <c:v>11.821308863037162</c:v>
                </c:pt>
                <c:pt idx="12">
                  <c:v>13.657102718169881</c:v>
                </c:pt>
                <c:pt idx="13">
                  <c:v>15.77893135533084</c:v>
                </c:pt>
                <c:pt idx="14">
                  <c:v>18.231499599972256</c:v>
                </c:pt>
                <c:pt idx="15">
                  <c:v>21.066519297081395</c:v>
                </c:pt>
                <c:pt idx="16">
                  <c:v>24.343810492506289</c:v>
                </c:pt>
                <c:pt idx="17">
                  <c:v>28.132576088968303</c:v>
                </c:pt>
                <c:pt idx="18">
                  <c:v>32.512877365593162</c:v>
                </c:pt>
                <c:pt idx="19">
                  <c:v>37.57734208274011</c:v>
                </c:pt>
                <c:pt idx="20">
                  <c:v>43.433141913583228</c:v>
                </c:pt>
                <c:pt idx="21">
                  <c:v>50.204281759315286</c:v>
                </c:pt>
                <c:pt idx="22">
                  <c:v>58.03425024235446</c:v>
                </c:pt>
                <c:pt idx="23">
                  <c:v>67.089088477976034</c:v>
                </c:pt>
                <c:pt idx="24">
                  <c:v>77.560943269096967</c:v>
                </c:pt>
                <c:pt idx="25">
                  <c:v>89.672181348239192</c:v>
                </c:pt>
                <c:pt idx="26">
                  <c:v>103.68015343301619</c:v>
                </c:pt>
                <c:pt idx="27">
                  <c:v>119.88271093114093</c:v>
                </c:pt>
                <c:pt idx="28">
                  <c:v>138.62459443431774</c:v>
                </c:pt>
                <c:pt idx="29">
                  <c:v>160.30483203260653</c:v>
                </c:pt>
                <c:pt idx="30">
                  <c:v>185.38530737361916</c:v>
                </c:pt>
                <c:pt idx="31">
                  <c:v>196.37533783443902</c:v>
                </c:pt>
                <c:pt idx="32">
                  <c:v>207.35108824704912</c:v>
                </c:pt>
                <c:pt idx="33">
                  <c:v>218.31342161081352</c:v>
                </c:pt>
                <c:pt idx="34">
                  <c:v>229.26310709251729</c:v>
                </c:pt>
                <c:pt idx="35">
                  <c:v>240.20083432049225</c:v>
                </c:pt>
                <c:pt idx="36">
                  <c:v>251.12722493560943</c:v>
                </c:pt>
                <c:pt idx="37">
                  <c:v>262.04284202449577</c:v>
                </c:pt>
                <c:pt idx="38">
                  <c:v>272.94819789712841</c:v>
                </c:pt>
                <c:pt idx="39">
                  <c:v>283.84376055529771</c:v>
                </c:pt>
                <c:pt idx="40">
                  <c:v>294.72995911512686</c:v>
                </c:pt>
                <c:pt idx="41">
                  <c:v>305.60718838596318</c:v>
                </c:pt>
                <c:pt idx="42">
                  <c:v>316.4758127628665</c:v>
                </c:pt>
                <c:pt idx="43">
                  <c:v>327.33616955611961</c:v>
                </c:pt>
                <c:pt idx="44">
                  <c:v>338.18857185554612</c:v>
                </c:pt>
                <c:pt idx="45">
                  <c:v>220.60470895888159</c:v>
                </c:pt>
                <c:pt idx="46">
                  <c:v>234.60392856819058</c:v>
                </c:pt>
                <c:pt idx="47">
                  <c:v>248.58409025616402</c:v>
                </c:pt>
                <c:pt idx="48">
                  <c:v>262.54641706022585</c:v>
                </c:pt>
                <c:pt idx="49">
                  <c:v>276.49199124793489</c:v>
                </c:pt>
                <c:pt idx="50">
                  <c:v>290.42177695391069</c:v>
                </c:pt>
                <c:pt idx="51">
                  <c:v>304.33663824269297</c:v>
                </c:pt>
                <c:pt idx="52">
                  <c:v>240.41935872090417</c:v>
                </c:pt>
                <c:pt idx="53">
                  <c:v>253.50865855137769</c:v>
                </c:pt>
                <c:pt idx="54">
                  <c:v>266.58265739444079</c:v>
                </c:pt>
                <c:pt idx="55">
                  <c:v>279.64221160679057</c:v>
                </c:pt>
                <c:pt idx="56">
                  <c:v>292.6880909926802</c:v>
                </c:pt>
                <c:pt idx="57">
                  <c:v>305.72099110209916</c:v>
                </c:pt>
                <c:pt idx="58">
                  <c:v>318.74154332078069</c:v>
                </c:pt>
                <c:pt idx="59">
                  <c:v>331.75032322437022</c:v>
                </c:pt>
                <c:pt idx="60">
                  <c:v>264.48165557092597</c:v>
                </c:pt>
                <c:pt idx="61">
                  <c:v>276.62240947152162</c:v>
                </c:pt>
                <c:pt idx="62">
                  <c:v>288.75120300595034</c:v>
                </c:pt>
                <c:pt idx="63">
                  <c:v>300.86860954335856</c:v>
                </c:pt>
                <c:pt idx="64">
                  <c:v>312.97515247729331</c:v>
                </c:pt>
                <c:pt idx="65">
                  <c:v>325.07131138762742</c:v>
                </c:pt>
                <c:pt idx="66">
                  <c:v>337.15752723690747</c:v>
                </c:pt>
                <c:pt idx="67">
                  <c:v>349.23420678233242</c:v>
                </c:pt>
                <c:pt idx="68">
                  <c:v>295.70900070054716</c:v>
                </c:pt>
                <c:pt idx="69">
                  <c:v>307.30433706893126</c:v>
                </c:pt>
                <c:pt idx="70">
                  <c:v>318.88995436923523</c:v>
                </c:pt>
                <c:pt idx="71">
                  <c:v>330.46625560244939</c:v>
                </c:pt>
                <c:pt idx="72">
                  <c:v>342.03361321930743</c:v>
                </c:pt>
                <c:pt idx="73">
                  <c:v>353.5923724131722</c:v>
                </c:pt>
                <c:pt idx="74">
                  <c:v>365.14285395969938</c:v>
                </c:pt>
                <c:pt idx="75">
                  <c:v>376.68535667831543</c:v>
                </c:pt>
                <c:pt idx="76">
                  <c:v>325.07022459446569</c:v>
                </c:pt>
                <c:pt idx="77">
                  <c:v>336.26433346535657</c:v>
                </c:pt>
                <c:pt idx="78">
                  <c:v>347.45023779511899</c:v>
                </c:pt>
                <c:pt idx="79">
                  <c:v>358.62823904709302</c:v>
                </c:pt>
                <c:pt idx="80">
                  <c:v>369.79861835176501</c:v>
                </c:pt>
                <c:pt idx="81">
                  <c:v>380.96163846407029</c:v>
                </c:pt>
                <c:pt idx="82">
                  <c:v>392.11754547924482</c:v>
                </c:pt>
                <c:pt idx="83">
                  <c:v>403.26657034317213</c:v>
                </c:pt>
                <c:pt idx="84">
                  <c:v>414.40893018695834</c:v>
                </c:pt>
                <c:pt idx="85">
                  <c:v>353.95577071128059</c:v>
                </c:pt>
                <c:pt idx="86">
                  <c:v>364.63498264849346</c:v>
                </c:pt>
                <c:pt idx="87">
                  <c:v>375.30736346509519</c:v>
                </c:pt>
                <c:pt idx="88">
                  <c:v>385.97313486442658</c:v>
                </c:pt>
                <c:pt idx="89">
                  <c:v>396.63250529300484</c:v>
                </c:pt>
                <c:pt idx="90">
                  <c:v>407.28567107582967</c:v>
                </c:pt>
                <c:pt idx="91">
                  <c:v>417.93281742668711</c:v>
                </c:pt>
                <c:pt idx="92">
                  <c:v>428.57411935011061</c:v>
                </c:pt>
                <c:pt idx="93">
                  <c:v>439.2097424490762</c:v>
                </c:pt>
                <c:pt idx="94">
                  <c:v>388.96939364255013</c:v>
                </c:pt>
                <c:pt idx="95">
                  <c:v>399.62224069425901</c:v>
                </c:pt>
                <c:pt idx="96">
                  <c:v>410.26894164564254</c:v>
                </c:pt>
                <c:pt idx="97">
                  <c:v>420.90967851722456</c:v>
                </c:pt>
                <c:pt idx="98">
                  <c:v>431.54462337332347</c:v>
                </c:pt>
                <c:pt idx="99">
                  <c:v>442.17393910383311</c:v>
                </c:pt>
                <c:pt idx="100">
                  <c:v>452.79778012690167</c:v>
                </c:pt>
                <c:pt idx="101">
                  <c:v>463.41629302222265</c:v>
                </c:pt>
                <c:pt idx="102">
                  <c:v>474.02961710325332</c:v>
                </c:pt>
                <c:pt idx="103">
                  <c:v>484.63788493551419</c:v>
                </c:pt>
                <c:pt idx="104">
                  <c:v>415.10943513621038</c:v>
                </c:pt>
                <c:pt idx="105">
                  <c:v>425.41949941830768</c:v>
                </c:pt>
                <c:pt idx="106">
                  <c:v>435.724189378208</c:v>
                </c:pt>
                <c:pt idx="107">
                  <c:v>446.02365006516692</c:v>
                </c:pt>
                <c:pt idx="108">
                  <c:v>456.3180192815957</c:v>
                </c:pt>
                <c:pt idx="109">
                  <c:v>466.60742810394527</c:v>
                </c:pt>
                <c:pt idx="110">
                  <c:v>476.89200135524828</c:v>
                </c:pt>
                <c:pt idx="111">
                  <c:v>487.17185803477059</c:v>
                </c:pt>
                <c:pt idx="112">
                  <c:v>497.44711170951149</c:v>
                </c:pt>
                <c:pt idx="113">
                  <c:v>507.71787087166916</c:v>
                </c:pt>
                <c:pt idx="114">
                  <c:v>454.67168843245491</c:v>
                </c:pt>
                <c:pt idx="115">
                  <c:v>465.38675976853341</c:v>
                </c:pt>
                <c:pt idx="116">
                  <c:v>476.09657210373803</c:v>
                </c:pt>
                <c:pt idx="117">
                  <c:v>486.80126042752903</c:v>
                </c:pt>
                <c:pt idx="118">
                  <c:v>497.50095330786547</c:v>
                </c:pt>
                <c:pt idx="119">
                  <c:v>508.19577333115927</c:v>
                </c:pt>
                <c:pt idx="120">
                  <c:v>518.8858375032695</c:v>
                </c:pt>
                <c:pt idx="121">
                  <c:v>529.57125761573309</c:v>
                </c:pt>
                <c:pt idx="122">
                  <c:v>540.25214058090251</c:v>
                </c:pt>
                <c:pt idx="123">
                  <c:v>550.92858873920397</c:v>
                </c:pt>
                <c:pt idx="124">
                  <c:v>561.60070014134226</c:v>
                </c:pt>
                <c:pt idx="125">
                  <c:v>572.26856880794298</c:v>
                </c:pt>
                <c:pt idx="126">
                  <c:v>485.86827596707514</c:v>
                </c:pt>
                <c:pt idx="127">
                  <c:v>496.44348170304221</c:v>
                </c:pt>
                <c:pt idx="128">
                  <c:v>507.01391614180881</c:v>
                </c:pt>
                <c:pt idx="129">
                  <c:v>517.57969278390635</c:v>
                </c:pt>
                <c:pt idx="130">
                  <c:v>528.14092011787591</c:v>
                </c:pt>
                <c:pt idx="131">
                  <c:v>538.69770193952468</c:v>
                </c:pt>
                <c:pt idx="132">
                  <c:v>549.25013764485414</c:v>
                </c:pt>
                <c:pt idx="133">
                  <c:v>559.79832249931235</c:v>
                </c:pt>
                <c:pt idx="134">
                  <c:v>570.34234788569677</c:v>
                </c:pt>
                <c:pt idx="135">
                  <c:v>580.8823015327763</c:v>
                </c:pt>
                <c:pt idx="136">
                  <c:v>591.41826772645936</c:v>
                </c:pt>
                <c:pt idx="137">
                  <c:v>601.95032750513701</c:v>
                </c:pt>
                <c:pt idx="138">
                  <c:v>509.32698658413818</c:v>
                </c:pt>
                <c:pt idx="139">
                  <c:v>519.6131170105399</c:v>
                </c:pt>
                <c:pt idx="140">
                  <c:v>529.89495428211808</c:v>
                </c:pt>
                <c:pt idx="141">
                  <c:v>540.17259344593401</c:v>
                </c:pt>
                <c:pt idx="142">
                  <c:v>550.4461256372507</c:v>
                </c:pt>
                <c:pt idx="143">
                  <c:v>560.71563831209176</c:v>
                </c:pt>
                <c:pt idx="144">
                  <c:v>570.98121546187531</c:v>
                </c:pt>
                <c:pt idx="145">
                  <c:v>581.24293781181666</c:v>
                </c:pt>
                <c:pt idx="146">
                  <c:v>591.50088300458958</c:v>
                </c:pt>
                <c:pt idx="147">
                  <c:v>601.75512577058942</c:v>
                </c:pt>
                <c:pt idx="148">
                  <c:v>612.00573808599006</c:v>
                </c:pt>
                <c:pt idx="149">
                  <c:v>622.25278931966182</c:v>
                </c:pt>
                <c:pt idx="150">
                  <c:v>385.58443738719296</c:v>
                </c:pt>
                <c:pt idx="151">
                  <c:v>391.85561736484743</c:v>
                </c:pt>
                <c:pt idx="152">
                  <c:v>398.12462062672506</c:v>
                </c:pt>
                <c:pt idx="153">
                  <c:v>404.39148631382312</c:v>
                </c:pt>
                <c:pt idx="154">
                  <c:v>265.61981298658986</c:v>
                </c:pt>
                <c:pt idx="155">
                  <c:v>269.44452913892491</c:v>
                </c:pt>
                <c:pt idx="156">
                  <c:v>273.26802309100526</c:v>
                </c:pt>
                <c:pt idx="157">
                  <c:v>277.09031439007811</c:v>
                </c:pt>
                <c:pt idx="158">
                  <c:v>185.74524606996872</c:v>
                </c:pt>
                <c:pt idx="159">
                  <c:v>188.13892084434758</c:v>
                </c:pt>
                <c:pt idx="160">
                  <c:v>190.53188525040613</c:v>
                </c:pt>
                <c:pt idx="161">
                  <c:v>192.92414949593956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110" zoomScaleNormal="80" workbookViewId="0">
      <selection activeCell="C5" sqref="C5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18.54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14</v>
      </c>
      <c r="C9" s="32">
        <v>0.34689999999999999</v>
      </c>
      <c r="D9" s="33">
        <f t="shared" ref="D9:D18" si="0">C9*$C$5</f>
        <v>6.4315259999999999</v>
      </c>
      <c r="E9" s="34">
        <f>MAX(A36:A55)</f>
        <v>161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12</v>
      </c>
      <c r="C10" s="32">
        <v>0.27500000000000002</v>
      </c>
      <c r="D10" s="33">
        <f t="shared" si="0"/>
        <v>5.0985000000000005</v>
      </c>
      <c r="E10" s="34">
        <f>MAX(A62:A81)</f>
        <v>161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21</v>
      </c>
      <c r="C11" s="32">
        <v>2.9499999999999998E-2</v>
      </c>
      <c r="D11" s="33">
        <f t="shared" si="0"/>
        <v>0.54692999999999992</v>
      </c>
      <c r="E11" s="34">
        <f>MAX(A88:A107)</f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5</v>
      </c>
      <c r="C12" s="32">
        <v>7.6700000000000004E-2</v>
      </c>
      <c r="D12" s="33">
        <f t="shared" si="0"/>
        <v>1.422018</v>
      </c>
      <c r="E12" s="34">
        <f>MAX(A114:A133)</f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49</v>
      </c>
      <c r="C13" s="32">
        <v>3.5400000000000001E-2</v>
      </c>
      <c r="D13" s="33">
        <f t="shared" si="0"/>
        <v>0.65631600000000001</v>
      </c>
      <c r="E13" s="34">
        <f>MAX(A140:A159)</f>
        <v>90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">
        <v>6</v>
      </c>
      <c r="C14" s="32">
        <v>7.4200000000000002E-2</v>
      </c>
      <c r="D14" s="33">
        <f t="shared" si="0"/>
        <v>1.3756679999999999</v>
      </c>
      <c r="E14" s="34">
        <f>MAX(A166:A185)</f>
        <v>161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0.8377</v>
      </c>
      <c r="D19" s="38">
        <f>SUM(D9:D18)</f>
        <v>15.530957999999998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30</v>
      </c>
      <c r="B36" s="60">
        <v>87.705128205128204</v>
      </c>
      <c r="C36" s="60" t="s">
        <v>324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2.9235042735042733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44</v>
      </c>
      <c r="B37" s="60">
        <v>162.42307692307691</v>
      </c>
      <c r="C37" s="60">
        <v>1</v>
      </c>
      <c r="D37" s="60">
        <v>64.416666666666657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5.3369963369963358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51</v>
      </c>
      <c r="B38" s="60">
        <v>145.78846153846152</v>
      </c>
      <c r="C38" s="60">
        <v>2</v>
      </c>
      <c r="D38" s="60">
        <v>37.685897435897431</v>
      </c>
      <c r="E38" s="51">
        <v>0</v>
      </c>
      <c r="F38" s="51">
        <v>0</v>
      </c>
      <c r="G38" s="51">
        <v>0</v>
      </c>
      <c r="H38" s="51">
        <v>1</v>
      </c>
      <c r="I38" s="53">
        <f t="shared" si="1"/>
        <v>6.826007326007324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59</v>
      </c>
      <c r="B39" s="60">
        <v>159.25641025641025</v>
      </c>
      <c r="C39" s="60">
        <v>3</v>
      </c>
      <c r="D39" s="60">
        <v>38.942307692307693</v>
      </c>
      <c r="E39" s="51">
        <v>0</v>
      </c>
      <c r="F39" s="51">
        <v>0</v>
      </c>
      <c r="G39" s="51">
        <v>0</v>
      </c>
      <c r="H39" s="51">
        <v>1</v>
      </c>
      <c r="I39" s="49">
        <f t="shared" si="1"/>
        <v>6.3942307692307701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67</v>
      </c>
      <c r="B40" s="60">
        <v>167.85897435897436</v>
      </c>
      <c r="C40" s="60">
        <v>4</v>
      </c>
      <c r="D40" s="60">
        <v>31.993589743589741</v>
      </c>
      <c r="E40" s="51">
        <v>0</v>
      </c>
      <c r="F40" s="51">
        <v>0</v>
      </c>
      <c r="G40" s="51">
        <v>0</v>
      </c>
      <c r="H40" s="51">
        <v>1</v>
      </c>
      <c r="I40" s="49">
        <f t="shared" si="1"/>
        <v>5.9431089743589762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75</v>
      </c>
      <c r="B41" s="60">
        <v>181.38461538461536</v>
      </c>
      <c r="C41" s="60">
        <v>5</v>
      </c>
      <c r="D41" s="60">
        <v>30.916666666666664</v>
      </c>
      <c r="E41" s="51">
        <v>0.7</v>
      </c>
      <c r="F41" s="51">
        <v>0</v>
      </c>
      <c r="G41" s="51">
        <v>0</v>
      </c>
      <c r="H41" s="51">
        <v>0.3</v>
      </c>
      <c r="I41" s="53">
        <f t="shared" si="1"/>
        <v>5.6899038461538431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84</v>
      </c>
      <c r="B42" s="60">
        <v>200.00641025641025</v>
      </c>
      <c r="C42" s="60">
        <v>6</v>
      </c>
      <c r="D42" s="60">
        <v>35.083333333333329</v>
      </c>
      <c r="E42" s="51">
        <v>0.7</v>
      </c>
      <c r="F42" s="51">
        <v>0</v>
      </c>
      <c r="G42" s="51">
        <v>0</v>
      </c>
      <c r="H42" s="51">
        <v>0.3</v>
      </c>
      <c r="I42" s="53">
        <f t="shared" si="1"/>
        <v>5.5042735042735051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93</v>
      </c>
      <c r="B43" s="60">
        <v>212.26923076923075</v>
      </c>
      <c r="C43" s="60">
        <v>7</v>
      </c>
      <c r="D43" s="60">
        <v>30.083333333333332</v>
      </c>
      <c r="E43" s="51">
        <v>0.7</v>
      </c>
      <c r="F43" s="51">
        <v>0</v>
      </c>
      <c r="G43" s="51">
        <v>0</v>
      </c>
      <c r="H43" s="51">
        <v>0.3</v>
      </c>
      <c r="I43" s="49">
        <f t="shared" si="1"/>
        <v>5.2606837606837598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103</v>
      </c>
      <c r="B44" s="60">
        <v>234.76923076923077</v>
      </c>
      <c r="C44" s="60">
        <v>8</v>
      </c>
      <c r="D44" s="60">
        <v>39.512820512820511</v>
      </c>
      <c r="E44" s="51">
        <v>0.7</v>
      </c>
      <c r="F44" s="51">
        <v>0</v>
      </c>
      <c r="G44" s="51">
        <v>0</v>
      </c>
      <c r="H44" s="51">
        <v>0.3</v>
      </c>
      <c r="I44" s="49">
        <f t="shared" si="1"/>
        <v>5.2583333333333373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113</v>
      </c>
      <c r="B45" s="60">
        <v>246.21794871794873</v>
      </c>
      <c r="C45" s="60">
        <v>9</v>
      </c>
      <c r="D45" s="60">
        <v>31.602564102564099</v>
      </c>
      <c r="E45" s="51">
        <v>0.7</v>
      </c>
      <c r="F45" s="51">
        <v>0</v>
      </c>
      <c r="G45" s="51">
        <v>0</v>
      </c>
      <c r="H45" s="51">
        <v>0.3</v>
      </c>
      <c r="I45" s="49">
        <f t="shared" si="1"/>
        <v>5.0961538461538449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125</v>
      </c>
      <c r="B46" s="60">
        <v>278.29487179487177</v>
      </c>
      <c r="C46" s="60">
        <v>10</v>
      </c>
      <c r="D46" s="60">
        <v>48.160256410256409</v>
      </c>
      <c r="E46" s="51">
        <v>0.7</v>
      </c>
      <c r="F46" s="51">
        <v>0</v>
      </c>
      <c r="G46" s="51">
        <v>0</v>
      </c>
      <c r="H46" s="51">
        <v>0.3</v>
      </c>
      <c r="I46" s="49">
        <f t="shared" si="1"/>
        <v>5.3066239316239274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137</v>
      </c>
      <c r="B47" s="60">
        <v>293.07051282051282</v>
      </c>
      <c r="C47" s="60">
        <v>11</v>
      </c>
      <c r="D47" s="60">
        <v>51.160256410256409</v>
      </c>
      <c r="E47" s="51">
        <v>0.7</v>
      </c>
      <c r="F47" s="51">
        <v>0</v>
      </c>
      <c r="G47" s="51">
        <v>0</v>
      </c>
      <c r="H47" s="51">
        <v>0.3</v>
      </c>
      <c r="I47" s="49">
        <f t="shared" si="1"/>
        <v>5.2446581196581219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149</v>
      </c>
      <c r="B48" s="60">
        <v>303.18589743589746</v>
      </c>
      <c r="C48" s="60">
        <v>12</v>
      </c>
      <c r="D48" s="60">
        <v>120.50641025641026</v>
      </c>
      <c r="E48" s="51">
        <v>0.9</v>
      </c>
      <c r="F48" s="51">
        <v>0</v>
      </c>
      <c r="G48" s="51">
        <v>0</v>
      </c>
      <c r="H48" s="51">
        <v>0.1</v>
      </c>
      <c r="I48" s="49">
        <f t="shared" si="1"/>
        <v>5.1063034188034209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153</v>
      </c>
      <c r="B49" s="60">
        <v>195.05769230769226</v>
      </c>
      <c r="C49" s="60">
        <v>13</v>
      </c>
      <c r="D49" s="60">
        <v>70.115384615384613</v>
      </c>
      <c r="E49" s="51">
        <v>0.9</v>
      </c>
      <c r="F49" s="51">
        <v>0</v>
      </c>
      <c r="G49" s="51">
        <v>0</v>
      </c>
      <c r="H49" s="51">
        <v>0.1</v>
      </c>
      <c r="I49" s="49">
        <f t="shared" si="1"/>
        <v>3.0945512820512704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157</v>
      </c>
      <c r="B50" s="50">
        <v>132.42948717948718</v>
      </c>
      <c r="C50" s="50">
        <v>14</v>
      </c>
      <c r="D50" s="50">
        <v>45.71153846153846</v>
      </c>
      <c r="E50" s="51">
        <v>0.9</v>
      </c>
      <c r="F50" s="51">
        <v>0</v>
      </c>
      <c r="G50" s="51">
        <v>0</v>
      </c>
      <c r="H50" s="51">
        <v>0.1</v>
      </c>
      <c r="I50" s="49">
        <f t="shared" si="1"/>
        <v>1.8717948717948829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161</v>
      </c>
      <c r="B51" s="50">
        <v>91.365384615384613</v>
      </c>
      <c r="C51" s="50">
        <v>15</v>
      </c>
      <c r="D51" s="50">
        <v>91.365384615384613</v>
      </c>
      <c r="E51" s="51">
        <v>0.9</v>
      </c>
      <c r="F51" s="51">
        <v>0</v>
      </c>
      <c r="G51" s="51">
        <v>0</v>
      </c>
      <c r="H51" s="51">
        <v>0.1</v>
      </c>
      <c r="I51" s="49">
        <f t="shared" si="1"/>
        <v>1.1618589743589709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87.705128205128204</v>
      </c>
      <c r="C62" s="60" t="s">
        <v>324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2.9235042735042733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44</v>
      </c>
      <c r="B63" s="60">
        <v>162.42307692307691</v>
      </c>
      <c r="C63" s="60">
        <v>1</v>
      </c>
      <c r="D63" s="60">
        <v>64.416666666666657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5.3369963369963358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51</v>
      </c>
      <c r="B64" s="60">
        <v>145.78846153846152</v>
      </c>
      <c r="C64" s="60">
        <v>2</v>
      </c>
      <c r="D64" s="60">
        <v>37.685897435897431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6.826007326007324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59</v>
      </c>
      <c r="B65" s="60">
        <v>159.25641025641025</v>
      </c>
      <c r="C65" s="60">
        <v>3</v>
      </c>
      <c r="D65" s="60">
        <v>38.942307692307693</v>
      </c>
      <c r="E65" s="51">
        <v>0</v>
      </c>
      <c r="F65" s="51">
        <v>0</v>
      </c>
      <c r="G65" s="51">
        <v>0</v>
      </c>
      <c r="H65" s="51">
        <v>1</v>
      </c>
      <c r="I65" s="49">
        <f>IF(A65&lt;&gt;0,(B65-(B64-D64))/(A65-A64),"")</f>
        <v>6.3942307692307701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67</v>
      </c>
      <c r="B66" s="60">
        <v>167.85897435897436</v>
      </c>
      <c r="C66" s="60">
        <v>4</v>
      </c>
      <c r="D66" s="60">
        <v>31.993589743589741</v>
      </c>
      <c r="E66" s="51">
        <v>0</v>
      </c>
      <c r="F66" s="51">
        <v>0</v>
      </c>
      <c r="G66" s="51">
        <v>0</v>
      </c>
      <c r="H66" s="51">
        <v>1</v>
      </c>
      <c r="I66" s="49">
        <f t="shared" ref="I66:I81" si="2">IF(A66&lt;&gt;0,(B66-(B65-D65))/(A66-A65),"")</f>
        <v>5.9431089743589762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75</v>
      </c>
      <c r="B67" s="60">
        <v>181.38461538461536</v>
      </c>
      <c r="C67" s="60">
        <v>5</v>
      </c>
      <c r="D67" s="60">
        <v>30.916666666666664</v>
      </c>
      <c r="E67" s="51">
        <v>0.7</v>
      </c>
      <c r="F67" s="51">
        <v>0</v>
      </c>
      <c r="G67" s="51">
        <v>0</v>
      </c>
      <c r="H67" s="51">
        <v>0.3</v>
      </c>
      <c r="I67" s="49">
        <f t="shared" si="2"/>
        <v>5.6899038461538431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84</v>
      </c>
      <c r="B68" s="60">
        <v>200.00641025641025</v>
      </c>
      <c r="C68" s="60">
        <v>6</v>
      </c>
      <c r="D68" s="60">
        <v>35.083333333333329</v>
      </c>
      <c r="E68" s="51">
        <v>0.7</v>
      </c>
      <c r="F68" s="51">
        <v>0</v>
      </c>
      <c r="G68" s="51">
        <v>0</v>
      </c>
      <c r="H68" s="51">
        <v>0.3</v>
      </c>
      <c r="I68" s="49">
        <f t="shared" si="2"/>
        <v>5.5042735042735051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93</v>
      </c>
      <c r="B69" s="50">
        <v>212.26923076923075</v>
      </c>
      <c r="C69" s="50">
        <v>7</v>
      </c>
      <c r="D69" s="50">
        <v>30.083333333333332</v>
      </c>
      <c r="E69" s="51">
        <v>0.7</v>
      </c>
      <c r="F69" s="51">
        <v>0</v>
      </c>
      <c r="G69" s="51">
        <v>0</v>
      </c>
      <c r="H69" s="51">
        <v>0.3</v>
      </c>
      <c r="I69" s="49">
        <f t="shared" si="2"/>
        <v>5.2606837606837598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103</v>
      </c>
      <c r="B70" s="50">
        <v>234.76923076923077</v>
      </c>
      <c r="C70" s="50">
        <v>8</v>
      </c>
      <c r="D70" s="50">
        <v>39.512820512820511</v>
      </c>
      <c r="E70" s="51">
        <v>0.7</v>
      </c>
      <c r="F70" s="51">
        <v>0</v>
      </c>
      <c r="G70" s="51">
        <v>0</v>
      </c>
      <c r="H70" s="51">
        <v>0.3</v>
      </c>
      <c r="I70" s="49">
        <f t="shared" si="2"/>
        <v>5.2583333333333373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113</v>
      </c>
      <c r="B71" s="50">
        <v>246.21794871794873</v>
      </c>
      <c r="C71" s="50">
        <v>9</v>
      </c>
      <c r="D71" s="50">
        <v>31.602564102564099</v>
      </c>
      <c r="E71" s="51">
        <v>0.7</v>
      </c>
      <c r="F71" s="51">
        <v>0</v>
      </c>
      <c r="G71" s="51">
        <v>0</v>
      </c>
      <c r="H71" s="51">
        <v>0.3</v>
      </c>
      <c r="I71" s="49">
        <f t="shared" si="2"/>
        <v>5.0961538461538449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125</v>
      </c>
      <c r="B72" s="50">
        <v>278.29487179487177</v>
      </c>
      <c r="C72" s="50">
        <v>10</v>
      </c>
      <c r="D72" s="50">
        <v>48.160256410256409</v>
      </c>
      <c r="E72" s="51">
        <v>0.7</v>
      </c>
      <c r="F72" s="51">
        <v>0</v>
      </c>
      <c r="G72" s="51">
        <v>0</v>
      </c>
      <c r="H72" s="51">
        <v>0.3</v>
      </c>
      <c r="I72" s="49">
        <f t="shared" si="2"/>
        <v>5.3066239316239274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137</v>
      </c>
      <c r="B73" s="50">
        <v>293.07051282051282</v>
      </c>
      <c r="C73" s="50">
        <v>11</v>
      </c>
      <c r="D73" s="50">
        <v>51.160256410256409</v>
      </c>
      <c r="E73" s="51">
        <v>0.7</v>
      </c>
      <c r="F73" s="51">
        <v>0</v>
      </c>
      <c r="G73" s="51">
        <v>0</v>
      </c>
      <c r="H73" s="51">
        <v>0.3</v>
      </c>
      <c r="I73" s="49">
        <f t="shared" si="2"/>
        <v>5.2446581196581219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149</v>
      </c>
      <c r="B74" s="50">
        <v>303.18589743589746</v>
      </c>
      <c r="C74" s="50">
        <v>12</v>
      </c>
      <c r="D74" s="50">
        <v>120.50641025641026</v>
      </c>
      <c r="E74" s="51">
        <v>0.9</v>
      </c>
      <c r="F74" s="51">
        <v>0</v>
      </c>
      <c r="G74" s="51">
        <v>0</v>
      </c>
      <c r="H74" s="51">
        <v>0.1</v>
      </c>
      <c r="I74" s="49">
        <f t="shared" si="2"/>
        <v>5.1063034188034209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153</v>
      </c>
      <c r="B75" s="50">
        <v>195.05769230769226</v>
      </c>
      <c r="C75" s="50">
        <v>13</v>
      </c>
      <c r="D75" s="50">
        <v>70.115384615384613</v>
      </c>
      <c r="E75" s="51">
        <v>0.9</v>
      </c>
      <c r="F75" s="51">
        <v>0</v>
      </c>
      <c r="G75" s="51">
        <v>0</v>
      </c>
      <c r="H75" s="51">
        <v>0.1</v>
      </c>
      <c r="I75" s="49">
        <f t="shared" si="2"/>
        <v>3.0945512820512704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157</v>
      </c>
      <c r="B76" s="50">
        <v>132.42948717948718</v>
      </c>
      <c r="C76" s="50">
        <v>14</v>
      </c>
      <c r="D76" s="50">
        <v>45.71153846153846</v>
      </c>
      <c r="E76" s="51">
        <v>0.9</v>
      </c>
      <c r="F76" s="51">
        <v>0</v>
      </c>
      <c r="G76" s="51">
        <v>0</v>
      </c>
      <c r="H76" s="51">
        <v>0.1</v>
      </c>
      <c r="I76" s="49">
        <f t="shared" si="2"/>
        <v>1.8717948717948829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161</v>
      </c>
      <c r="B77" s="50">
        <v>91.365384615384613</v>
      </c>
      <c r="C77" s="50">
        <v>15</v>
      </c>
      <c r="D77" s="50">
        <v>91.365384615384613</v>
      </c>
      <c r="E77" s="51">
        <v>0.9</v>
      </c>
      <c r="F77" s="51">
        <v>0</v>
      </c>
      <c r="G77" s="51">
        <v>0</v>
      </c>
      <c r="H77" s="51">
        <v>0.1</v>
      </c>
      <c r="I77" s="49">
        <f t="shared" si="2"/>
        <v>1.1618589743589709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Erable champêtre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20</v>
      </c>
      <c r="B88" s="60">
        <v>18</v>
      </c>
      <c r="C88" s="60">
        <v>1</v>
      </c>
      <c r="D88" s="60">
        <v>3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0.9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25</v>
      </c>
      <c r="B89" s="60">
        <v>53</v>
      </c>
      <c r="C89" s="60">
        <v>2</v>
      </c>
      <c r="D89" s="60">
        <v>14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7.6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30</v>
      </c>
      <c r="B90" s="60">
        <v>76</v>
      </c>
      <c r="C90" s="60">
        <v>3</v>
      </c>
      <c r="D90" s="60">
        <v>14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7.4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35</v>
      </c>
      <c r="B91" s="60">
        <v>95</v>
      </c>
      <c r="C91" s="60">
        <v>4</v>
      </c>
      <c r="D91" s="60">
        <v>14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6.6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40</v>
      </c>
      <c r="B92" s="60">
        <v>109</v>
      </c>
      <c r="C92" s="60">
        <v>5</v>
      </c>
      <c r="D92" s="60">
        <v>14</v>
      </c>
      <c r="E92" s="87">
        <v>0</v>
      </c>
      <c r="F92" s="87">
        <v>7.0000000000000007E-2</v>
      </c>
      <c r="G92" s="87">
        <v>0</v>
      </c>
      <c r="H92" s="87">
        <v>0.93</v>
      </c>
      <c r="I92" s="53">
        <f t="shared" si="3"/>
        <v>5.6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45</v>
      </c>
      <c r="B93" s="60">
        <v>120</v>
      </c>
      <c r="C93" s="60">
        <v>6</v>
      </c>
      <c r="D93" s="60">
        <v>14</v>
      </c>
      <c r="E93" s="87">
        <v>0</v>
      </c>
      <c r="F93" s="87">
        <v>0.14000000000000001</v>
      </c>
      <c r="G93" s="87">
        <v>0</v>
      </c>
      <c r="H93" s="87">
        <v>0.86</v>
      </c>
      <c r="I93" s="53">
        <f t="shared" si="3"/>
        <v>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50</v>
      </c>
      <c r="B94" s="60">
        <v>126</v>
      </c>
      <c r="C94" s="60">
        <v>7</v>
      </c>
      <c r="D94" s="60">
        <v>11</v>
      </c>
      <c r="E94" s="87">
        <v>0</v>
      </c>
      <c r="F94" s="87">
        <v>0.18</v>
      </c>
      <c r="G94" s="87">
        <v>0</v>
      </c>
      <c r="H94" s="87">
        <v>0.82</v>
      </c>
      <c r="I94" s="53">
        <f t="shared" si="3"/>
        <v>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55</v>
      </c>
      <c r="B95" s="60">
        <v>134</v>
      </c>
      <c r="C95" s="60">
        <v>8</v>
      </c>
      <c r="D95" s="60">
        <v>9</v>
      </c>
      <c r="E95" s="87">
        <v>0</v>
      </c>
      <c r="F95" s="87">
        <v>0.33</v>
      </c>
      <c r="G95" s="87">
        <v>0</v>
      </c>
      <c r="H95" s="87">
        <v>0.67</v>
      </c>
      <c r="I95" s="53">
        <f t="shared" si="3"/>
        <v>3.8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60</v>
      </c>
      <c r="B96" s="60">
        <v>140</v>
      </c>
      <c r="C96" s="60">
        <v>9</v>
      </c>
      <c r="D96" s="60">
        <v>7</v>
      </c>
      <c r="E96" s="87">
        <v>0</v>
      </c>
      <c r="F96" s="87">
        <v>0.43</v>
      </c>
      <c r="G96" s="87">
        <v>0</v>
      </c>
      <c r="H96" s="87">
        <v>0.56999999999999995</v>
      </c>
      <c r="I96" s="53">
        <f t="shared" si="3"/>
        <v>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65</v>
      </c>
      <c r="B97" s="60">
        <v>146</v>
      </c>
      <c r="C97" s="60">
        <v>10</v>
      </c>
      <c r="D97" s="60">
        <v>6</v>
      </c>
      <c r="E97" s="87">
        <v>0.17</v>
      </c>
      <c r="F97" s="87">
        <v>0.33</v>
      </c>
      <c r="G97" s="87">
        <v>0</v>
      </c>
      <c r="H97" s="87">
        <v>0.5</v>
      </c>
      <c r="I97" s="53">
        <f t="shared" si="3"/>
        <v>2.6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70</v>
      </c>
      <c r="B98" s="60">
        <v>151</v>
      </c>
      <c r="C98" s="60">
        <v>11</v>
      </c>
      <c r="D98" s="60">
        <v>5</v>
      </c>
      <c r="E98" s="87">
        <v>0.2</v>
      </c>
      <c r="F98" s="87">
        <v>0.4</v>
      </c>
      <c r="G98" s="87">
        <v>0</v>
      </c>
      <c r="H98" s="87">
        <v>0.4</v>
      </c>
      <c r="I98" s="53">
        <f t="shared" si="3"/>
        <v>2.2000000000000002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75</v>
      </c>
      <c r="B99" s="60">
        <v>155</v>
      </c>
      <c r="C99" s="60">
        <v>12</v>
      </c>
      <c r="D99" s="60">
        <v>4</v>
      </c>
      <c r="E99" s="87">
        <v>0.25</v>
      </c>
      <c r="F99" s="87">
        <v>0.25</v>
      </c>
      <c r="G99" s="87">
        <v>0</v>
      </c>
      <c r="H99" s="87">
        <v>0.5</v>
      </c>
      <c r="I99" s="53">
        <f t="shared" si="3"/>
        <v>1.8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80</v>
      </c>
      <c r="B100" s="60">
        <v>159</v>
      </c>
      <c r="C100" s="60">
        <v>13</v>
      </c>
      <c r="D100" s="60">
        <v>3</v>
      </c>
      <c r="E100" s="65">
        <v>0.33</v>
      </c>
      <c r="F100" s="65">
        <v>0.33</v>
      </c>
      <c r="G100" s="65">
        <v>0</v>
      </c>
      <c r="H100" s="65">
        <v>0.33</v>
      </c>
      <c r="I100" s="53">
        <f t="shared" si="3"/>
        <v>1.6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Bouleau verruqueux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15</v>
      </c>
      <c r="B114" s="60">
        <v>32</v>
      </c>
      <c r="C114" s="50">
        <v>0</v>
      </c>
      <c r="D114" s="60">
        <v>0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2.1333333333333333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20</v>
      </c>
      <c r="B115" s="60">
        <v>54</v>
      </c>
      <c r="C115" s="50">
        <v>1</v>
      </c>
      <c r="D115" s="60">
        <v>9</v>
      </c>
      <c r="E115" s="51">
        <v>0</v>
      </c>
      <c r="F115" s="51">
        <v>0</v>
      </c>
      <c r="G115" s="51">
        <v>0.3</v>
      </c>
      <c r="H115" s="51">
        <v>0.7</v>
      </c>
      <c r="I115" s="53">
        <f t="shared" ref="I115:I133" si="4">IF(A115&lt;&gt;0,(B115-(B114-D114))/(A115-A114),"")</f>
        <v>4.4000000000000004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25</v>
      </c>
      <c r="B116" s="60">
        <v>68</v>
      </c>
      <c r="C116" s="50">
        <v>2</v>
      </c>
      <c r="D116" s="60">
        <v>8</v>
      </c>
      <c r="E116" s="51">
        <v>0</v>
      </c>
      <c r="F116" s="51">
        <v>0</v>
      </c>
      <c r="G116" s="51">
        <v>0.3</v>
      </c>
      <c r="H116" s="51">
        <v>0.7</v>
      </c>
      <c r="I116" s="53">
        <f t="shared" si="4"/>
        <v>4.5999999999999996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30</v>
      </c>
      <c r="B117" s="60">
        <v>84</v>
      </c>
      <c r="C117" s="50">
        <v>3</v>
      </c>
      <c r="D117" s="60">
        <v>9</v>
      </c>
      <c r="E117" s="51">
        <v>0</v>
      </c>
      <c r="F117" s="51">
        <v>0.1</v>
      </c>
      <c r="G117" s="51">
        <v>0.3</v>
      </c>
      <c r="H117" s="51">
        <v>0.6</v>
      </c>
      <c r="I117" s="53">
        <f t="shared" si="4"/>
        <v>4.8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35</v>
      </c>
      <c r="B118" s="60">
        <v>99</v>
      </c>
      <c r="C118" s="50">
        <v>4</v>
      </c>
      <c r="D118" s="60">
        <v>10</v>
      </c>
      <c r="E118" s="51">
        <v>0</v>
      </c>
      <c r="F118" s="51">
        <v>0.1</v>
      </c>
      <c r="G118" s="51">
        <v>0.3</v>
      </c>
      <c r="H118" s="51">
        <v>0.6</v>
      </c>
      <c r="I118" s="53">
        <f t="shared" si="4"/>
        <v>4.8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40</v>
      </c>
      <c r="B119" s="60">
        <v>113</v>
      </c>
      <c r="C119" s="50">
        <v>5</v>
      </c>
      <c r="D119" s="60">
        <v>10</v>
      </c>
      <c r="E119" s="51">
        <v>0</v>
      </c>
      <c r="F119" s="51">
        <v>0.1</v>
      </c>
      <c r="G119" s="51">
        <v>0.3</v>
      </c>
      <c r="H119" s="51">
        <v>0.6</v>
      </c>
      <c r="I119" s="53">
        <f t="shared" si="4"/>
        <v>4.8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45</v>
      </c>
      <c r="B120" s="60">
        <v>127</v>
      </c>
      <c r="C120" s="60">
        <v>6</v>
      </c>
      <c r="D120" s="60">
        <v>11</v>
      </c>
      <c r="E120" s="87">
        <v>0</v>
      </c>
      <c r="F120" s="87">
        <v>0.3</v>
      </c>
      <c r="G120" s="87">
        <v>0.3</v>
      </c>
      <c r="H120" s="87">
        <v>0.4</v>
      </c>
      <c r="I120" s="53">
        <f t="shared" si="4"/>
        <v>4.8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50</v>
      </c>
      <c r="B121" s="60">
        <v>139</v>
      </c>
      <c r="C121" s="60">
        <v>7</v>
      </c>
      <c r="D121" s="60">
        <v>11</v>
      </c>
      <c r="E121" s="87">
        <v>0</v>
      </c>
      <c r="F121" s="87">
        <v>0.3</v>
      </c>
      <c r="G121" s="87">
        <v>0.3</v>
      </c>
      <c r="H121" s="87">
        <v>0.4</v>
      </c>
      <c r="I121" s="53">
        <f t="shared" si="4"/>
        <v>4.5999999999999996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55</v>
      </c>
      <c r="B122" s="60">
        <v>150</v>
      </c>
      <c r="C122" s="60">
        <v>8</v>
      </c>
      <c r="D122" s="60">
        <v>11</v>
      </c>
      <c r="E122" s="87">
        <v>0</v>
      </c>
      <c r="F122" s="87">
        <v>0.3</v>
      </c>
      <c r="G122" s="87">
        <v>0.3</v>
      </c>
      <c r="H122" s="87">
        <v>0.4</v>
      </c>
      <c r="I122" s="53">
        <f t="shared" si="4"/>
        <v>4.4000000000000004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60</v>
      </c>
      <c r="B123" s="60">
        <v>160</v>
      </c>
      <c r="C123" s="60">
        <v>9</v>
      </c>
      <c r="D123" s="60">
        <v>11</v>
      </c>
      <c r="E123" s="87">
        <v>0</v>
      </c>
      <c r="F123" s="87">
        <v>0.3</v>
      </c>
      <c r="G123" s="87">
        <v>0.3</v>
      </c>
      <c r="H123" s="87">
        <v>0.4</v>
      </c>
      <c r="I123" s="53">
        <f t="shared" si="4"/>
        <v>4.2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65</v>
      </c>
      <c r="B124" s="60">
        <v>169</v>
      </c>
      <c r="C124" s="60">
        <v>10</v>
      </c>
      <c r="D124" s="60">
        <v>11</v>
      </c>
      <c r="E124" s="87">
        <v>0.1</v>
      </c>
      <c r="F124" s="87">
        <v>0.4</v>
      </c>
      <c r="G124" s="87">
        <v>0.3</v>
      </c>
      <c r="H124" s="87">
        <v>0.2</v>
      </c>
      <c r="I124" s="53">
        <f t="shared" si="4"/>
        <v>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70</v>
      </c>
      <c r="B125" s="60">
        <v>178</v>
      </c>
      <c r="C125" s="60">
        <v>11</v>
      </c>
      <c r="D125" s="60">
        <v>11</v>
      </c>
      <c r="E125" s="87">
        <v>0.1</v>
      </c>
      <c r="F125" s="87">
        <v>0.4</v>
      </c>
      <c r="G125" s="87">
        <v>0.3</v>
      </c>
      <c r="H125" s="87">
        <v>0.2</v>
      </c>
      <c r="I125" s="53">
        <f t="shared" si="4"/>
        <v>4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75</v>
      </c>
      <c r="B126" s="60">
        <v>185</v>
      </c>
      <c r="C126" s="60">
        <v>12</v>
      </c>
      <c r="D126" s="60">
        <v>11</v>
      </c>
      <c r="E126" s="65">
        <v>0.1</v>
      </c>
      <c r="F126" s="65">
        <v>0.4</v>
      </c>
      <c r="G126" s="65">
        <v>0.3</v>
      </c>
      <c r="H126" s="65">
        <v>0.2</v>
      </c>
      <c r="I126" s="53">
        <f t="shared" si="4"/>
        <v>3.6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80</v>
      </c>
      <c r="B127" s="60">
        <v>192</v>
      </c>
      <c r="C127" s="60">
        <v>13</v>
      </c>
      <c r="D127" s="60">
        <v>11</v>
      </c>
      <c r="E127" s="65">
        <v>0.2</v>
      </c>
      <c r="F127" s="65">
        <v>0.5</v>
      </c>
      <c r="G127" s="65">
        <v>0.2</v>
      </c>
      <c r="H127" s="65">
        <v>0.1</v>
      </c>
      <c r="I127" s="53">
        <f t="shared" si="4"/>
        <v>3.6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85</v>
      </c>
      <c r="B128" s="50">
        <v>197</v>
      </c>
      <c r="C128" s="50">
        <v>14</v>
      </c>
      <c r="D128" s="50">
        <v>10</v>
      </c>
      <c r="E128" s="54">
        <v>0.2</v>
      </c>
      <c r="F128" s="54">
        <v>0.5</v>
      </c>
      <c r="G128" s="54">
        <v>0.2</v>
      </c>
      <c r="H128" s="54">
        <v>0.1</v>
      </c>
      <c r="I128" s="53">
        <f t="shared" si="4"/>
        <v>3.2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90</v>
      </c>
      <c r="B129" s="50">
        <v>202</v>
      </c>
      <c r="C129" s="50">
        <v>15</v>
      </c>
      <c r="D129" s="50">
        <v>10</v>
      </c>
      <c r="E129" s="54">
        <v>0.3</v>
      </c>
      <c r="F129" s="54">
        <v>0.4</v>
      </c>
      <c r="G129" s="54">
        <v>0.2</v>
      </c>
      <c r="H129" s="54">
        <v>0.1</v>
      </c>
      <c r="I129" s="53">
        <f t="shared" si="4"/>
        <v>3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Saule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15</v>
      </c>
      <c r="B140" s="60">
        <v>29</v>
      </c>
      <c r="C140" s="50">
        <v>1</v>
      </c>
      <c r="D140" s="60">
        <v>3</v>
      </c>
      <c r="E140" s="51">
        <v>0</v>
      </c>
      <c r="F140" s="51">
        <v>0.1</v>
      </c>
      <c r="G140" s="51">
        <v>0.3</v>
      </c>
      <c r="H140" s="51">
        <v>0.6</v>
      </c>
      <c r="I140" s="57">
        <f>IFERROR(B140/A140,"")</f>
        <v>1.9333333333333333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20</v>
      </c>
      <c r="B141" s="60">
        <v>68</v>
      </c>
      <c r="C141" s="50">
        <v>2</v>
      </c>
      <c r="D141" s="60">
        <v>7</v>
      </c>
      <c r="E141" s="51">
        <v>0</v>
      </c>
      <c r="F141" s="51">
        <v>0.1</v>
      </c>
      <c r="G141" s="51">
        <v>0.3</v>
      </c>
      <c r="H141" s="51">
        <v>0.6</v>
      </c>
      <c r="I141" s="57">
        <f t="shared" ref="I141:I159" si="5">IF(A141&lt;&gt;0,(B141-(B140-D140))/(A141-A140),"")</f>
        <v>8.4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25</v>
      </c>
      <c r="B142" s="60">
        <v>94</v>
      </c>
      <c r="C142" s="50">
        <v>3</v>
      </c>
      <c r="D142" s="60">
        <v>14</v>
      </c>
      <c r="E142" s="51">
        <v>0</v>
      </c>
      <c r="F142" s="51">
        <v>0.1</v>
      </c>
      <c r="G142" s="51">
        <v>0.3</v>
      </c>
      <c r="H142" s="51">
        <v>0.6</v>
      </c>
      <c r="I142" s="57">
        <f t="shared" si="5"/>
        <v>6.6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30</v>
      </c>
      <c r="B143" s="60">
        <v>113</v>
      </c>
      <c r="C143" s="50">
        <v>4</v>
      </c>
      <c r="D143" s="60">
        <v>17</v>
      </c>
      <c r="E143" s="51">
        <v>0</v>
      </c>
      <c r="F143" s="51">
        <v>0.1</v>
      </c>
      <c r="G143" s="51">
        <v>0.3</v>
      </c>
      <c r="H143" s="51">
        <v>0.6</v>
      </c>
      <c r="I143" s="57">
        <f t="shared" si="5"/>
        <v>6.6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35</v>
      </c>
      <c r="B144" s="60">
        <v>127</v>
      </c>
      <c r="C144" s="50">
        <v>5</v>
      </c>
      <c r="D144" s="60">
        <v>18</v>
      </c>
      <c r="E144" s="51">
        <v>0</v>
      </c>
      <c r="F144" s="51">
        <v>0.1</v>
      </c>
      <c r="G144" s="51">
        <v>0.3</v>
      </c>
      <c r="H144" s="51">
        <v>0.6</v>
      </c>
      <c r="I144" s="57">
        <f t="shared" si="5"/>
        <v>6.2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40</v>
      </c>
      <c r="B145" s="60">
        <v>139</v>
      </c>
      <c r="C145" s="50">
        <v>6</v>
      </c>
      <c r="D145" s="60">
        <v>19</v>
      </c>
      <c r="E145" s="51">
        <v>0</v>
      </c>
      <c r="F145" s="51">
        <v>0.1</v>
      </c>
      <c r="G145" s="51">
        <v>0.3</v>
      </c>
      <c r="H145" s="51">
        <v>0.6</v>
      </c>
      <c r="I145" s="57">
        <f t="shared" si="5"/>
        <v>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45</v>
      </c>
      <c r="B146" s="60">
        <v>148</v>
      </c>
      <c r="C146" s="50">
        <v>7</v>
      </c>
      <c r="D146" s="60">
        <v>19</v>
      </c>
      <c r="E146" s="51">
        <v>0</v>
      </c>
      <c r="F146" s="51">
        <v>0.1</v>
      </c>
      <c r="G146" s="51">
        <v>0.3</v>
      </c>
      <c r="H146" s="51">
        <v>0.6</v>
      </c>
      <c r="I146" s="57">
        <f t="shared" si="5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50</v>
      </c>
      <c r="B147" s="60">
        <v>154</v>
      </c>
      <c r="C147" s="50">
        <v>8</v>
      </c>
      <c r="D147" s="60">
        <v>18</v>
      </c>
      <c r="E147" s="51">
        <v>0</v>
      </c>
      <c r="F147" s="51">
        <v>0.1</v>
      </c>
      <c r="G147" s="51">
        <v>0.3</v>
      </c>
      <c r="H147" s="51">
        <v>0.6</v>
      </c>
      <c r="I147" s="57">
        <f>IF(A147&lt;&gt;0,(B147-(B146-D146))/(A147-A146),"")</f>
        <v>5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55</v>
      </c>
      <c r="B148" s="60">
        <v>159</v>
      </c>
      <c r="C148" s="50">
        <v>9</v>
      </c>
      <c r="D148" s="60">
        <v>17</v>
      </c>
      <c r="E148" s="51">
        <v>0</v>
      </c>
      <c r="F148" s="51">
        <v>0.3</v>
      </c>
      <c r="G148" s="51">
        <v>0.3</v>
      </c>
      <c r="H148" s="51">
        <v>0.4</v>
      </c>
      <c r="I148" s="57">
        <f t="shared" si="5"/>
        <v>4.5999999999999996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60</v>
      </c>
      <c r="B149" s="60">
        <v>165</v>
      </c>
      <c r="C149" s="50">
        <v>10</v>
      </c>
      <c r="D149" s="60">
        <v>17</v>
      </c>
      <c r="E149" s="51">
        <v>0</v>
      </c>
      <c r="F149" s="51">
        <v>0.3</v>
      </c>
      <c r="G149" s="51">
        <v>0.3</v>
      </c>
      <c r="H149" s="51">
        <v>0.4</v>
      </c>
      <c r="I149" s="57">
        <f t="shared" si="5"/>
        <v>4.5999999999999996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65</v>
      </c>
      <c r="B150" s="60">
        <v>169</v>
      </c>
      <c r="C150" s="50">
        <v>11</v>
      </c>
      <c r="D150" s="60">
        <v>16</v>
      </c>
      <c r="E150" s="51">
        <v>0</v>
      </c>
      <c r="F150" s="51">
        <v>0.3</v>
      </c>
      <c r="G150" s="51">
        <v>0.3</v>
      </c>
      <c r="H150" s="51">
        <v>0.4</v>
      </c>
      <c r="I150" s="57">
        <f t="shared" si="5"/>
        <v>4.2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70</v>
      </c>
      <c r="B151" s="60">
        <v>172</v>
      </c>
      <c r="C151" s="50">
        <v>12</v>
      </c>
      <c r="D151" s="60">
        <v>15</v>
      </c>
      <c r="E151" s="51">
        <v>0</v>
      </c>
      <c r="F151" s="51">
        <v>0.3</v>
      </c>
      <c r="G151" s="51">
        <v>0.3</v>
      </c>
      <c r="H151" s="51">
        <v>0.4</v>
      </c>
      <c r="I151" s="57">
        <f t="shared" si="5"/>
        <v>3.8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75</v>
      </c>
      <c r="B152" s="60">
        <v>175</v>
      </c>
      <c r="C152" s="50">
        <v>13</v>
      </c>
      <c r="D152" s="60">
        <v>14</v>
      </c>
      <c r="E152" s="54">
        <v>0</v>
      </c>
      <c r="F152" s="54">
        <v>0.3</v>
      </c>
      <c r="G152" s="54">
        <v>0.3</v>
      </c>
      <c r="H152" s="54">
        <v>0.4</v>
      </c>
      <c r="I152" s="57">
        <f t="shared" si="5"/>
        <v>3.6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80</v>
      </c>
      <c r="B153" s="60">
        <v>178</v>
      </c>
      <c r="C153" s="50">
        <v>14</v>
      </c>
      <c r="D153" s="60">
        <v>13</v>
      </c>
      <c r="E153" s="54">
        <v>0.1</v>
      </c>
      <c r="F153" s="54">
        <v>0.4</v>
      </c>
      <c r="G153" s="54">
        <v>0.3</v>
      </c>
      <c r="H153" s="54">
        <v>0.2</v>
      </c>
      <c r="I153" s="57">
        <f t="shared" si="5"/>
        <v>3.4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85</v>
      </c>
      <c r="B154" s="56">
        <v>180</v>
      </c>
      <c r="C154" s="50">
        <v>15</v>
      </c>
      <c r="D154" s="50">
        <v>12</v>
      </c>
      <c r="E154" s="54">
        <v>0.1</v>
      </c>
      <c r="F154" s="54">
        <v>0.4</v>
      </c>
      <c r="G154" s="54">
        <v>0.3</v>
      </c>
      <c r="H154" s="54">
        <v>0.2</v>
      </c>
      <c r="I154" s="57">
        <f t="shared" si="5"/>
        <v>3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>
        <v>90</v>
      </c>
      <c r="B155" s="56">
        <v>182</v>
      </c>
      <c r="C155" s="50">
        <v>16</v>
      </c>
      <c r="D155" s="50">
        <v>11</v>
      </c>
      <c r="E155" s="54">
        <v>0.1</v>
      </c>
      <c r="F155" s="54">
        <v>0.4</v>
      </c>
      <c r="G155" s="54">
        <v>0.3</v>
      </c>
      <c r="H155" s="54">
        <v>0.2</v>
      </c>
      <c r="I155" s="57">
        <f t="shared" si="5"/>
        <v>2.8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Charme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30</v>
      </c>
      <c r="B166" s="60">
        <v>87.705128205128204</v>
      </c>
      <c r="C166" s="60" t="s">
        <v>324</v>
      </c>
      <c r="D166" s="60">
        <v>0</v>
      </c>
      <c r="E166" s="51">
        <v>0</v>
      </c>
      <c r="F166" s="51">
        <v>0</v>
      </c>
      <c r="G166" s="51">
        <v>0</v>
      </c>
      <c r="H166" s="51">
        <v>0</v>
      </c>
      <c r="I166" s="49">
        <f>IFERROR(B166/A166,"")</f>
        <v>2.9235042735042733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44</v>
      </c>
      <c r="B167" s="60">
        <v>162.42307692307691</v>
      </c>
      <c r="C167" s="60">
        <v>1</v>
      </c>
      <c r="D167" s="60">
        <v>64.416666666666657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5.3369963369963358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51</v>
      </c>
      <c r="B168" s="60">
        <v>145.78846153846152</v>
      </c>
      <c r="C168" s="60">
        <v>2</v>
      </c>
      <c r="D168" s="60">
        <v>37.685897435897431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6.826007326007324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59</v>
      </c>
      <c r="B169" s="60">
        <v>159.25641025641025</v>
      </c>
      <c r="C169" s="60">
        <v>3</v>
      </c>
      <c r="D169" s="60">
        <v>38.942307692307693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6"/>
        <v>6.3942307692307701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67</v>
      </c>
      <c r="B170" s="60">
        <v>167.85897435897436</v>
      </c>
      <c r="C170" s="60">
        <v>4</v>
      </c>
      <c r="D170" s="60">
        <v>31.993589743589741</v>
      </c>
      <c r="E170" s="51">
        <v>0</v>
      </c>
      <c r="F170" s="51">
        <v>0</v>
      </c>
      <c r="G170" s="51">
        <v>0</v>
      </c>
      <c r="H170" s="51">
        <v>1</v>
      </c>
      <c r="I170" s="49">
        <f t="shared" si="6"/>
        <v>5.9431089743589762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75</v>
      </c>
      <c r="B171" s="60">
        <v>181.38461538461536</v>
      </c>
      <c r="C171" s="60">
        <v>5</v>
      </c>
      <c r="D171" s="60">
        <v>30.916666666666664</v>
      </c>
      <c r="E171" s="51">
        <v>0.7</v>
      </c>
      <c r="F171" s="51">
        <v>0</v>
      </c>
      <c r="G171" s="51">
        <v>0</v>
      </c>
      <c r="H171" s="51">
        <v>0.3</v>
      </c>
      <c r="I171" s="49">
        <f t="shared" si="6"/>
        <v>5.6899038461538431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84</v>
      </c>
      <c r="B172" s="60">
        <v>200.00641025641025</v>
      </c>
      <c r="C172" s="60">
        <v>6</v>
      </c>
      <c r="D172" s="60">
        <v>35.083333333333329</v>
      </c>
      <c r="E172" s="51">
        <v>0.7</v>
      </c>
      <c r="F172" s="51">
        <v>0</v>
      </c>
      <c r="G172" s="51">
        <v>0</v>
      </c>
      <c r="H172" s="51">
        <v>0.3</v>
      </c>
      <c r="I172" s="49">
        <f t="shared" si="6"/>
        <v>5.5042735042735051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93</v>
      </c>
      <c r="B173" s="50">
        <v>212.26923076923075</v>
      </c>
      <c r="C173" s="50">
        <v>7</v>
      </c>
      <c r="D173" s="50">
        <v>30.083333333333332</v>
      </c>
      <c r="E173" s="51">
        <v>0.7</v>
      </c>
      <c r="F173" s="51">
        <v>0</v>
      </c>
      <c r="G173" s="51">
        <v>0</v>
      </c>
      <c r="H173" s="51">
        <v>0.3</v>
      </c>
      <c r="I173" s="49">
        <f t="shared" si="6"/>
        <v>5.2606837606837598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103</v>
      </c>
      <c r="B174" s="50">
        <v>234.76923076923077</v>
      </c>
      <c r="C174" s="50">
        <v>8</v>
      </c>
      <c r="D174" s="50">
        <v>39.512820512820511</v>
      </c>
      <c r="E174" s="51">
        <v>0.7</v>
      </c>
      <c r="F174" s="51">
        <v>0</v>
      </c>
      <c r="G174" s="51">
        <v>0</v>
      </c>
      <c r="H174" s="51">
        <v>0.3</v>
      </c>
      <c r="I174" s="49">
        <f t="shared" si="6"/>
        <v>5.2583333333333373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113</v>
      </c>
      <c r="B175" s="50">
        <v>246.21794871794873</v>
      </c>
      <c r="C175" s="50">
        <v>9</v>
      </c>
      <c r="D175" s="50">
        <v>31.602564102564099</v>
      </c>
      <c r="E175" s="51">
        <v>0.7</v>
      </c>
      <c r="F175" s="51">
        <v>0</v>
      </c>
      <c r="G175" s="51">
        <v>0</v>
      </c>
      <c r="H175" s="51">
        <v>0.3</v>
      </c>
      <c r="I175" s="49">
        <f t="shared" si="6"/>
        <v>5.0961538461538449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125</v>
      </c>
      <c r="B176" s="50">
        <v>278.29487179487177</v>
      </c>
      <c r="C176" s="50">
        <v>10</v>
      </c>
      <c r="D176" s="50">
        <v>48.160256410256409</v>
      </c>
      <c r="E176" s="51">
        <v>0.7</v>
      </c>
      <c r="F176" s="51">
        <v>0</v>
      </c>
      <c r="G176" s="51">
        <v>0</v>
      </c>
      <c r="H176" s="51">
        <v>0.3</v>
      </c>
      <c r="I176" s="49">
        <f t="shared" si="6"/>
        <v>5.3066239316239274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137</v>
      </c>
      <c r="B177" s="50">
        <v>293.07051282051282</v>
      </c>
      <c r="C177" s="50">
        <v>11</v>
      </c>
      <c r="D177" s="50">
        <v>51.160256410256409</v>
      </c>
      <c r="E177" s="51">
        <v>0.7</v>
      </c>
      <c r="F177" s="51">
        <v>0</v>
      </c>
      <c r="G177" s="51">
        <v>0</v>
      </c>
      <c r="H177" s="51">
        <v>0.3</v>
      </c>
      <c r="I177" s="49">
        <f t="shared" si="6"/>
        <v>5.2446581196581219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149</v>
      </c>
      <c r="B178" s="50">
        <v>303.18589743589746</v>
      </c>
      <c r="C178" s="50">
        <v>12</v>
      </c>
      <c r="D178" s="50">
        <v>120.50641025641026</v>
      </c>
      <c r="E178" s="51">
        <v>0.9</v>
      </c>
      <c r="F178" s="51">
        <v>0</v>
      </c>
      <c r="G178" s="51">
        <v>0</v>
      </c>
      <c r="H178" s="51">
        <v>0.1</v>
      </c>
      <c r="I178" s="49">
        <f t="shared" si="6"/>
        <v>5.1063034188034209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153</v>
      </c>
      <c r="B179" s="50">
        <v>195.05769230769226</v>
      </c>
      <c r="C179" s="50">
        <v>13</v>
      </c>
      <c r="D179" s="50">
        <v>70.115384615384613</v>
      </c>
      <c r="E179" s="51">
        <v>0.9</v>
      </c>
      <c r="F179" s="51">
        <v>0</v>
      </c>
      <c r="G179" s="51">
        <v>0</v>
      </c>
      <c r="H179" s="51">
        <v>0.1</v>
      </c>
      <c r="I179" s="49">
        <f t="shared" si="6"/>
        <v>3.0945512820512704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>
        <v>157</v>
      </c>
      <c r="B180" s="50">
        <v>132.42948717948718</v>
      </c>
      <c r="C180" s="50">
        <v>14</v>
      </c>
      <c r="D180" s="50">
        <v>45.71153846153846</v>
      </c>
      <c r="E180" s="51">
        <v>0.9</v>
      </c>
      <c r="F180" s="51">
        <v>0</v>
      </c>
      <c r="G180" s="51">
        <v>0</v>
      </c>
      <c r="H180" s="51">
        <v>0.1</v>
      </c>
      <c r="I180" s="49">
        <f t="shared" si="6"/>
        <v>1.8717948717948829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>
        <v>161</v>
      </c>
      <c r="B181" s="50">
        <v>91.365384615384613</v>
      </c>
      <c r="C181" s="50">
        <v>15</v>
      </c>
      <c r="D181" s="50">
        <v>91.365384615384613</v>
      </c>
      <c r="E181" s="51">
        <v>0.9</v>
      </c>
      <c r="F181" s="51">
        <v>0</v>
      </c>
      <c r="G181" s="51">
        <v>0</v>
      </c>
      <c r="H181" s="51">
        <v>0.1</v>
      </c>
      <c r="I181" s="49">
        <f t="shared" si="6"/>
        <v>1.1618589743589709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Erable champêtre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Bouleau verruqueux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Saule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Charme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388.1278150896951</v>
      </c>
      <c r="T3" s="59">
        <f>IF('Données projet'!E9&gt;30,$R$33-$H$33,LOOKUP('Données projet'!$E$9,$A$3:$A$203,R3:R203)-LOOKUP('Données projet'!$E$9,$A$3:$A$203,$H$3:$H$203))</f>
        <v>232.26614607059227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424.89201140676084</v>
      </c>
      <c r="AO3" s="59">
        <f>IF('Données projet'!E10&gt;30,$AM$33-$H$33,LOOKUP('Données projet'!$E$10,$A$3:$A$203,AM3:AM203)-LOOKUP('Données projet'!$E$10,$A$3:$A$203,$H$3:$H$203))</f>
        <v>253.0016648946303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218.97952644043698</v>
      </c>
      <c r="BJ3" s="59">
        <f>IF('Données projet'!E11&gt;30,$BH$33-$H$33,LOOKUP('Données projet'!$E$11,$A$3:$A$203,BH3:BH203)-LOOKUP('Données projet'!$E$11,$A$3:$A$203,$H$3:$H$203))</f>
        <v>204.10961748628714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256.23994291192162</v>
      </c>
      <c r="CE3" s="59">
        <f>IF('Données projet'!E12&gt;30,$CC$33-$H$33,LOOKUP('Données projet'!$E$12,$A$3:$A$203,CC3:CC203)-LOOKUP('Données projet'!$E$12,$A$3:$A$203,$H$3:$H$203))</f>
        <v>207.9118653708222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205.74526926885287</v>
      </c>
      <c r="CZ3" s="59">
        <f>IF('Données projet'!E13&gt;30,$CX$33-$H$33,LOOKUP('Données projet'!$E$13,$A$3:$A$203,CX3:CX203)-LOOKUP('Données projet'!$E$13,$A$3:$A$203,$H$3:$H$203))</f>
        <v>201.56217137928999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403.89478276355294</v>
      </c>
      <c r="DU3" s="59">
        <f>IF('Données projet'!E14&gt;30,$DS$33-$H$33,LOOKUP('Données projet'!$E$14,$A$3:$A$203,DS3:DS203)-LOOKUP('Données projet'!$E$14,$A$3:$A$203,$H$3:$H$203))</f>
        <v>241.1593989733278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2.9235042735042733</v>
      </c>
      <c r="N4" s="13">
        <f>IF('Données projet'!$A$36&gt;35,N3+M4-V3,IF(A4&lt;'Données projet'!$A$36,$K$205^A4,IF(A4='Données projet'!$A$36,'Données projet'!$B$36,N3+M4-V3)))</f>
        <v>1.1608269964373037</v>
      </c>
      <c r="O4" s="13">
        <f>N4*VLOOKUP('Données projet'!$B$9,Paramètres!$A$1:$I$89,3,0)*VLOOKUP('Données projet'!$B$9,Paramètres!$A$1:$I$89,5,0)</f>
        <v>1.0503162663764722</v>
      </c>
      <c r="P4" s="13">
        <f>EXP(-1.0587+0.8836*LN(O4)+0.284)</f>
        <v>0.48127189162287909</v>
      </c>
      <c r="Q4" s="20">
        <f t="shared" ref="Q4:Q34" si="2">(O4+P4)*0.475*44/12</f>
        <v>2.6675160418488701</v>
      </c>
      <c r="R4" s="59">
        <f t="shared" si="0"/>
        <v>170.47994999477271</v>
      </c>
      <c r="S4" s="59">
        <f ca="1">AVERAGE(OFFSET($R$3,0,0,'Données projet'!$E$9+1,1))-AVERAGE(OFFSET($H$3,0,0,'Données projet'!$E$9+1,1))</f>
        <v>388.1278150896951</v>
      </c>
      <c r="T4" s="59">
        <f>$T$3</f>
        <v>232.26614607059227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2.9235042735042733</v>
      </c>
      <c r="AI4" s="13">
        <f>IF('Données projet'!$A$62&gt;35,AI3+AH4-AQ3,IF(A4&lt;'Données projet'!$A$62,$AF$205^A4,IF(A4='Données projet'!$A$62,'Données projet'!$B$62,AI3+AH4-AQ3)))</f>
        <v>1.1608269964373037</v>
      </c>
      <c r="AJ4" s="13">
        <f>AI4*VLOOKUP('Données projet'!$B$10,Paramètres!$A$1:$I$89,3,0)*VLOOKUP('Données projet'!$B$10,Paramètres!$A$1:$I$89,5,0)</f>
        <v>1.1770785743874259</v>
      </c>
      <c r="AK4" s="13">
        <f>EXP(-1.0587+0.8836*LN(AJ4)+0.284)</f>
        <v>0.53225011573313319</v>
      </c>
      <c r="AL4" s="20">
        <f t="shared" ref="AL4:AL67" si="4">(AJ4+AK4)*0.475*44/12</f>
        <v>2.9770808019599735</v>
      </c>
      <c r="AM4" s="59">
        <f t="shared" ref="AM4:AM67" si="5">AL4+(AD4+AE4)*44/12</f>
        <v>170.78951475488381</v>
      </c>
      <c r="AN4" s="59">
        <f ca="1">AVERAGE(OFFSET($AM$3,0,0,'Données projet'!$E$10+1,1))-AVERAGE(OFFSET($H$3,0,0,'Données projet'!$E$10+1,1))</f>
        <v>424.89201140676084</v>
      </c>
      <c r="AO4" s="59">
        <f>$AO$3</f>
        <v>253.0016648946303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0.9</v>
      </c>
      <c r="BD4" s="12">
        <f>IF('Données projet'!$A$88&gt;35,BD3+BC4-BL3,IF(A4&lt;'Données projet'!$A$88,$BA$205^A4,IF(A4='Données projet'!$A$88,'Données projet'!$B$88,BD3+BC4-BL3)))</f>
        <v>1.1554831727638066</v>
      </c>
      <c r="BE4" s="13">
        <f>BD4*VLOOKUP('Données projet'!$B$11,Paramètres!$A$1:$I$89,3,0)*VLOOKUP('Données projet'!$B$11,Paramètres!$A$1:$I$89,5,0)</f>
        <v>1.0094300997264616</v>
      </c>
      <c r="BF4" s="13">
        <f>EXP(-1.0587+0.8836*LN(BE4)+0.284)</f>
        <v>0.46467984937949935</v>
      </c>
      <c r="BG4" s="20">
        <f t="shared" ref="BG4:BG67" si="7">(BE4+BF4)*0.475*44/12</f>
        <v>2.5674081613595483</v>
      </c>
      <c r="BH4" s="59">
        <f t="shared" ref="BH4:BH67" si="8">BG4+(AY4+AZ4)*44/12</f>
        <v>170.37984211428338</v>
      </c>
      <c r="BI4" s="59">
        <f ca="1">AVERAGE(OFFSET($BH$3,0,0,'Données projet'!$E$11+1,1))-AVERAGE(OFFSET($H$3,0,0,'Données projet'!$E$11+1,1))</f>
        <v>218.97952644043698</v>
      </c>
      <c r="BJ4" s="59">
        <f>$BJ$3</f>
        <v>204.10961748628714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2.1333333333333333</v>
      </c>
      <c r="BY4" s="12">
        <f>IF('Données projet'!$A$114&gt;35,BY3+BX4-CG3,IF(A4&lt;'Données projet'!$A$114,$BV$205^A4,IF(A4='Données projet'!$A$114,'Données projet'!$B$114,BY3+BX4-CG3)))</f>
        <v>1.2599210498948732</v>
      </c>
      <c r="BZ4" s="13">
        <f>BY4*VLOOKUP('Données projet'!$B$12,Paramètres!$A$1:$I$89,3,0)*VLOOKUP('Données projet'!$B$12,Paramètres!$A$1:$I$89,5,0)</f>
        <v>1.0220479556747213</v>
      </c>
      <c r="CA4" s="13">
        <f>EXP(-1.0587+0.8836*LN(BZ4)+0.284)</f>
        <v>0.4698085135128936</v>
      </c>
      <c r="CB4" s="20">
        <f t="shared" ref="CB4:CB67" si="10">(BZ4+CA4)*0.475*44/12</f>
        <v>2.5983166838350953</v>
      </c>
      <c r="CC4" s="59">
        <f t="shared" ref="CC4:CC67" si="11">CB4+(BT4+BU4)*44/12</f>
        <v>170.41075063675893</v>
      </c>
      <c r="CD4" s="59">
        <f ca="1">AVERAGE(OFFSET($CC$3,0,0,'Données projet'!$E$12+1,1))-AVERAGE(OFFSET($H$3,0,0,'Données projet'!$E$12+1,1))</f>
        <v>256.23994291192162</v>
      </c>
      <c r="CE4" s="59">
        <f>$CE$3</f>
        <v>207.9118653708222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1.9333333333333333</v>
      </c>
      <c r="CT4" s="12">
        <f>IF('Données projet'!$A$140&gt;35,CT3+CS4-DB3,IF(A4&lt;'Données projet'!$A$140,$CQ$205^A4,IF(A4='Données projet'!$A$140,'Données projet'!$B$140,CT3+CS4-DB3)))</f>
        <v>1.2516796742016716</v>
      </c>
      <c r="CU4" s="17">
        <f>CT4*VLOOKUP('Données projet'!$B$13,Paramètres!$A$1:$I$89,3,0)*VLOOKUP('Données projet'!$B$13,Paramètres!$A$1:$I$89,5,0)</f>
        <v>0.72246950794920484</v>
      </c>
      <c r="CV4" s="13">
        <f>EXP(-1.0587+0.8836*LN(CU4)+0.284)</f>
        <v>0.34578408032162511</v>
      </c>
      <c r="CW4" s="20">
        <f t="shared" ref="CW4:CW67" si="13">(CU4+CV4)*0.475*44/12</f>
        <v>1.8605416662383625</v>
      </c>
      <c r="CX4" s="59">
        <f t="shared" ref="CX4:CX67" si="14">CW4+(CO4+CP4)*44/12</f>
        <v>169.6729756191622</v>
      </c>
      <c r="CY4" s="59">
        <f ca="1">AVERAGE(OFFSET($CX$3,0,0,'Données projet'!$E$13+1,1))-AVERAGE(OFFSET($H$3,0,0,'Données projet'!$E$13+1,1))</f>
        <v>205.74526926885287</v>
      </c>
      <c r="CZ4" s="59">
        <f>$CZ$3</f>
        <v>201.56217137928999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2.9235042735042733</v>
      </c>
      <c r="DO4" s="12">
        <f>IF('Données projet'!$A$166&gt;35,DO3+DN4-DW3,IF(A4&lt;'Données projet'!$A$166,$DL$205^A4,IF(A4='Données projet'!$A$166,'Données projet'!$B$166,DO3+DN4-DW3)))</f>
        <v>1.1608269964373037</v>
      </c>
      <c r="DP4" s="17">
        <f>DO4*VLOOKUP('Données projet'!$B$14,Paramètres!$A$1:$I$89,3,0)*VLOOKUP('Données projet'!$B$14,Paramètres!$A$1:$I$89,5,0)</f>
        <v>1.1046429698097382</v>
      </c>
      <c r="DQ4" s="13">
        <f>EXP(-1.0587+0.8836*LN(DP4)+0.284)</f>
        <v>0.50320270245915544</v>
      </c>
      <c r="DR4" s="20">
        <f t="shared" ref="DR4:DR67" si="16">(DP4+DQ4)*0.475*44/12</f>
        <v>2.80033121253499</v>
      </c>
      <c r="DS4" s="59">
        <f t="shared" ref="DS4:DS67" si="17">DR4+(DJ4+DK4)*44/12</f>
        <v>170.61276516545882</v>
      </c>
      <c r="DT4" s="59">
        <f ca="1">AVERAGE(OFFSET($DS$3,0,0,'Données projet'!$E$14+1,1))-AVERAGE(OFFSET($H$3,0,0,'Données projet'!$E$14+1,1))</f>
        <v>403.89478276355294</v>
      </c>
      <c r="DU4" s="59">
        <f>$DU$3</f>
        <v>241.1593989733278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2.9235042735042733</v>
      </c>
      <c r="N5" s="13">
        <f>IF('Données projet'!$A$36&gt;35,N4+M5-V4,IF(A5&lt;'Données projet'!$A$36,$K$205^A5,IF(A5='Données projet'!$A$36,'Données projet'!$B$36,N4+M5-V4)))</f>
        <v>1.3475193156576519</v>
      </c>
      <c r="O5" s="13">
        <f>N5*VLOOKUP('Données projet'!$B$9,Paramètres!$A$1:$I$89,3,0)*VLOOKUP('Données projet'!$B$9,Paramètres!$A$1:$I$89,5,0)</f>
        <v>1.2192354768070435</v>
      </c>
      <c r="P5" s="13">
        <f t="shared" ref="P5:P68" si="33">EXP(-1.0587+0.8836*LN(O5)+0.284)</f>
        <v>0.54905905766229002</v>
      </c>
      <c r="Q5" s="20">
        <f t="shared" si="2"/>
        <v>3.0797796475340888</v>
      </c>
      <c r="R5" s="59">
        <f t="shared" si="0"/>
        <v>173.67706093503492</v>
      </c>
      <c r="S5" s="59">
        <f ca="1">AVERAGE(OFFSET($R$3,0,0,'Données projet'!$E$9+1,1))-AVERAGE(OFFSET($H$3,0,0,'Données projet'!$E$9+1,1))</f>
        <v>388.1278150896951</v>
      </c>
      <c r="T5" s="59">
        <f t="shared" ref="T5:T68" si="34">$T$3</f>
        <v>232.26614607059227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2.9235042735042733</v>
      </c>
      <c r="AI5" s="13">
        <f>IF('Données projet'!$A$62&gt;35,AI4+AH5-AQ4,IF(A5&lt;'Données projet'!$A$62,$AF$205^A5,IF(A5='Données projet'!$A$62,'Données projet'!$B$62,AI4+AH5-AQ4)))</f>
        <v>1.3475193156576519</v>
      </c>
      <c r="AJ5" s="13">
        <f>AI5*VLOOKUP('Données projet'!$B$10,Paramètres!$A$1:$I$89,3,0)*VLOOKUP('Données projet'!$B$10,Paramètres!$A$1:$I$89,5,0)</f>
        <v>1.3663845860768591</v>
      </c>
      <c r="AK5" s="13">
        <f t="shared" ref="AK5:AK68" si="35">EXP(-1.0587+0.8836*LN(AJ5)+0.284)</f>
        <v>0.60721756676800354</v>
      </c>
      <c r="AL5" s="20">
        <f t="shared" si="4"/>
        <v>3.4373570828714688</v>
      </c>
      <c r="AM5" s="59">
        <f t="shared" si="5"/>
        <v>174.03463837037231</v>
      </c>
      <c r="AN5" s="59">
        <f ca="1">AVERAGE(OFFSET($AM$3,0,0,'Données projet'!$E$10+1,1))-AVERAGE(OFFSET($H$3,0,0,'Données projet'!$E$10+1,1))</f>
        <v>424.89201140676084</v>
      </c>
      <c r="AO5" s="59">
        <f t="shared" ref="AO5:AO68" si="36">$AO$3</f>
        <v>253.0016648946303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0.9</v>
      </c>
      <c r="BD5" s="12">
        <f>IF('Données projet'!$A$88&gt;35,BD4+BC5-BL4,IF(A5&lt;'Données projet'!$A$88,$BA$205^A5,IF(A5='Données projet'!$A$88,'Données projet'!$B$88,BD4+BC5-BL4)))</f>
        <v>1.335141362540313</v>
      </c>
      <c r="BE5" s="13">
        <f>BD5*VLOOKUP('Données projet'!$B$11,Paramètres!$A$1:$I$89,3,0)*VLOOKUP('Données projet'!$B$11,Paramètres!$A$1:$I$89,5,0)</f>
        <v>1.1663794943152175</v>
      </c>
      <c r="BF5" s="13">
        <f t="shared" ref="BF5:BF68" si="37">EXP(-1.0587+0.8836*LN(BE5)+0.284)</f>
        <v>0.52797307958445927</v>
      </c>
      <c r="BG5" s="20">
        <f t="shared" si="7"/>
        <v>2.9509973995419365</v>
      </c>
      <c r="BH5" s="59">
        <f t="shared" si="8"/>
        <v>173.54827868704277</v>
      </c>
      <c r="BI5" s="59">
        <f ca="1">AVERAGE(OFFSET($BH$3,0,0,'Données projet'!$E$11+1,1))-AVERAGE(OFFSET($H$3,0,0,'Données projet'!$E$11+1,1))</f>
        <v>218.97952644043698</v>
      </c>
      <c r="BJ5" s="59">
        <f t="shared" ref="BJ5:BJ68" si="38">$BJ$3</f>
        <v>204.10961748628714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2.1333333333333333</v>
      </c>
      <c r="BY5" s="12">
        <f>IF('Données projet'!$A$114&gt;35,BY4+BX5-CG4,IF(A5&lt;'Données projet'!$A$114,$BV$205^A5,IF(A5='Données projet'!$A$114,'Données projet'!$B$114,BY4+BX5-CG4)))</f>
        <v>1.5874010519681996</v>
      </c>
      <c r="BZ5" s="13">
        <f>BY5*VLOOKUP('Données projet'!$B$12,Paramètres!$A$1:$I$89,3,0)*VLOOKUP('Données projet'!$B$12,Paramètres!$A$1:$I$89,5,0)</f>
        <v>1.2876997333566036</v>
      </c>
      <c r="CA5" s="13">
        <f t="shared" ref="CA5:CA68" si="39">EXP(-1.0587+0.8836*LN(BZ5)+0.284)</f>
        <v>0.57621458989117558</v>
      </c>
      <c r="CB5" s="20">
        <f t="shared" si="10"/>
        <v>3.2463174463232147</v>
      </c>
      <c r="CC5" s="59">
        <f t="shared" si="11"/>
        <v>173.84359873382405</v>
      </c>
      <c r="CD5" s="59">
        <f ca="1">AVERAGE(OFFSET($CC$3,0,0,'Données projet'!$E$12+1,1))-AVERAGE(OFFSET($H$3,0,0,'Données projet'!$E$12+1,1))</f>
        <v>256.23994291192162</v>
      </c>
      <c r="CE5" s="59">
        <f t="shared" ref="CE5:CE68" si="40">$CE$3</f>
        <v>207.9118653708222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1.9333333333333333</v>
      </c>
      <c r="CT5" s="12">
        <f>IF('Données projet'!$A$140&gt;35,CT4+CS5-DB4,IF(A5&lt;'Données projet'!$A$140,$CQ$205^A5,IF(A5='Données projet'!$A$140,'Données projet'!$B$140,CT4+CS5-DB4)))</f>
        <v>1.5667020068096027</v>
      </c>
      <c r="CU5" s="17">
        <f>CT5*VLOOKUP('Données projet'!$B$13,Paramètres!$A$1:$I$89,3,0)*VLOOKUP('Données projet'!$B$13,Paramètres!$A$1:$I$89,5,0)</f>
        <v>0.90430039833050269</v>
      </c>
      <c r="CV5" s="13">
        <f t="shared" ref="CV5:CV68" si="41">EXP(-1.0587+0.8836*LN(CU5)+0.284)</f>
        <v>0.42164794317590837</v>
      </c>
      <c r="CW5" s="20">
        <f t="shared" si="13"/>
        <v>2.3093600281236659</v>
      </c>
      <c r="CX5" s="59">
        <f t="shared" si="14"/>
        <v>172.90664131562451</v>
      </c>
      <c r="CY5" s="59">
        <f ca="1">AVERAGE(OFFSET($CX$3,0,0,'Données projet'!$E$13+1,1))-AVERAGE(OFFSET($H$3,0,0,'Données projet'!$E$13+1,1))</f>
        <v>205.74526926885287</v>
      </c>
      <c r="CZ5" s="59">
        <f t="shared" ref="CZ5:CZ68" si="42">$CZ$3</f>
        <v>201.56217137928999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2.9235042735042733</v>
      </c>
      <c r="DO5" s="12">
        <f>IF('Données projet'!$A$166&gt;35,DO4+DN5-DW4,IF(A5&lt;'Données projet'!$A$166,$DL$205^A5,IF(A5='Données projet'!$A$166,'Données projet'!$B$166,DO4+DN5-DW4)))</f>
        <v>1.3475193156576519</v>
      </c>
      <c r="DP5" s="17">
        <f>DO5*VLOOKUP('Données projet'!$B$14,Paramètres!$A$1:$I$89,3,0)*VLOOKUP('Données projet'!$B$14,Paramètres!$A$1:$I$89,5,0)</f>
        <v>1.2822993807798215</v>
      </c>
      <c r="DQ5" s="13">
        <f t="shared" ref="DQ5:DQ68" si="43">EXP(-1.0587+0.8836*LN(DP5)+0.284)</f>
        <v>0.57407882412097866</v>
      </c>
      <c r="DR5" s="20">
        <f t="shared" si="16"/>
        <v>3.2331920402022267</v>
      </c>
      <c r="DS5" s="59">
        <f t="shared" si="17"/>
        <v>173.83047332770306</v>
      </c>
      <c r="DT5" s="59">
        <f ca="1">AVERAGE(OFFSET($DS$3,0,0,'Données projet'!$E$14+1,1))-AVERAGE(OFFSET($H$3,0,0,'Données projet'!$E$14+1,1))</f>
        <v>403.89478276355294</v>
      </c>
      <c r="DU5" s="59">
        <f t="shared" ref="DU5:DU68" si="44">$DU$3</f>
        <v>241.1593989733278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2.9235042735042733</v>
      </c>
      <c r="N6" s="13">
        <f>IF('Données projet'!$A$36&gt;35,N5+M6-V5,IF(A6&lt;'Données projet'!$A$36,$K$205^A6,IF(A6='Données projet'!$A$36,'Données projet'!$B$36,N5+M6-V5)))</f>
        <v>1.5642367998361231</v>
      </c>
      <c r="O6" s="13">
        <f>N6*VLOOKUP('Données projet'!$B$9,Paramètres!$A$1:$I$89,3,0)*VLOOKUP('Données projet'!$B$9,Paramètres!$A$1:$I$89,5,0)</f>
        <v>1.415321456491724</v>
      </c>
      <c r="P6" s="13">
        <f t="shared" si="33"/>
        <v>0.62639404887004735</v>
      </c>
      <c r="Q6" s="20">
        <f t="shared" si="2"/>
        <v>3.5559878385050854</v>
      </c>
      <c r="R6" s="59">
        <f t="shared" si="0"/>
        <v>176.91100840838996</v>
      </c>
      <c r="S6" s="59">
        <f ca="1">AVERAGE(OFFSET($R$3,0,0,'Données projet'!$E$9+1,1))-AVERAGE(OFFSET($H$3,0,0,'Données projet'!$E$9+1,1))</f>
        <v>388.1278150896951</v>
      </c>
      <c r="T6" s="59">
        <f t="shared" si="34"/>
        <v>232.26614607059227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2.9235042735042733</v>
      </c>
      <c r="AI6" s="13">
        <f>IF('Données projet'!$A$62&gt;35,AI5+AH6-AQ5,IF(A6&lt;'Données projet'!$A$62,$AF$205^A6,IF(A6='Données projet'!$A$62,'Données projet'!$B$62,AI5+AH6-AQ5)))</f>
        <v>1.5642367998361231</v>
      </c>
      <c r="AJ6" s="13">
        <f>AI6*VLOOKUP('Données projet'!$B$10,Paramètres!$A$1:$I$89,3,0)*VLOOKUP('Données projet'!$B$10,Paramètres!$A$1:$I$89,5,0)</f>
        <v>1.5861361150338289</v>
      </c>
      <c r="AK6" s="13">
        <f t="shared" si="35"/>
        <v>0.69274418641277524</v>
      </c>
      <c r="AL6" s="20">
        <f t="shared" si="4"/>
        <v>3.969049858352836</v>
      </c>
      <c r="AM6" s="59">
        <f t="shared" si="5"/>
        <v>177.32407042823772</v>
      </c>
      <c r="AN6" s="59">
        <f ca="1">AVERAGE(OFFSET($AM$3,0,0,'Données projet'!$E$10+1,1))-AVERAGE(OFFSET($H$3,0,0,'Données projet'!$E$10+1,1))</f>
        <v>424.89201140676084</v>
      </c>
      <c r="AO6" s="59">
        <f t="shared" si="36"/>
        <v>253.0016648946303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0.9</v>
      </c>
      <c r="BD6" s="12">
        <f>IF('Données projet'!$A$88&gt;35,BD5+BC6-BL5,IF(A6&lt;'Données projet'!$A$88,$BA$205^A6,IF(A6='Données projet'!$A$88,'Données projet'!$B$88,BD5+BC6-BL5)))</f>
        <v>1.5427333776762726</v>
      </c>
      <c r="BE6" s="13">
        <f>BD6*VLOOKUP('Données projet'!$B$11,Paramètres!$A$1:$I$89,3,0)*VLOOKUP('Données projet'!$B$11,Paramètres!$A$1:$I$89,5,0)</f>
        <v>1.3477318787379919</v>
      </c>
      <c r="BF6" s="13">
        <f t="shared" si="37"/>
        <v>0.59988737006377257</v>
      </c>
      <c r="BG6" s="20">
        <f t="shared" si="7"/>
        <v>3.3921035249964064</v>
      </c>
      <c r="BH6" s="59">
        <f t="shared" si="8"/>
        <v>176.74712409488129</v>
      </c>
      <c r="BI6" s="59">
        <f ca="1">AVERAGE(OFFSET($BH$3,0,0,'Données projet'!$E$11+1,1))-AVERAGE(OFFSET($H$3,0,0,'Données projet'!$E$11+1,1))</f>
        <v>218.97952644043698</v>
      </c>
      <c r="BJ6" s="59">
        <f t="shared" si="38"/>
        <v>204.10961748628714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2.1333333333333333</v>
      </c>
      <c r="BY6" s="12">
        <f>IF('Données projet'!$A$114&gt;35,BY5+BX6-CG5,IF(A6&lt;'Données projet'!$A$114,$BV$205^A6,IF(A6='Données projet'!$A$114,'Données projet'!$B$114,BY5+BX6-CG5)))</f>
        <v>2</v>
      </c>
      <c r="BZ6" s="13">
        <f>BY6*VLOOKUP('Données projet'!$B$12,Paramètres!$A$1:$I$89,3,0)*VLOOKUP('Données projet'!$B$12,Paramètres!$A$1:$I$89,5,0)</f>
        <v>1.6224000000000001</v>
      </c>
      <c r="CA6" s="13">
        <f t="shared" si="39"/>
        <v>0.70672038512206192</v>
      </c>
      <c r="CB6" s="20">
        <f t="shared" si="10"/>
        <v>4.0565513374209239</v>
      </c>
      <c r="CC6" s="59">
        <f t="shared" si="11"/>
        <v>177.41157190730581</v>
      </c>
      <c r="CD6" s="59">
        <f ca="1">AVERAGE(OFFSET($CC$3,0,0,'Données projet'!$E$12+1,1))-AVERAGE(OFFSET($H$3,0,0,'Données projet'!$E$12+1,1))</f>
        <v>256.23994291192162</v>
      </c>
      <c r="CE6" s="59">
        <f t="shared" si="40"/>
        <v>207.9118653708222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1.9333333333333333</v>
      </c>
      <c r="CT6" s="12">
        <f>IF('Données projet'!$A$140&gt;35,CT5+CS6-DB5,IF(A6&lt;'Données projet'!$A$140,$CQ$205^A6,IF(A6='Données projet'!$A$140,'Données projet'!$B$140,CT5+CS6-DB5)))</f>
        <v>1.9610090574545487</v>
      </c>
      <c r="CU6" s="17">
        <f>CT6*VLOOKUP('Données projet'!$B$13,Paramètres!$A$1:$I$89,3,0)*VLOOKUP('Données projet'!$B$13,Paramètres!$A$1:$I$89,5,0)</f>
        <v>1.1318944279627656</v>
      </c>
      <c r="CV6" s="13">
        <f t="shared" si="41"/>
        <v>0.51415608208194152</v>
      </c>
      <c r="CW6" s="20">
        <f t="shared" si="13"/>
        <v>2.8668713049945311</v>
      </c>
      <c r="CX6" s="59">
        <f t="shared" si="14"/>
        <v>176.22189187487942</v>
      </c>
      <c r="CY6" s="59">
        <f ca="1">AVERAGE(OFFSET($CX$3,0,0,'Données projet'!$E$13+1,1))-AVERAGE(OFFSET($H$3,0,0,'Données projet'!$E$13+1,1))</f>
        <v>205.74526926885287</v>
      </c>
      <c r="CZ6" s="59">
        <f t="shared" si="42"/>
        <v>201.56217137928999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2.9235042735042733</v>
      </c>
      <c r="DO6" s="12">
        <f>IF('Données projet'!$A$166&gt;35,DO5+DN6-DW5,IF(A6&lt;'Données projet'!$A$166,$DL$205^A6,IF(A6='Données projet'!$A$166,'Données projet'!$B$166,DO5+DN6-DW5)))</f>
        <v>1.5642367998361231</v>
      </c>
      <c r="DP6" s="17">
        <f>DO6*VLOOKUP('Données projet'!$B$14,Paramètres!$A$1:$I$89,3,0)*VLOOKUP('Données projet'!$B$14,Paramètres!$A$1:$I$89,5,0)</f>
        <v>1.4885277387240547</v>
      </c>
      <c r="DQ6" s="13">
        <f t="shared" si="43"/>
        <v>0.6549378504796014</v>
      </c>
      <c r="DR6" s="20">
        <f t="shared" si="16"/>
        <v>3.7332025678630338</v>
      </c>
      <c r="DS6" s="59">
        <f t="shared" si="17"/>
        <v>177.08822313774792</v>
      </c>
      <c r="DT6" s="59">
        <f ca="1">AVERAGE(OFFSET($DS$3,0,0,'Données projet'!$E$14+1,1))-AVERAGE(OFFSET($H$3,0,0,'Données projet'!$E$14+1,1))</f>
        <v>403.89478276355294</v>
      </c>
      <c r="DU6" s="59">
        <f t="shared" si="44"/>
        <v>241.1593989733278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2.9235042735042733</v>
      </c>
      <c r="N7" s="13">
        <f>IF('Données projet'!$A$36&gt;35,N6+M7-V6,IF(A7&lt;'Données projet'!$A$36,$K$205^A7,IF(A7='Données projet'!$A$36,'Données projet'!$B$36,N6+M7-V6)))</f>
        <v>1.8158083060704666</v>
      </c>
      <c r="O7" s="13">
        <f>N7*VLOOKUP('Données projet'!$B$9,Paramètres!$A$1:$I$89,3,0)*VLOOKUP('Données projet'!$B$9,Paramètres!$A$1:$I$89,5,0)</f>
        <v>1.6429433553325583</v>
      </c>
      <c r="P7" s="13">
        <f t="shared" si="33"/>
        <v>0.71462167681995736</v>
      </c>
      <c r="Q7" s="20">
        <f t="shared" si="2"/>
        <v>4.1060924309989639</v>
      </c>
      <c r="R7" s="59">
        <f t="shared" si="0"/>
        <v>180.1922144951759</v>
      </c>
      <c r="S7" s="59">
        <f ca="1">AVERAGE(OFFSET($R$3,0,0,'Données projet'!$E$9+1,1))-AVERAGE(OFFSET($H$3,0,0,'Données projet'!$E$9+1,1))</f>
        <v>388.1278150896951</v>
      </c>
      <c r="T7" s="59">
        <f t="shared" si="34"/>
        <v>232.26614607059227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2.9235042735042733</v>
      </c>
      <c r="AI7" s="13">
        <f>IF('Données projet'!$A$62&gt;35,AI6+AH7-AQ6,IF(A7&lt;'Données projet'!$A$62,$AF$205^A7,IF(A7='Données projet'!$A$62,'Données projet'!$B$62,AI6+AH7-AQ6)))</f>
        <v>1.8158083060704666</v>
      </c>
      <c r="AJ7" s="13">
        <f>AI7*VLOOKUP('Données projet'!$B$10,Paramètres!$A$1:$I$89,3,0)*VLOOKUP('Données projet'!$B$10,Paramètres!$A$1:$I$89,5,0)</f>
        <v>1.8412296223554532</v>
      </c>
      <c r="AK7" s="13">
        <f t="shared" si="35"/>
        <v>0.7903172340072443</v>
      </c>
      <c r="AL7" s="20">
        <f t="shared" si="4"/>
        <v>4.5832774414983648</v>
      </c>
      <c r="AM7" s="59">
        <f t="shared" si="5"/>
        <v>180.6693995056753</v>
      </c>
      <c r="AN7" s="59">
        <f ca="1">AVERAGE(OFFSET($AM$3,0,0,'Données projet'!$E$10+1,1))-AVERAGE(OFFSET($H$3,0,0,'Données projet'!$E$10+1,1))</f>
        <v>424.89201140676084</v>
      </c>
      <c r="AO7" s="59">
        <f t="shared" si="36"/>
        <v>253.0016648946303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0.9</v>
      </c>
      <c r="BD7" s="12">
        <f>IF('Données projet'!$A$88&gt;35,BD6+BC7-BL6,IF(A7&lt;'Données projet'!$A$88,$BA$205^A7,IF(A7='Données projet'!$A$88,'Données projet'!$B$88,BD6+BC7-BL6)))</f>
        <v>1.7826024579660036</v>
      </c>
      <c r="BE7" s="13">
        <f>BD7*VLOOKUP('Données projet'!$B$11,Paramètres!$A$1:$I$89,3,0)*VLOOKUP('Données projet'!$B$11,Paramètres!$A$1:$I$89,5,0)</f>
        <v>1.5572815072791011</v>
      </c>
      <c r="BF7" s="13">
        <f t="shared" si="37"/>
        <v>0.68159698037116012</v>
      </c>
      <c r="BG7" s="20">
        <f t="shared" si="7"/>
        <v>3.8993800326575379</v>
      </c>
      <c r="BH7" s="59">
        <f t="shared" si="8"/>
        <v>179.98550209683449</v>
      </c>
      <c r="BI7" s="59">
        <f ca="1">AVERAGE(OFFSET($BH$3,0,0,'Données projet'!$E$11+1,1))-AVERAGE(OFFSET($H$3,0,0,'Données projet'!$E$11+1,1))</f>
        <v>218.97952644043698</v>
      </c>
      <c r="BJ7" s="59">
        <f t="shared" si="38"/>
        <v>204.10961748628714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2.1333333333333333</v>
      </c>
      <c r="BY7" s="12">
        <f>IF('Données projet'!$A$114&gt;35,BY6+BX7-CG6,IF(A7&lt;'Données projet'!$A$114,$BV$205^A7,IF(A7='Données projet'!$A$114,'Données projet'!$B$114,BY6+BX7-CG6)))</f>
        <v>2.5198420997897468</v>
      </c>
      <c r="BZ7" s="13">
        <f>BY7*VLOOKUP('Données projet'!$B$12,Paramètres!$A$1:$I$89,3,0)*VLOOKUP('Données projet'!$B$12,Paramètres!$A$1:$I$89,5,0)</f>
        <v>2.0440959113494426</v>
      </c>
      <c r="CA7" s="13">
        <f t="shared" si="39"/>
        <v>0.86678420072876483</v>
      </c>
      <c r="CB7" s="20">
        <f t="shared" si="10"/>
        <v>5.0697828618695446</v>
      </c>
      <c r="CC7" s="59">
        <f t="shared" si="11"/>
        <v>181.1559049260465</v>
      </c>
      <c r="CD7" s="59">
        <f ca="1">AVERAGE(OFFSET($CC$3,0,0,'Données projet'!$E$12+1,1))-AVERAGE(OFFSET($H$3,0,0,'Données projet'!$E$12+1,1))</f>
        <v>256.23994291192162</v>
      </c>
      <c r="CE7" s="59">
        <f t="shared" si="40"/>
        <v>207.9118653708222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1.9333333333333333</v>
      </c>
      <c r="CT7" s="12">
        <f>IF('Données projet'!$A$140&gt;35,CT6+CS7-DB6,IF(A7&lt;'Données projet'!$A$140,$CQ$205^A7,IF(A7='Données projet'!$A$140,'Données projet'!$B$140,CT6+CS7-DB6)))</f>
        <v>2.4545551781412365</v>
      </c>
      <c r="CU7" s="17">
        <f>CT7*VLOOKUP('Données projet'!$B$13,Paramètres!$A$1:$I$89,3,0)*VLOOKUP('Données projet'!$B$13,Paramètres!$A$1:$I$89,5,0)</f>
        <v>1.4167692488231216</v>
      </c>
      <c r="CV7" s="13">
        <f t="shared" si="41"/>
        <v>0.62696019515874757</v>
      </c>
      <c r="CW7" s="20">
        <f t="shared" si="13"/>
        <v>3.5594954482684216</v>
      </c>
      <c r="CX7" s="59">
        <f t="shared" si="14"/>
        <v>179.64561751244537</v>
      </c>
      <c r="CY7" s="59">
        <f ca="1">AVERAGE(OFFSET($CX$3,0,0,'Données projet'!$E$13+1,1))-AVERAGE(OFFSET($H$3,0,0,'Données projet'!$E$13+1,1))</f>
        <v>205.74526926885287</v>
      </c>
      <c r="CZ7" s="59">
        <f t="shared" si="42"/>
        <v>201.56217137928999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2.9235042735042733</v>
      </c>
      <c r="DO7" s="12">
        <f>IF('Données projet'!$A$166&gt;35,DO6+DN7-DW6,IF(A7&lt;'Données projet'!$A$166,$DL$205^A7,IF(A7='Données projet'!$A$166,'Données projet'!$B$166,DO6+DN7-DW6)))</f>
        <v>1.8158083060704666</v>
      </c>
      <c r="DP7" s="17">
        <f>DO7*VLOOKUP('Données projet'!$B$14,Paramètres!$A$1:$I$89,3,0)*VLOOKUP('Données projet'!$B$14,Paramètres!$A$1:$I$89,5,0)</f>
        <v>1.727923184056656</v>
      </c>
      <c r="DQ7" s="13">
        <f t="shared" si="43"/>
        <v>0.7471858740785865</v>
      </c>
      <c r="DR7" s="20">
        <f t="shared" si="16"/>
        <v>4.3108149429188805</v>
      </c>
      <c r="DS7" s="59">
        <f t="shared" si="17"/>
        <v>180.39693700709583</v>
      </c>
      <c r="DT7" s="59">
        <f ca="1">AVERAGE(OFFSET($DS$3,0,0,'Données projet'!$E$14+1,1))-AVERAGE(OFFSET($H$3,0,0,'Données projet'!$E$14+1,1))</f>
        <v>403.89478276355294</v>
      </c>
      <c r="DU7" s="59">
        <f t="shared" si="44"/>
        <v>241.1593989733278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2.9235042735042733</v>
      </c>
      <c r="N8" s="13">
        <f>IF('Données projet'!$A$36&gt;35,N7+M8-V7,IF(A8&lt;'Données projet'!$A$36,$K$205^A8,IF(A8='Données projet'!$A$36,'Données projet'!$B$36,N7+M8-V7)))</f>
        <v>2.1078393020416879</v>
      </c>
      <c r="O8" s="13">
        <f>N8*VLOOKUP('Données projet'!$B$9,Paramètres!$A$1:$I$89,3,0)*VLOOKUP('Données projet'!$B$9,Paramètres!$A$1:$I$89,5,0)</f>
        <v>1.9071730004873191</v>
      </c>
      <c r="P8" s="13">
        <f t="shared" si="33"/>
        <v>0.81527616985217366</v>
      </c>
      <c r="Q8" s="20">
        <f t="shared" si="2"/>
        <v>4.7415989716746161</v>
      </c>
      <c r="R8" s="59">
        <f t="shared" si="0"/>
        <v>183.53264684812197</v>
      </c>
      <c r="S8" s="59">
        <f ca="1">AVERAGE(OFFSET($R$3,0,0,'Données projet'!$E$9+1,1))-AVERAGE(OFFSET($H$3,0,0,'Données projet'!$E$9+1,1))</f>
        <v>388.1278150896951</v>
      </c>
      <c r="T8" s="59">
        <f t="shared" si="34"/>
        <v>232.26614607059227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2.9235042735042733</v>
      </c>
      <c r="AI8" s="13">
        <f>IF('Données projet'!$A$62&gt;35,AI7+AH8-AQ7,IF(A8&lt;'Données projet'!$A$62,$AF$205^A8,IF(A8='Données projet'!$A$62,'Données projet'!$B$62,AI7+AH8-AQ7)))</f>
        <v>2.1078393020416879</v>
      </c>
      <c r="AJ8" s="13">
        <f>AI8*VLOOKUP('Données projet'!$B$10,Paramètres!$A$1:$I$89,3,0)*VLOOKUP('Données projet'!$B$10,Paramètres!$A$1:$I$89,5,0)</f>
        <v>2.1373490522702716</v>
      </c>
      <c r="AK8" s="13">
        <f t="shared" si="35"/>
        <v>0.90163344943134527</v>
      </c>
      <c r="AL8" s="20">
        <f t="shared" si="4"/>
        <v>5.2928945237969822</v>
      </c>
      <c r="AM8" s="59">
        <f t="shared" si="5"/>
        <v>184.08394240024433</v>
      </c>
      <c r="AN8" s="59">
        <f ca="1">AVERAGE(OFFSET($AM$3,0,0,'Données projet'!$E$10+1,1))-AVERAGE(OFFSET($H$3,0,0,'Données projet'!$E$10+1,1))</f>
        <v>424.89201140676084</v>
      </c>
      <c r="AO8" s="59">
        <f t="shared" si="36"/>
        <v>253.0016648946303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0.9</v>
      </c>
      <c r="BD8" s="12">
        <f>IF('Données projet'!$A$88&gt;35,BD7+BC8-BL7,IF(A8&lt;'Données projet'!$A$88,$BA$205^A8,IF(A8='Données projet'!$A$88,'Données projet'!$B$88,BD7+BC8-BL7)))</f>
        <v>2.0597671439071181</v>
      </c>
      <c r="BE8" s="13">
        <f>BD8*VLOOKUP('Données projet'!$B$11,Paramètres!$A$1:$I$89,3,0)*VLOOKUP('Données projet'!$B$11,Paramètres!$A$1:$I$89,5,0)</f>
        <v>1.7994125769172586</v>
      </c>
      <c r="BF8" s="13">
        <f t="shared" si="37"/>
        <v>0.77443611390200762</v>
      </c>
      <c r="BG8" s="20">
        <f t="shared" si="7"/>
        <v>4.4827864698435551</v>
      </c>
      <c r="BH8" s="59">
        <f t="shared" si="8"/>
        <v>183.2738343462909</v>
      </c>
      <c r="BI8" s="59">
        <f ca="1">AVERAGE(OFFSET($BH$3,0,0,'Données projet'!$E$11+1,1))-AVERAGE(OFFSET($H$3,0,0,'Données projet'!$E$11+1,1))</f>
        <v>218.97952644043698</v>
      </c>
      <c r="BJ8" s="59">
        <f t="shared" si="38"/>
        <v>204.10961748628714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2.1333333333333333</v>
      </c>
      <c r="BY8" s="12">
        <f>IF('Données projet'!$A$114&gt;35,BY7+BX8-CG7,IF(A8&lt;'Données projet'!$A$114,$BV$205^A8,IF(A8='Données projet'!$A$114,'Données projet'!$B$114,BY7+BX8-CG7)))</f>
        <v>3.1748021039363996</v>
      </c>
      <c r="BZ8" s="13">
        <f>BY8*VLOOKUP('Données projet'!$B$12,Paramètres!$A$1:$I$89,3,0)*VLOOKUP('Données projet'!$B$12,Paramètres!$A$1:$I$89,5,0)</f>
        <v>2.5753994667132076</v>
      </c>
      <c r="CA8" s="13">
        <f t="shared" si="39"/>
        <v>1.0631005790263708</v>
      </c>
      <c r="CB8" s="20">
        <f t="shared" si="10"/>
        <v>6.3370542463297648</v>
      </c>
      <c r="CC8" s="59">
        <f t="shared" si="11"/>
        <v>185.12810212277711</v>
      </c>
      <c r="CD8" s="59">
        <f ca="1">AVERAGE(OFFSET($CC$3,0,0,'Données projet'!$E$12+1,1))-AVERAGE(OFFSET($H$3,0,0,'Données projet'!$E$12+1,1))</f>
        <v>256.23994291192162</v>
      </c>
      <c r="CE8" s="59">
        <f t="shared" si="40"/>
        <v>207.9118653708222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1.9333333333333333</v>
      </c>
      <c r="CT8" s="12">
        <f>IF('Données projet'!$A$140&gt;35,CT7+CS8-DB7,IF(A8&lt;'Données projet'!$A$140,$CQ$205^A8,IF(A8='Données projet'!$A$140,'Données projet'!$B$140,CT7+CS8-DB7)))</f>
        <v>3.0723168256858489</v>
      </c>
      <c r="CU8" s="17">
        <f>CT8*VLOOKUP('Données projet'!$B$13,Paramètres!$A$1:$I$89,3,0)*VLOOKUP('Données projet'!$B$13,Paramètres!$A$1:$I$89,5,0)</f>
        <v>1.7733412717858721</v>
      </c>
      <c r="CV8" s="13">
        <f t="shared" si="41"/>
        <v>0.76451315079620041</v>
      </c>
      <c r="CW8" s="20">
        <f t="shared" si="13"/>
        <v>4.4200964526637767</v>
      </c>
      <c r="CX8" s="59">
        <f t="shared" si="14"/>
        <v>183.21114432911114</v>
      </c>
      <c r="CY8" s="59">
        <f ca="1">AVERAGE(OFFSET($CX$3,0,0,'Données projet'!$E$13+1,1))-AVERAGE(OFFSET($H$3,0,0,'Données projet'!$E$13+1,1))</f>
        <v>205.74526926885287</v>
      </c>
      <c r="CZ8" s="59">
        <f t="shared" si="42"/>
        <v>201.56217137928999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2.9235042735042733</v>
      </c>
      <c r="DO8" s="12">
        <f>IF('Données projet'!$A$166&gt;35,DO7+DN8-DW7,IF(A8&lt;'Données projet'!$A$166,$DL$205^A8,IF(A8='Données projet'!$A$166,'Données projet'!$B$166,DO7+DN8-DW7)))</f>
        <v>2.1078393020416879</v>
      </c>
      <c r="DP8" s="17">
        <f>DO8*VLOOKUP('Données projet'!$B$14,Paramètres!$A$1:$I$89,3,0)*VLOOKUP('Données projet'!$B$14,Paramètres!$A$1:$I$89,5,0)</f>
        <v>2.0058198798228699</v>
      </c>
      <c r="DQ8" s="13">
        <f t="shared" si="43"/>
        <v>0.85242703565499545</v>
      </c>
      <c r="DR8" s="20">
        <f t="shared" si="16"/>
        <v>4.9781133777906152</v>
      </c>
      <c r="DS8" s="59">
        <f t="shared" si="17"/>
        <v>183.76916125423796</v>
      </c>
      <c r="DT8" s="59">
        <f ca="1">AVERAGE(OFFSET($DS$3,0,0,'Données projet'!$E$14+1,1))-AVERAGE(OFFSET($H$3,0,0,'Données projet'!$E$14+1,1))</f>
        <v>403.89478276355294</v>
      </c>
      <c r="DU8" s="59">
        <f t="shared" si="44"/>
        <v>241.1593989733278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2.9235042735042733</v>
      </c>
      <c r="N9" s="13">
        <f>IF('Données projet'!$A$36&gt;35,N8+M9-V8,IF(A9&lt;'Données projet'!$A$36,$K$205^A9,IF(A9='Données projet'!$A$36,'Données projet'!$B$36,N8+M9-V8)))</f>
        <v>2.4468367659615553</v>
      </c>
      <c r="O9" s="13">
        <f>N9*VLOOKUP('Données projet'!$B$9,Paramètres!$A$1:$I$89,3,0)*VLOOKUP('Données projet'!$B$9,Paramètres!$A$1:$I$89,5,0)</f>
        <v>2.2138979058420154</v>
      </c>
      <c r="P9" s="13">
        <f t="shared" si="33"/>
        <v>0.93010785243265093</v>
      </c>
      <c r="Q9" s="20">
        <f t="shared" si="2"/>
        <v>5.4758100289950429</v>
      </c>
      <c r="R9" s="59">
        <f t="shared" si="0"/>
        <v>186.94606212525403</v>
      </c>
      <c r="S9" s="59">
        <f ca="1">AVERAGE(OFFSET($R$3,0,0,'Données projet'!$E$9+1,1))-AVERAGE(OFFSET($H$3,0,0,'Données projet'!$E$9+1,1))</f>
        <v>388.1278150896951</v>
      </c>
      <c r="T9" s="59">
        <f t="shared" si="34"/>
        <v>232.26614607059227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2.9235042735042733</v>
      </c>
      <c r="AI9" s="13">
        <f>IF('Données projet'!$A$62&gt;35,AI8+AH9-AQ8,IF(A9&lt;'Données projet'!$A$62,$AF$205^A9,IF(A9='Données projet'!$A$62,'Données projet'!$B$62,AI8+AH9-AQ8)))</f>
        <v>2.4468367659615553</v>
      </c>
      <c r="AJ9" s="13">
        <f>AI9*VLOOKUP('Données projet'!$B$10,Paramètres!$A$1:$I$89,3,0)*VLOOKUP('Données projet'!$B$10,Paramètres!$A$1:$I$89,5,0)</f>
        <v>2.4810924806850174</v>
      </c>
      <c r="AK9" s="13">
        <f t="shared" si="35"/>
        <v>1.0286285584479797</v>
      </c>
      <c r="AL9" s="20">
        <f t="shared" si="4"/>
        <v>6.1127641431566362</v>
      </c>
      <c r="AM9" s="59">
        <f t="shared" si="5"/>
        <v>187.5830162394156</v>
      </c>
      <c r="AN9" s="59">
        <f ca="1">AVERAGE(OFFSET($AM$3,0,0,'Données projet'!$E$10+1,1))-AVERAGE(OFFSET($H$3,0,0,'Données projet'!$E$10+1,1))</f>
        <v>424.89201140676084</v>
      </c>
      <c r="AO9" s="59">
        <f t="shared" si="36"/>
        <v>253.0016648946303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0.9</v>
      </c>
      <c r="BD9" s="12">
        <f>IF('Données projet'!$A$88&gt;35,BD8+BC9-BL8,IF(A9&lt;'Données projet'!$A$88,$BA$205^A9,IF(A9='Données projet'!$A$88,'Données projet'!$B$88,BD8+BC9-BL8)))</f>
        <v>2.3800262745964411</v>
      </c>
      <c r="BE9" s="13">
        <f>BD9*VLOOKUP('Données projet'!$B$11,Paramètres!$A$1:$I$89,3,0)*VLOOKUP('Données projet'!$B$11,Paramètres!$A$1:$I$89,5,0)</f>
        <v>2.0791909534874513</v>
      </c>
      <c r="BF9" s="13">
        <f t="shared" si="37"/>
        <v>0.87992070356451979</v>
      </c>
      <c r="BG9" s="20">
        <f t="shared" si="7"/>
        <v>5.1537861360321822</v>
      </c>
      <c r="BH9" s="59">
        <f t="shared" si="8"/>
        <v>186.62403823229116</v>
      </c>
      <c r="BI9" s="59">
        <f ca="1">AVERAGE(OFFSET($BH$3,0,0,'Données projet'!$E$11+1,1))-AVERAGE(OFFSET($H$3,0,0,'Données projet'!$E$11+1,1))</f>
        <v>218.97952644043698</v>
      </c>
      <c r="BJ9" s="59">
        <f t="shared" si="38"/>
        <v>204.10961748628714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2.1333333333333333</v>
      </c>
      <c r="BY9" s="12">
        <f>IF('Données projet'!$A$114&gt;35,BY8+BX9-CG8,IF(A9&lt;'Données projet'!$A$114,$BV$205^A9,IF(A9='Données projet'!$A$114,'Données projet'!$B$114,BY8+BX9-CG8)))</f>
        <v>4.0000000000000009</v>
      </c>
      <c r="BZ9" s="13">
        <f>BY9*VLOOKUP('Données projet'!$B$12,Paramètres!$A$1:$I$89,3,0)*VLOOKUP('Données projet'!$B$12,Paramètres!$A$1:$I$89,5,0)</f>
        <v>3.244800000000001</v>
      </c>
      <c r="CA9" s="13">
        <f t="shared" si="39"/>
        <v>1.3038802970520027</v>
      </c>
      <c r="CB9" s="20">
        <f t="shared" si="10"/>
        <v>7.9222848506989054</v>
      </c>
      <c r="CC9" s="59">
        <f t="shared" si="11"/>
        <v>189.39253694695788</v>
      </c>
      <c r="CD9" s="59">
        <f ca="1">AVERAGE(OFFSET($CC$3,0,0,'Données projet'!$E$12+1,1))-AVERAGE(OFFSET($H$3,0,0,'Données projet'!$E$12+1,1))</f>
        <v>256.23994291192162</v>
      </c>
      <c r="CE9" s="59">
        <f t="shared" si="40"/>
        <v>207.9118653708222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1.9333333333333333</v>
      </c>
      <c r="CT9" s="12">
        <f>IF('Données projet'!$A$140&gt;35,CT8+CS9-DB8,IF(A9&lt;'Données projet'!$A$140,$CQ$205^A9,IF(A9='Données projet'!$A$140,'Données projet'!$B$140,CT8+CS9-DB8)))</f>
        <v>3.845556523418777</v>
      </c>
      <c r="CU9" s="17">
        <f>CT9*VLOOKUP('Données projet'!$B$13,Paramètres!$A$1:$I$89,3,0)*VLOOKUP('Données projet'!$B$13,Paramètres!$A$1:$I$89,5,0)</f>
        <v>2.2196552253173181</v>
      </c>
      <c r="CV9" s="13">
        <f t="shared" si="41"/>
        <v>0.93224476171464499</v>
      </c>
      <c r="CW9" s="20">
        <f t="shared" si="13"/>
        <v>5.489559144080669</v>
      </c>
      <c r="CX9" s="59">
        <f t="shared" si="14"/>
        <v>186.95981124033963</v>
      </c>
      <c r="CY9" s="59">
        <f ca="1">AVERAGE(OFFSET($CX$3,0,0,'Données projet'!$E$13+1,1))-AVERAGE(OFFSET($H$3,0,0,'Données projet'!$E$13+1,1))</f>
        <v>205.74526926885287</v>
      </c>
      <c r="CZ9" s="59">
        <f t="shared" si="42"/>
        <v>201.56217137928999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2.9235042735042733</v>
      </c>
      <c r="DO9" s="12">
        <f>IF('Données projet'!$A$166&gt;35,DO8+DN9-DW8,IF(A9&lt;'Données projet'!$A$166,$DL$205^A9,IF(A9='Données projet'!$A$166,'Données projet'!$B$166,DO8+DN9-DW8)))</f>
        <v>2.4468367659615553</v>
      </c>
      <c r="DP9" s="17">
        <f>DO9*VLOOKUP('Données projet'!$B$14,Paramètres!$A$1:$I$89,3,0)*VLOOKUP('Données projet'!$B$14,Paramètres!$A$1:$I$89,5,0)</f>
        <v>2.3284098664890163</v>
      </c>
      <c r="DQ9" s="13">
        <f t="shared" si="43"/>
        <v>0.97249141923571569</v>
      </c>
      <c r="DR9" s="20">
        <f t="shared" si="16"/>
        <v>5.7490697393039083</v>
      </c>
      <c r="DS9" s="59">
        <f t="shared" si="17"/>
        <v>187.21932183556288</v>
      </c>
      <c r="DT9" s="59">
        <f ca="1">AVERAGE(OFFSET($DS$3,0,0,'Données projet'!$E$14+1,1))-AVERAGE(OFFSET($H$3,0,0,'Données projet'!$E$14+1,1))</f>
        <v>403.89478276355294</v>
      </c>
      <c r="DU9" s="59">
        <f t="shared" si="44"/>
        <v>241.1593989733278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2.9235042735042733</v>
      </c>
      <c r="N10" s="13">
        <f>IF('Données projet'!$A$36&gt;35,N9+M10-V9,IF(A10&lt;'Données projet'!$A$36,$K$205^A10,IF(A10='Données projet'!$A$36,'Données projet'!$B$36,N9+M10-V9)))</f>
        <v>2.8403541738035183</v>
      </c>
      <c r="O10" s="13">
        <f>N10*VLOOKUP('Données projet'!$B$9,Paramètres!$A$1:$I$89,3,0)*VLOOKUP('Données projet'!$B$9,Paramètres!$A$1:$I$89,5,0)</f>
        <v>2.5699524564574232</v>
      </c>
      <c r="P10" s="13">
        <f t="shared" si="33"/>
        <v>1.0611135823014897</v>
      </c>
      <c r="Q10" s="20">
        <f t="shared" si="2"/>
        <v>6.3241066841717739</v>
      </c>
      <c r="R10" s="59">
        <f t="shared" si="0"/>
        <v>190.448287619908</v>
      </c>
      <c r="S10" s="59">
        <f ca="1">AVERAGE(OFFSET($R$3,0,0,'Données projet'!$E$9+1,1))-AVERAGE(OFFSET($H$3,0,0,'Données projet'!$E$9+1,1))</f>
        <v>388.1278150896951</v>
      </c>
      <c r="T10" s="59">
        <f t="shared" si="34"/>
        <v>232.26614607059227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2.9235042735042733</v>
      </c>
      <c r="AI10" s="13">
        <f>IF('Données projet'!$A$62&gt;35,AI9+AH10-AQ9,IF(A10&lt;'Données projet'!$A$62,$AF$205^A10,IF(A10='Données projet'!$A$62,'Données projet'!$B$62,AI9+AH10-AQ9)))</f>
        <v>2.8403541738035183</v>
      </c>
      <c r="AJ10" s="13">
        <f>AI10*VLOOKUP('Données projet'!$B$10,Paramètres!$A$1:$I$89,3,0)*VLOOKUP('Données projet'!$B$10,Paramètres!$A$1:$I$89,5,0)</f>
        <v>2.8801191322367679</v>
      </c>
      <c r="AK10" s="13">
        <f t="shared" si="35"/>
        <v>1.1735109338746152</v>
      </c>
      <c r="AL10" s="20">
        <f t="shared" si="4"/>
        <v>7.0600723651439914</v>
      </c>
      <c r="AM10" s="59">
        <f t="shared" si="5"/>
        <v>191.18425330088021</v>
      </c>
      <c r="AN10" s="59">
        <f ca="1">AVERAGE(OFFSET($AM$3,0,0,'Données projet'!$E$10+1,1))-AVERAGE(OFFSET($H$3,0,0,'Données projet'!$E$10+1,1))</f>
        <v>424.89201140676084</v>
      </c>
      <c r="AO10" s="59">
        <f t="shared" si="36"/>
        <v>253.0016648946303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0.9</v>
      </c>
      <c r="BD10" s="12">
        <f>IF('Données projet'!$A$88&gt;35,BD9+BC10-BL9,IF(A10&lt;'Données projet'!$A$88,$BA$205^A10,IF(A10='Données projet'!$A$88,'Données projet'!$B$88,BD9+BC10-BL9)))</f>
        <v>2.7500803110319185</v>
      </c>
      <c r="BE10" s="13">
        <f>BD10*VLOOKUP('Données projet'!$B$11,Paramètres!$A$1:$I$89,3,0)*VLOOKUP('Données projet'!$B$11,Paramètres!$A$1:$I$89,5,0)</f>
        <v>2.4024701597174842</v>
      </c>
      <c r="BF10" s="13">
        <f t="shared" si="37"/>
        <v>0.9997731648390682</v>
      </c>
      <c r="BG10" s="20">
        <f t="shared" si="7"/>
        <v>5.9255737902693291</v>
      </c>
      <c r="BH10" s="59">
        <f t="shared" si="8"/>
        <v>190.04975472600557</v>
      </c>
      <c r="BI10" s="59">
        <f ca="1">AVERAGE(OFFSET($BH$3,0,0,'Données projet'!$E$11+1,1))-AVERAGE(OFFSET($H$3,0,0,'Données projet'!$E$11+1,1))</f>
        <v>218.97952644043698</v>
      </c>
      <c r="BJ10" s="59">
        <f t="shared" si="38"/>
        <v>204.10961748628714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2.1333333333333333</v>
      </c>
      <c r="BY10" s="12">
        <f>IF('Données projet'!$A$114&gt;35,BY9+BX10-CG9,IF(A10&lt;'Données projet'!$A$114,$BV$205^A10,IF(A10='Données projet'!$A$114,'Données projet'!$B$114,BY9+BX10-CG9)))</f>
        <v>5.0396841995794937</v>
      </c>
      <c r="BZ10" s="13">
        <f>BY10*VLOOKUP('Données projet'!$B$12,Paramètres!$A$1:$I$89,3,0)*VLOOKUP('Données projet'!$B$12,Paramètres!$A$1:$I$89,5,0)</f>
        <v>4.0881918226988851</v>
      </c>
      <c r="CA10" s="13">
        <f t="shared" si="39"/>
        <v>1.5991937758113535</v>
      </c>
      <c r="CB10" s="20">
        <f t="shared" si="10"/>
        <v>9.9055299174053317</v>
      </c>
      <c r="CC10" s="59">
        <f t="shared" si="11"/>
        <v>194.02971085314158</v>
      </c>
      <c r="CD10" s="59">
        <f ca="1">AVERAGE(OFFSET($CC$3,0,0,'Données projet'!$E$12+1,1))-AVERAGE(OFFSET($H$3,0,0,'Données projet'!$E$12+1,1))</f>
        <v>256.23994291192162</v>
      </c>
      <c r="CE10" s="59">
        <f t="shared" si="40"/>
        <v>207.9118653708222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1.9333333333333333</v>
      </c>
      <c r="CT10" s="12">
        <f>IF('Données projet'!$A$140&gt;35,CT9+CS10-DB9,IF(A10&lt;'Données projet'!$A$140,$CQ$205^A10,IF(A10='Données projet'!$A$140,'Données projet'!$B$140,CT9+CS10-DB9)))</f>
        <v>4.8134049363569282</v>
      </c>
      <c r="CU10" s="17">
        <f>CT10*VLOOKUP('Données projet'!$B$13,Paramètres!$A$1:$I$89,3,0)*VLOOKUP('Données projet'!$B$13,Paramètres!$A$1:$I$89,5,0)</f>
        <v>2.7782973292652189</v>
      </c>
      <c r="CV10" s="13">
        <f t="shared" si="41"/>
        <v>1.1367761232613116</v>
      </c>
      <c r="CW10" s="20">
        <f t="shared" si="13"/>
        <v>6.8187529298170411</v>
      </c>
      <c r="CX10" s="59">
        <f t="shared" si="14"/>
        <v>190.94293386555327</v>
      </c>
      <c r="CY10" s="59">
        <f ca="1">AVERAGE(OFFSET($CX$3,0,0,'Données projet'!$E$13+1,1))-AVERAGE(OFFSET($H$3,0,0,'Données projet'!$E$13+1,1))</f>
        <v>205.74526926885287</v>
      </c>
      <c r="CZ10" s="59">
        <f t="shared" si="42"/>
        <v>201.56217137928999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2.9235042735042733</v>
      </c>
      <c r="DO10" s="12">
        <f>IF('Données projet'!$A$166&gt;35,DO9+DN10-DW9,IF(A10&lt;'Données projet'!$A$166,$DL$205^A10,IF(A10='Données projet'!$A$166,'Données projet'!$B$166,DO9+DN10-DW9)))</f>
        <v>2.8403541738035183</v>
      </c>
      <c r="DP10" s="17">
        <f>DO10*VLOOKUP('Données projet'!$B$14,Paramètres!$A$1:$I$89,3,0)*VLOOKUP('Données projet'!$B$14,Paramètres!$A$1:$I$89,5,0)</f>
        <v>2.7028810317914278</v>
      </c>
      <c r="DQ10" s="13">
        <f t="shared" si="43"/>
        <v>1.1094668762592685</v>
      </c>
      <c r="DR10" s="20">
        <f t="shared" si="16"/>
        <v>6.6398392731882963</v>
      </c>
      <c r="DS10" s="59">
        <f t="shared" si="17"/>
        <v>190.76402020892453</v>
      </c>
      <c r="DT10" s="59">
        <f ca="1">AVERAGE(OFFSET($DS$3,0,0,'Données projet'!$E$14+1,1))-AVERAGE(OFFSET($H$3,0,0,'Données projet'!$E$14+1,1))</f>
        <v>403.89478276355294</v>
      </c>
      <c r="DU10" s="59">
        <f t="shared" si="44"/>
        <v>241.1593989733278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2.9235042735042733</v>
      </c>
      <c r="N11" s="13">
        <f>IF('Données projet'!$A$36&gt;35,N10+M11-V10,IF(A11&lt;'Données projet'!$A$36,$K$205^A11,IF(A11='Données projet'!$A$36,'Données projet'!$B$36,N10+M11-V10)))</f>
        <v>3.2971598043944974</v>
      </c>
      <c r="O11" s="13">
        <f>N11*VLOOKUP('Données projet'!$B$9,Paramètres!$A$1:$I$89,3,0)*VLOOKUP('Données projet'!$B$9,Paramètres!$A$1:$I$89,5,0)</f>
        <v>2.9832701910161412</v>
      </c>
      <c r="P11" s="13">
        <f t="shared" si="33"/>
        <v>1.2105714746948997</v>
      </c>
      <c r="Q11" s="20">
        <f t="shared" si="2"/>
        <v>7.3042742344467291</v>
      </c>
      <c r="R11" s="59">
        <f t="shared" si="0"/>
        <v>194.05754710066728</v>
      </c>
      <c r="S11" s="59">
        <f ca="1">AVERAGE(OFFSET($R$3,0,0,'Données projet'!$E$9+1,1))-AVERAGE(OFFSET($H$3,0,0,'Données projet'!$E$9+1,1))</f>
        <v>388.1278150896951</v>
      </c>
      <c r="T11" s="59">
        <f t="shared" si="34"/>
        <v>232.26614607059227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2.9235042735042733</v>
      </c>
      <c r="AI11" s="13">
        <f>IF('Données projet'!$A$62&gt;35,AI10+AH11-AQ10,IF(A11&lt;'Données projet'!$A$62,$AF$205^A11,IF(A11='Données projet'!$A$62,'Données projet'!$B$62,AI10+AH11-AQ10)))</f>
        <v>3.2971598043944974</v>
      </c>
      <c r="AJ11" s="13">
        <f>AI11*VLOOKUP('Données projet'!$B$10,Paramètres!$A$1:$I$89,3,0)*VLOOKUP('Données projet'!$B$10,Paramètres!$A$1:$I$89,5,0)</f>
        <v>3.3433200416560207</v>
      </c>
      <c r="AK11" s="13">
        <f t="shared" si="35"/>
        <v>1.3387999979323115</v>
      </c>
      <c r="AL11" s="20">
        <f t="shared" si="4"/>
        <v>8.1546924022830094</v>
      </c>
      <c r="AM11" s="59">
        <f t="shared" si="5"/>
        <v>194.90796526850357</v>
      </c>
      <c r="AN11" s="59">
        <f ca="1">AVERAGE(OFFSET($AM$3,0,0,'Données projet'!$E$10+1,1))-AVERAGE(OFFSET($H$3,0,0,'Données projet'!$E$10+1,1))</f>
        <v>424.89201140676084</v>
      </c>
      <c r="AO11" s="59">
        <f t="shared" si="36"/>
        <v>253.0016648946303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0.9</v>
      </c>
      <c r="BD11" s="12">
        <f>IF('Données projet'!$A$88&gt;35,BD10+BC11-BL10,IF(A11&lt;'Données projet'!$A$88,$BA$205^A11,IF(A11='Données projet'!$A$88,'Données projet'!$B$88,BD10+BC11-BL10)))</f>
        <v>3.1776715231464374</v>
      </c>
      <c r="BE11" s="13">
        <f>BD11*VLOOKUP('Données projet'!$B$11,Paramètres!$A$1:$I$89,3,0)*VLOOKUP('Données projet'!$B$11,Paramètres!$A$1:$I$89,5,0)</f>
        <v>2.7760138426207281</v>
      </c>
      <c r="BF11" s="13">
        <f t="shared" si="37"/>
        <v>1.135950520408497</v>
      </c>
      <c r="BG11" s="20">
        <f t="shared" si="7"/>
        <v>6.8133379322758998</v>
      </c>
      <c r="BH11" s="59">
        <f t="shared" si="8"/>
        <v>193.56661079849647</v>
      </c>
      <c r="BI11" s="59">
        <f ca="1">AVERAGE(OFFSET($BH$3,0,0,'Données projet'!$E$11+1,1))-AVERAGE(OFFSET($H$3,0,0,'Données projet'!$E$11+1,1))</f>
        <v>218.97952644043698</v>
      </c>
      <c r="BJ11" s="59">
        <f t="shared" si="38"/>
        <v>204.10961748628714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2.1333333333333333</v>
      </c>
      <c r="BY11" s="12">
        <f>IF('Données projet'!$A$114&gt;35,BY10+BX11-CG10,IF(A11&lt;'Données projet'!$A$114,$BV$205^A11,IF(A11='Données projet'!$A$114,'Données projet'!$B$114,BY10+BX11-CG10)))</f>
        <v>6.3496042078728001</v>
      </c>
      <c r="BZ11" s="13">
        <f>BY11*VLOOKUP('Données projet'!$B$12,Paramètres!$A$1:$I$89,3,0)*VLOOKUP('Données projet'!$B$12,Paramètres!$A$1:$I$89,5,0)</f>
        <v>5.1507989334264161</v>
      </c>
      <c r="CA11" s="13">
        <f t="shared" si="39"/>
        <v>1.9613922676613451</v>
      </c>
      <c r="CB11" s="20">
        <f t="shared" si="10"/>
        <v>12.387066341894517</v>
      </c>
      <c r="CC11" s="59">
        <f t="shared" si="11"/>
        <v>199.14033920811508</v>
      </c>
      <c r="CD11" s="59">
        <f ca="1">AVERAGE(OFFSET($CC$3,0,0,'Données projet'!$E$12+1,1))-AVERAGE(OFFSET($H$3,0,0,'Données projet'!$E$12+1,1))</f>
        <v>256.23994291192162</v>
      </c>
      <c r="CE11" s="59">
        <f t="shared" si="40"/>
        <v>207.9118653708222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1.9333333333333333</v>
      </c>
      <c r="CT11" s="12">
        <f>IF('Données projet'!$A$140&gt;35,CT10+CS11-DB10,IF(A11&lt;'Données projet'!$A$140,$CQ$205^A11,IF(A11='Données projet'!$A$140,'Données projet'!$B$140,CT10+CS11-DB10)))</f>
        <v>6.0248411225399572</v>
      </c>
      <c r="CU11" s="17">
        <f>CT11*VLOOKUP('Données projet'!$B$13,Paramètres!$A$1:$I$89,3,0)*VLOOKUP('Données projet'!$B$13,Paramètres!$A$1:$I$89,5,0)</f>
        <v>3.4775382959300631</v>
      </c>
      <c r="CV11" s="13">
        <f t="shared" si="41"/>
        <v>1.3861809768072155</v>
      </c>
      <c r="CW11" s="20">
        <f t="shared" si="13"/>
        <v>8.4709777333507592</v>
      </c>
      <c r="CX11" s="59">
        <f t="shared" si="14"/>
        <v>195.22425059957132</v>
      </c>
      <c r="CY11" s="59">
        <f ca="1">AVERAGE(OFFSET($CX$3,0,0,'Données projet'!$E$13+1,1))-AVERAGE(OFFSET($H$3,0,0,'Données projet'!$E$13+1,1))</f>
        <v>205.74526926885287</v>
      </c>
      <c r="CZ11" s="59">
        <f t="shared" si="42"/>
        <v>201.56217137928999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2.9235042735042733</v>
      </c>
      <c r="DO11" s="12">
        <f>IF('Données projet'!$A$166&gt;35,DO10+DN11-DW10,IF(A11&lt;'Données projet'!$A$166,$DL$205^A11,IF(A11='Données projet'!$A$166,'Données projet'!$B$166,DO10+DN11-DW10)))</f>
        <v>3.2971598043944974</v>
      </c>
      <c r="DP11" s="17">
        <f>DO11*VLOOKUP('Données projet'!$B$14,Paramètres!$A$1:$I$89,3,0)*VLOOKUP('Données projet'!$B$14,Paramètres!$A$1:$I$89,5,0)</f>
        <v>3.1375772698618039</v>
      </c>
      <c r="DQ11" s="13">
        <f t="shared" si="43"/>
        <v>1.2657353321265099</v>
      </c>
      <c r="DR11" s="20">
        <f t="shared" si="16"/>
        <v>7.6691027817963127</v>
      </c>
      <c r="DS11" s="59">
        <f t="shared" si="17"/>
        <v>194.42237564801687</v>
      </c>
      <c r="DT11" s="59">
        <f ca="1">AVERAGE(OFFSET($DS$3,0,0,'Données projet'!$E$14+1,1))-AVERAGE(OFFSET($H$3,0,0,'Données projet'!$E$14+1,1))</f>
        <v>403.89478276355294</v>
      </c>
      <c r="DU11" s="59">
        <f t="shared" si="44"/>
        <v>241.1593989733278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2.9235042735042733</v>
      </c>
      <c r="N12" s="13">
        <f>IF('Données projet'!$A$36&gt;35,N11+M12-V11,IF(A12&lt;'Données projet'!$A$36,$K$205^A12,IF(A12='Données projet'!$A$36,'Données projet'!$B$36,N11+M12-V11)))</f>
        <v>3.8274321125090722</v>
      </c>
      <c r="O12" s="13">
        <f>N12*VLOOKUP('Données projet'!$B$9,Paramètres!$A$1:$I$89,3,0)*VLOOKUP('Données projet'!$B$9,Paramètres!$A$1:$I$89,5,0)</f>
        <v>3.4630605753982087</v>
      </c>
      <c r="P12" s="13">
        <f t="shared" si="33"/>
        <v>1.3810805174752749</v>
      </c>
      <c r="Q12" s="20">
        <f t="shared" si="2"/>
        <v>8.4368790700879845</v>
      </c>
      <c r="R12" s="59">
        <f t="shared" si="0"/>
        <v>197.79483782264407</v>
      </c>
      <c r="S12" s="59">
        <f ca="1">AVERAGE(OFFSET($R$3,0,0,'Données projet'!$E$9+1,1))-AVERAGE(OFFSET($H$3,0,0,'Données projet'!$E$9+1,1))</f>
        <v>388.1278150896951</v>
      </c>
      <c r="T12" s="59">
        <f t="shared" si="34"/>
        <v>232.26614607059227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2.9235042735042733</v>
      </c>
      <c r="AI12" s="13">
        <f>IF('Données projet'!$A$62&gt;35,AI11+AH12-AQ11,IF(A12&lt;'Données projet'!$A$62,$AF$205^A12,IF(A12='Données projet'!$A$62,'Données projet'!$B$62,AI11+AH12-AQ11)))</f>
        <v>3.8274321125090722</v>
      </c>
      <c r="AJ12" s="13">
        <f>AI12*VLOOKUP('Données projet'!$B$10,Paramètres!$A$1:$I$89,3,0)*VLOOKUP('Données projet'!$B$10,Paramètres!$A$1:$I$89,5,0)</f>
        <v>3.8810161620841996</v>
      </c>
      <c r="AK12" s="13">
        <f t="shared" si="35"/>
        <v>1.5273700335672085</v>
      </c>
      <c r="AL12" s="20">
        <f t="shared" si="4"/>
        <v>9.4196059574262012</v>
      </c>
      <c r="AM12" s="59">
        <f t="shared" si="5"/>
        <v>198.77756470998227</v>
      </c>
      <c r="AN12" s="59">
        <f ca="1">AVERAGE(OFFSET($AM$3,0,0,'Données projet'!$E$10+1,1))-AVERAGE(OFFSET($H$3,0,0,'Données projet'!$E$10+1,1))</f>
        <v>424.89201140676084</v>
      </c>
      <c r="AO12" s="59">
        <f t="shared" si="36"/>
        <v>253.0016648946303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0.9</v>
      </c>
      <c r="BD12" s="12">
        <f>IF('Données projet'!$A$88&gt;35,BD11+BC12-BL11,IF(A12&lt;'Données projet'!$A$88,$BA$205^A12,IF(A12='Données projet'!$A$88,'Données projet'!$B$88,BD11+BC12-BL11)))</f>
        <v>3.6717459735664435</v>
      </c>
      <c r="BE12" s="13">
        <f>BD12*VLOOKUP('Données projet'!$B$11,Paramètres!$A$1:$I$89,3,0)*VLOOKUP('Données projet'!$B$11,Paramètres!$A$1:$I$89,5,0)</f>
        <v>3.2076372825076458</v>
      </c>
      <c r="BF12" s="13">
        <f t="shared" si="37"/>
        <v>1.290676355595167</v>
      </c>
      <c r="BG12" s="20">
        <f t="shared" si="7"/>
        <v>7.834562919695732</v>
      </c>
      <c r="BH12" s="59">
        <f t="shared" si="8"/>
        <v>197.19252167225181</v>
      </c>
      <c r="BI12" s="59">
        <f ca="1">AVERAGE(OFFSET($BH$3,0,0,'Données projet'!$E$11+1,1))-AVERAGE(OFFSET($H$3,0,0,'Données projet'!$E$11+1,1))</f>
        <v>218.97952644043698</v>
      </c>
      <c r="BJ12" s="59">
        <f t="shared" si="38"/>
        <v>204.10961748628714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2.1333333333333333</v>
      </c>
      <c r="BY12" s="12">
        <f>IF('Données projet'!$A$114&gt;35,BY11+BX12-CG11,IF(A12&lt;'Données projet'!$A$114,$BV$205^A12,IF(A12='Données projet'!$A$114,'Données projet'!$B$114,BY11+BX12-CG11)))</f>
        <v>8.0000000000000036</v>
      </c>
      <c r="BZ12" s="13">
        <f>BY12*VLOOKUP('Données projet'!$B$12,Paramètres!$A$1:$I$89,3,0)*VLOOKUP('Données projet'!$B$12,Paramètres!$A$1:$I$89,5,0)</f>
        <v>6.4896000000000029</v>
      </c>
      <c r="CA12" s="13">
        <f t="shared" si="39"/>
        <v>2.4056244376575937</v>
      </c>
      <c r="CB12" s="20">
        <f t="shared" si="10"/>
        <v>15.492515895586982</v>
      </c>
      <c r="CC12" s="59">
        <f t="shared" si="11"/>
        <v>204.85047464814306</v>
      </c>
      <c r="CD12" s="59">
        <f ca="1">AVERAGE(OFFSET($CC$3,0,0,'Données projet'!$E$12+1,1))-AVERAGE(OFFSET($H$3,0,0,'Données projet'!$E$12+1,1))</f>
        <v>256.23994291192162</v>
      </c>
      <c r="CE12" s="59">
        <f t="shared" si="40"/>
        <v>207.9118653708222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1.9333333333333333</v>
      </c>
      <c r="CT12" s="12">
        <f>IF('Données projet'!$A$140&gt;35,CT11+CS12-DB11,IF(A12&lt;'Données projet'!$A$140,$CQ$205^A12,IF(A12='Données projet'!$A$140,'Données projet'!$B$140,CT11+CS12-DB11)))</f>
        <v>7.5411711733776468</v>
      </c>
      <c r="CU12" s="17">
        <f>CT12*VLOOKUP('Données projet'!$B$13,Paramètres!$A$1:$I$89,3,0)*VLOOKUP('Données projet'!$B$13,Paramètres!$A$1:$I$89,5,0)</f>
        <v>4.3527640012735782</v>
      </c>
      <c r="CV12" s="13">
        <f t="shared" si="41"/>
        <v>1.6903044153932414</v>
      </c>
      <c r="CW12" s="20">
        <f t="shared" si="13"/>
        <v>10.525010825694711</v>
      </c>
      <c r="CX12" s="59">
        <f t="shared" si="14"/>
        <v>199.88296957825079</v>
      </c>
      <c r="CY12" s="59">
        <f ca="1">AVERAGE(OFFSET($CX$3,0,0,'Données projet'!$E$13+1,1))-AVERAGE(OFFSET($H$3,0,0,'Données projet'!$E$13+1,1))</f>
        <v>205.74526926885287</v>
      </c>
      <c r="CZ12" s="59">
        <f t="shared" si="42"/>
        <v>201.56217137928999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2.9235042735042733</v>
      </c>
      <c r="DO12" s="12">
        <f>IF('Données projet'!$A$166&gt;35,DO11+DN12-DW11,IF(A12&lt;'Données projet'!$A$166,$DL$205^A12,IF(A12='Données projet'!$A$166,'Données projet'!$B$166,DO11+DN12-DW11)))</f>
        <v>3.8274321125090722</v>
      </c>
      <c r="DP12" s="17">
        <f>DO12*VLOOKUP('Données projet'!$B$14,Paramètres!$A$1:$I$89,3,0)*VLOOKUP('Données projet'!$B$14,Paramètres!$A$1:$I$89,5,0)</f>
        <v>3.642184398263633</v>
      </c>
      <c r="DQ12" s="13">
        <f t="shared" si="43"/>
        <v>1.4440142065305053</v>
      </c>
      <c r="DR12" s="20">
        <f t="shared" si="16"/>
        <v>8.8584625700164565</v>
      </c>
      <c r="DS12" s="59">
        <f t="shared" si="17"/>
        <v>198.21642132257253</v>
      </c>
      <c r="DT12" s="59">
        <f ca="1">AVERAGE(OFFSET($DS$3,0,0,'Données projet'!$E$14+1,1))-AVERAGE(OFFSET($H$3,0,0,'Données projet'!$E$14+1,1))</f>
        <v>403.89478276355294</v>
      </c>
      <c r="DU12" s="59">
        <f t="shared" si="44"/>
        <v>241.1593989733278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2.9235042735042733</v>
      </c>
      <c r="N13" s="13">
        <f>IF('Données projet'!$A$36&gt;35,N12+M13-V12,IF(A13&lt;'Données projet'!$A$36,$K$205^A13,IF(A13='Données projet'!$A$36,'Données projet'!$B$36,N12+M13-V12)))</f>
        <v>4.4429865232315908</v>
      </c>
      <c r="O13" s="13">
        <f>N13*VLOOKUP('Données projet'!$B$9,Paramètres!$A$1:$I$89,3,0)*VLOOKUP('Données projet'!$B$9,Paramètres!$A$1:$I$89,5,0)</f>
        <v>4.0200142062199431</v>
      </c>
      <c r="P13" s="13">
        <f t="shared" si="33"/>
        <v>1.5756057660539962</v>
      </c>
      <c r="Q13" s="20">
        <f t="shared" si="2"/>
        <v>9.7457047850437757</v>
      </c>
      <c r="R13" s="59">
        <f t="shared" si="0"/>
        <v>201.68436677008867</v>
      </c>
      <c r="S13" s="59">
        <f ca="1">AVERAGE(OFFSET($R$3,0,0,'Données projet'!$E$9+1,1))-AVERAGE(OFFSET($H$3,0,0,'Données projet'!$E$9+1,1))</f>
        <v>388.1278150896951</v>
      </c>
      <c r="T13" s="59">
        <f t="shared" si="34"/>
        <v>232.26614607059227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2.9235042735042733</v>
      </c>
      <c r="AI13" s="13">
        <f>IF('Données projet'!$A$62&gt;35,AI12+AH13-AQ12,IF(A13&lt;'Données projet'!$A$62,$AF$205^A13,IF(A13='Données projet'!$A$62,'Données projet'!$B$62,AI12+AH13-AQ12)))</f>
        <v>4.4429865232315908</v>
      </c>
      <c r="AJ13" s="13">
        <f>AI13*VLOOKUP('Données projet'!$B$10,Paramètres!$A$1:$I$89,3,0)*VLOOKUP('Données projet'!$B$10,Paramètres!$A$1:$I$89,5,0)</f>
        <v>4.5051883345568333</v>
      </c>
      <c r="AK13" s="13">
        <f t="shared" si="35"/>
        <v>1.7425001665984783</v>
      </c>
      <c r="AL13" s="20">
        <f t="shared" si="4"/>
        <v>10.881390806178834</v>
      </c>
      <c r="AM13" s="59">
        <f t="shared" si="5"/>
        <v>202.82005279122373</v>
      </c>
      <c r="AN13" s="59">
        <f ca="1">AVERAGE(OFFSET($AM$3,0,0,'Données projet'!$E$10+1,1))-AVERAGE(OFFSET($H$3,0,0,'Données projet'!$E$10+1,1))</f>
        <v>424.89201140676084</v>
      </c>
      <c r="AO13" s="59">
        <f t="shared" si="36"/>
        <v>253.0016648946303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0.9</v>
      </c>
      <c r="BD13" s="12">
        <f>IF('Données projet'!$A$88&gt;35,BD12+BC13-BL12,IF(A13&lt;'Données projet'!$A$88,$BA$205^A13,IF(A13='Données projet'!$A$88,'Données projet'!$B$88,BD12+BC13-BL12)))</f>
        <v>4.2426406871192865</v>
      </c>
      <c r="BE13" s="13">
        <f>BD13*VLOOKUP('Données projet'!$B$11,Paramètres!$A$1:$I$89,3,0)*VLOOKUP('Données projet'!$B$11,Paramètres!$A$1:$I$89,5,0)</f>
        <v>3.7063709042674091</v>
      </c>
      <c r="BF13" s="13">
        <f t="shared" si="37"/>
        <v>1.4664771263922398</v>
      </c>
      <c r="BG13" s="20">
        <f t="shared" si="7"/>
        <v>9.0093769867322209</v>
      </c>
      <c r="BH13" s="59">
        <f t="shared" si="8"/>
        <v>200.94803897177712</v>
      </c>
      <c r="BI13" s="59">
        <f ca="1">AVERAGE(OFFSET($BH$3,0,0,'Données projet'!$E$11+1,1))-AVERAGE(OFFSET($H$3,0,0,'Données projet'!$E$11+1,1))</f>
        <v>218.97952644043698</v>
      </c>
      <c r="BJ13" s="59">
        <f t="shared" si="38"/>
        <v>204.10961748628714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2.1333333333333333</v>
      </c>
      <c r="BY13" s="12">
        <f>IF('Données projet'!$A$114&gt;35,BY12+BX13-CG12,IF(A13&lt;'Données projet'!$A$114,$BV$205^A13,IF(A13='Données projet'!$A$114,'Données projet'!$B$114,BY12+BX13-CG12)))</f>
        <v>10.079368399158989</v>
      </c>
      <c r="BZ13" s="13">
        <f>BY13*VLOOKUP('Données projet'!$B$12,Paramètres!$A$1:$I$89,3,0)*VLOOKUP('Données projet'!$B$12,Paramètres!$A$1:$I$89,5,0)</f>
        <v>8.1763836453977721</v>
      </c>
      <c r="CA13" s="13">
        <f t="shared" si="39"/>
        <v>2.9504699444724252</v>
      </c>
      <c r="CB13" s="20">
        <f t="shared" si="10"/>
        <v>19.379270002357259</v>
      </c>
      <c r="CC13" s="59">
        <f t="shared" si="11"/>
        <v>211.31793198740215</v>
      </c>
      <c r="CD13" s="59">
        <f ca="1">AVERAGE(OFFSET($CC$3,0,0,'Données projet'!$E$12+1,1))-AVERAGE(OFFSET($H$3,0,0,'Données projet'!$E$12+1,1))</f>
        <v>256.23994291192162</v>
      </c>
      <c r="CE13" s="59">
        <f t="shared" si="40"/>
        <v>207.9118653708222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1.9333333333333333</v>
      </c>
      <c r="CT13" s="12">
        <f>IF('Données projet'!$A$140&gt;35,CT12+CS13-DB12,IF(A13&lt;'Données projet'!$A$140,$CQ$205^A13,IF(A13='Données projet'!$A$140,'Données projet'!$B$140,CT12+CS13-DB12)))</f>
        <v>9.4391306773923702</v>
      </c>
      <c r="CU13" s="17">
        <f>CT13*VLOOKUP('Données projet'!$B$13,Paramètres!$A$1:$I$89,3,0)*VLOOKUP('Données projet'!$B$13,Paramètres!$A$1:$I$89,5,0)</f>
        <v>5.4482662269908761</v>
      </c>
      <c r="CV13" s="13">
        <f t="shared" si="41"/>
        <v>2.0611515123217892</v>
      </c>
      <c r="CW13" s="20">
        <f t="shared" si="13"/>
        <v>13.078902562636225</v>
      </c>
      <c r="CX13" s="59">
        <f t="shared" si="14"/>
        <v>205.0175645476811</v>
      </c>
      <c r="CY13" s="59">
        <f ca="1">AVERAGE(OFFSET($CX$3,0,0,'Données projet'!$E$13+1,1))-AVERAGE(OFFSET($H$3,0,0,'Données projet'!$E$13+1,1))</f>
        <v>205.74526926885287</v>
      </c>
      <c r="CZ13" s="59">
        <f t="shared" si="42"/>
        <v>201.56217137928999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2.9235042735042733</v>
      </c>
      <c r="DO13" s="12">
        <f>IF('Données projet'!$A$166&gt;35,DO12+DN13-DW12,IF(A13&lt;'Données projet'!$A$166,$DL$205^A13,IF(A13='Données projet'!$A$166,'Données projet'!$B$166,DO12+DN13-DW12)))</f>
        <v>4.4429865232315908</v>
      </c>
      <c r="DP13" s="17">
        <f>DO13*VLOOKUP('Données projet'!$B$14,Paramètres!$A$1:$I$89,3,0)*VLOOKUP('Données projet'!$B$14,Paramètres!$A$1:$I$89,5,0)</f>
        <v>4.2279459755071818</v>
      </c>
      <c r="DQ13" s="13">
        <f t="shared" si="43"/>
        <v>1.6474036678416053</v>
      </c>
      <c r="DR13" s="20">
        <f t="shared" si="16"/>
        <v>10.232900628832473</v>
      </c>
      <c r="DS13" s="59">
        <f t="shared" si="17"/>
        <v>202.17156261387737</v>
      </c>
      <c r="DT13" s="59">
        <f ca="1">AVERAGE(OFFSET($DS$3,0,0,'Données projet'!$E$14+1,1))-AVERAGE(OFFSET($H$3,0,0,'Données projet'!$E$14+1,1))</f>
        <v>403.89478276355294</v>
      </c>
      <c r="DU13" s="59">
        <f t="shared" si="44"/>
        <v>241.1593989733278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2.9235042735042733</v>
      </c>
      <c r="N14" s="13">
        <f>IF('Données projet'!$A$36&gt;35,N13+M14-V13,IF(A14&lt;'Données projet'!$A$36,$K$205^A14,IF(A14='Données projet'!$A$36,'Données projet'!$B$36,N13+M14-V13)))</f>
        <v>5.1575387009743459</v>
      </c>
      <c r="O14" s="13">
        <f>N14*VLOOKUP('Données projet'!$B$9,Paramètres!$A$1:$I$89,3,0)*VLOOKUP('Données projet'!$B$9,Paramètres!$A$1:$I$89,5,0)</f>
        <v>4.6665410166415882</v>
      </c>
      <c r="P14" s="13">
        <f t="shared" si="33"/>
        <v>1.7975299040209971</v>
      </c>
      <c r="Q14" s="20">
        <f t="shared" si="2"/>
        <v>11.258256853487337</v>
      </c>
      <c r="R14" s="59">
        <f t="shared" si="0"/>
        <v>205.75405546260146</v>
      </c>
      <c r="S14" s="59">
        <f ca="1">AVERAGE(OFFSET($R$3,0,0,'Données projet'!$E$9+1,1))-AVERAGE(OFFSET($H$3,0,0,'Données projet'!$E$9+1,1))</f>
        <v>388.1278150896951</v>
      </c>
      <c r="T14" s="59">
        <f t="shared" si="34"/>
        <v>232.26614607059227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2.9235042735042733</v>
      </c>
      <c r="AI14" s="13">
        <f>IF('Données projet'!$A$62&gt;35,AI13+AH14-AQ13,IF(A14&lt;'Données projet'!$A$62,$AF$205^A14,IF(A14='Données projet'!$A$62,'Données projet'!$B$62,AI13+AH14-AQ13)))</f>
        <v>5.1575387009743459</v>
      </c>
      <c r="AJ14" s="13">
        <f>AI14*VLOOKUP('Données projet'!$B$10,Paramètres!$A$1:$I$89,3,0)*VLOOKUP('Données projet'!$B$10,Paramètres!$A$1:$I$89,5,0)</f>
        <v>5.2297442427879863</v>
      </c>
      <c r="AK14" s="13">
        <f t="shared" si="35"/>
        <v>1.9879313878539038</v>
      </c>
      <c r="AL14" s="20">
        <f t="shared" si="4"/>
        <v>12.570785056701292</v>
      </c>
      <c r="AM14" s="59">
        <f t="shared" si="5"/>
        <v>207.06658366581541</v>
      </c>
      <c r="AN14" s="59">
        <f ca="1">AVERAGE(OFFSET($AM$3,0,0,'Données projet'!$E$10+1,1))-AVERAGE(OFFSET($H$3,0,0,'Données projet'!$E$10+1,1))</f>
        <v>424.89201140676084</v>
      </c>
      <c r="AO14" s="59">
        <f t="shared" si="36"/>
        <v>253.0016648946303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0.9</v>
      </c>
      <c r="BD14" s="12">
        <f>IF('Données projet'!$A$88&gt;35,BD13+BC14-BL13,IF(A14&lt;'Données projet'!$A$88,$BA$205^A14,IF(A14='Données projet'!$A$88,'Données projet'!$B$88,BD13+BC14-BL13)))</f>
        <v>4.9022999220494095</v>
      </c>
      <c r="BE14" s="13">
        <f>BD14*VLOOKUP('Données projet'!$B$11,Paramètres!$A$1:$I$89,3,0)*VLOOKUP('Données projet'!$B$11,Paramètres!$A$1:$I$89,5,0)</f>
        <v>4.2826492119023651</v>
      </c>
      <c r="BF14" s="13">
        <f t="shared" si="37"/>
        <v>1.6662234129484463</v>
      </c>
      <c r="BG14" s="20">
        <f t="shared" si="7"/>
        <v>10.360953154948495</v>
      </c>
      <c r="BH14" s="59">
        <f t="shared" si="8"/>
        <v>204.85675176406264</v>
      </c>
      <c r="BI14" s="59">
        <f ca="1">AVERAGE(OFFSET($BH$3,0,0,'Données projet'!$E$11+1,1))-AVERAGE(OFFSET($H$3,0,0,'Données projet'!$E$11+1,1))</f>
        <v>218.97952644043698</v>
      </c>
      <c r="BJ14" s="59">
        <f t="shared" si="38"/>
        <v>204.10961748628714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2.1333333333333333</v>
      </c>
      <c r="BY14" s="12">
        <f>IF('Données projet'!$A$114&gt;35,BY13+BX14-CG13,IF(A14&lt;'Données projet'!$A$114,$BV$205^A14,IF(A14='Données projet'!$A$114,'Données projet'!$B$114,BY13+BX14-CG13)))</f>
        <v>12.6992084157456</v>
      </c>
      <c r="BZ14" s="13">
        <f>BY14*VLOOKUP('Données projet'!$B$12,Paramètres!$A$1:$I$89,3,0)*VLOOKUP('Données projet'!$B$12,Paramètres!$A$1:$I$89,5,0)</f>
        <v>10.301597866852832</v>
      </c>
      <c r="CA14" s="13">
        <f t="shared" si="39"/>
        <v>3.6187165199035083</v>
      </c>
      <c r="CB14" s="20">
        <f t="shared" si="10"/>
        <v>24.244547556933963</v>
      </c>
      <c r="CC14" s="59">
        <f t="shared" si="11"/>
        <v>218.74034616604808</v>
      </c>
      <c r="CD14" s="59">
        <f ca="1">AVERAGE(OFFSET($CC$3,0,0,'Données projet'!$E$12+1,1))-AVERAGE(OFFSET($H$3,0,0,'Données projet'!$E$12+1,1))</f>
        <v>256.23994291192162</v>
      </c>
      <c r="CE14" s="59">
        <f t="shared" si="40"/>
        <v>207.9118653708222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1.9333333333333333</v>
      </c>
      <c r="CT14" s="12">
        <f>IF('Données projet'!$A$140&gt;35,CT13+CS14-DB13,IF(A14&lt;'Données projet'!$A$140,$CQ$205^A14,IF(A14='Données projet'!$A$140,'Données projet'!$B$140,CT13+CS14-DB13)))</f>
        <v>11.814768011025487</v>
      </c>
      <c r="CU14" s="17">
        <f>CT14*VLOOKUP('Données projet'!$B$13,Paramètres!$A$1:$I$89,3,0)*VLOOKUP('Données projet'!$B$13,Paramètres!$A$1:$I$89,5,0)</f>
        <v>6.8194840959639116</v>
      </c>
      <c r="CV14" s="13">
        <f t="shared" si="41"/>
        <v>2.5133612135527912</v>
      </c>
      <c r="CW14" s="20">
        <f t="shared" si="13"/>
        <v>16.254705580741589</v>
      </c>
      <c r="CX14" s="59">
        <f t="shared" si="14"/>
        <v>210.75050418985572</v>
      </c>
      <c r="CY14" s="59">
        <f ca="1">AVERAGE(OFFSET($CX$3,0,0,'Données projet'!$E$13+1,1))-AVERAGE(OFFSET($H$3,0,0,'Données projet'!$E$13+1,1))</f>
        <v>205.74526926885287</v>
      </c>
      <c r="CZ14" s="59">
        <f t="shared" si="42"/>
        <v>201.56217137928999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2.9235042735042733</v>
      </c>
      <c r="DO14" s="12">
        <f>IF('Données projet'!$A$166&gt;35,DO13+DN14-DW13,IF(A14&lt;'Données projet'!$A$166,$DL$205^A14,IF(A14='Données projet'!$A$166,'Données projet'!$B$166,DO13+DN14-DW13)))</f>
        <v>5.1575387009743459</v>
      </c>
      <c r="DP14" s="17">
        <f>DO14*VLOOKUP('Données projet'!$B$14,Paramètres!$A$1:$I$89,3,0)*VLOOKUP('Données projet'!$B$14,Paramètres!$A$1:$I$89,5,0)</f>
        <v>4.9079138278471879</v>
      </c>
      <c r="DQ14" s="13">
        <f t="shared" si="43"/>
        <v>1.8794405432746286</v>
      </c>
      <c r="DR14" s="20">
        <f t="shared" si="16"/>
        <v>11.821308863037162</v>
      </c>
      <c r="DS14" s="59">
        <f t="shared" si="17"/>
        <v>206.31710747215129</v>
      </c>
      <c r="DT14" s="59">
        <f ca="1">AVERAGE(OFFSET($DS$3,0,0,'Données projet'!$E$14+1,1))-AVERAGE(OFFSET($H$3,0,0,'Données projet'!$E$14+1,1))</f>
        <v>403.89478276355294</v>
      </c>
      <c r="DU14" s="59">
        <f t="shared" si="44"/>
        <v>241.1593989733278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2.9235042735042733</v>
      </c>
      <c r="N15" s="13">
        <f>IF('Données projet'!$A$36&gt;35,N14+M15-V14,IF(A15&lt;'Données projet'!$A$36,$K$205^A15,IF(A15='Données projet'!$A$36,'Données projet'!$B$36,N14+M15-V14)))</f>
        <v>5.9870101592612031</v>
      </c>
      <c r="O15" s="13">
        <f>N15*VLOOKUP('Données projet'!$B$9,Paramètres!$A$1:$I$89,3,0)*VLOOKUP('Données projet'!$B$9,Paramètres!$A$1:$I$89,5,0)</f>
        <v>5.4170467920995362</v>
      </c>
      <c r="P15" s="13">
        <f t="shared" si="33"/>
        <v>2.05071206609116</v>
      </c>
      <c r="Q15" s="20">
        <f t="shared" si="2"/>
        <v>13.006346678015461</v>
      </c>
      <c r="R15" s="59">
        <f t="shared" si="0"/>
        <v>210.03612413074833</v>
      </c>
      <c r="S15" s="59">
        <f ca="1">AVERAGE(OFFSET($R$3,0,0,'Données projet'!$E$9+1,1))-AVERAGE(OFFSET($H$3,0,0,'Données projet'!$E$9+1,1))</f>
        <v>388.1278150896951</v>
      </c>
      <c r="T15" s="59">
        <f t="shared" si="34"/>
        <v>232.26614607059227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2.9235042735042733</v>
      </c>
      <c r="AI15" s="13">
        <f>IF('Données projet'!$A$62&gt;35,AI14+AH15-AQ14,IF(A15&lt;'Données projet'!$A$62,$AF$205^A15,IF(A15='Données projet'!$A$62,'Données projet'!$B$62,AI14+AH15-AQ14)))</f>
        <v>5.9870101592612031</v>
      </c>
      <c r="AJ15" s="13">
        <f>AI15*VLOOKUP('Données projet'!$B$10,Paramètres!$A$1:$I$89,3,0)*VLOOKUP('Données projet'!$B$10,Paramètres!$A$1:$I$89,5,0)</f>
        <v>6.0708283014908604</v>
      </c>
      <c r="AK15" s="13">
        <f t="shared" si="35"/>
        <v>2.2679316068756354</v>
      </c>
      <c r="AL15" s="20">
        <f t="shared" si="4"/>
        <v>14.523340173738314</v>
      </c>
      <c r="AM15" s="59">
        <f t="shared" si="5"/>
        <v>211.55311762647119</v>
      </c>
      <c r="AN15" s="59">
        <f ca="1">AVERAGE(OFFSET($AM$3,0,0,'Données projet'!$E$10+1,1))-AVERAGE(OFFSET($H$3,0,0,'Données projet'!$E$10+1,1))</f>
        <v>424.89201140676084</v>
      </c>
      <c r="AO15" s="59">
        <f t="shared" si="36"/>
        <v>253.0016648946303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0.9</v>
      </c>
      <c r="BD15" s="12">
        <f>IF('Données projet'!$A$88&gt;35,BD14+BC15-BL14,IF(A15&lt;'Données projet'!$A$88,$BA$205^A15,IF(A15='Données projet'!$A$88,'Données projet'!$B$88,BD14+BC15-BL14)))</f>
        <v>5.6645250677694134</v>
      </c>
      <c r="BE15" s="13">
        <f>BD15*VLOOKUP('Données projet'!$B$11,Paramètres!$A$1:$I$89,3,0)*VLOOKUP('Données projet'!$B$11,Paramètres!$A$1:$I$89,5,0)</f>
        <v>4.9485290992033608</v>
      </c>
      <c r="BF15" s="13">
        <f t="shared" si="37"/>
        <v>1.8931767921179217</v>
      </c>
      <c r="BG15" s="20">
        <f t="shared" si="7"/>
        <v>11.915971094051232</v>
      </c>
      <c r="BH15" s="59">
        <f t="shared" si="8"/>
        <v>208.9457485467841</v>
      </c>
      <c r="BI15" s="59">
        <f ca="1">AVERAGE(OFFSET($BH$3,0,0,'Données projet'!$E$11+1,1))-AVERAGE(OFFSET($H$3,0,0,'Données projet'!$E$11+1,1))</f>
        <v>218.97952644043698</v>
      </c>
      <c r="BJ15" s="59">
        <f t="shared" si="38"/>
        <v>204.10961748628714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2.1333333333333333</v>
      </c>
      <c r="BY15" s="12">
        <f>IF('Données projet'!$A$114&gt;35,BY14+BX15-CG14,IF(A15&lt;'Données projet'!$A$114,$BV$205^A15,IF(A15='Données projet'!$A$114,'Données projet'!$B$114,BY14+BX15-CG14)))</f>
        <v>16.000000000000007</v>
      </c>
      <c r="BZ15" s="13">
        <f>BY15*VLOOKUP('Données projet'!$B$12,Paramètres!$A$1:$I$89,3,0)*VLOOKUP('Données projet'!$B$12,Paramètres!$A$1:$I$89,5,0)</f>
        <v>12.979200000000006</v>
      </c>
      <c r="CA15" s="13">
        <f t="shared" si="39"/>
        <v>4.4383130477080988</v>
      </c>
      <c r="CB15" s="20">
        <f t="shared" si="10"/>
        <v>30.335501891424943</v>
      </c>
      <c r="CC15" s="59">
        <f t="shared" si="11"/>
        <v>227.36527934415781</v>
      </c>
      <c r="CD15" s="59">
        <f ca="1">AVERAGE(OFFSET($CC$3,0,0,'Données projet'!$E$12+1,1))-AVERAGE(OFFSET($H$3,0,0,'Données projet'!$E$12+1,1))</f>
        <v>256.23994291192162</v>
      </c>
      <c r="CE15" s="59">
        <f t="shared" si="40"/>
        <v>207.9118653708222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1.9333333333333333</v>
      </c>
      <c r="CT15" s="12">
        <f>IF('Données projet'!$A$140&gt;35,CT14+CS15-DB14,IF(A15&lt;'Données projet'!$A$140,$CQ$205^A15,IF(A15='Données projet'!$A$140,'Données projet'!$B$140,CT14+CS15-DB14)))</f>
        <v>14.788304974808712</v>
      </c>
      <c r="CU15" s="17">
        <f>CT15*VLOOKUP('Données projet'!$B$13,Paramètres!$A$1:$I$89,3,0)*VLOOKUP('Données projet'!$B$13,Paramètres!$A$1:$I$89,5,0)</f>
        <v>8.535809631459589</v>
      </c>
      <c r="CV15" s="13">
        <f t="shared" si="41"/>
        <v>3.0647842004956622</v>
      </c>
      <c r="CW15" s="20">
        <f t="shared" si="13"/>
        <v>20.204367590655394</v>
      </c>
      <c r="CX15" s="59">
        <f t="shared" si="14"/>
        <v>217.23414504338825</v>
      </c>
      <c r="CY15" s="59">
        <f ca="1">AVERAGE(OFFSET($CX$3,0,0,'Données projet'!$E$13+1,1))-AVERAGE(OFFSET($H$3,0,0,'Données projet'!$E$13+1,1))</f>
        <v>205.74526926885287</v>
      </c>
      <c r="CZ15" s="59">
        <f t="shared" si="42"/>
        <v>201.56217137928999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2.9235042735042733</v>
      </c>
      <c r="DO15" s="12">
        <f>IF('Données projet'!$A$166&gt;35,DO14+DN15-DW14,IF(A15&lt;'Données projet'!$A$166,$DL$205^A15,IF(A15='Données projet'!$A$166,'Données projet'!$B$166,DO14+DN15-DW14)))</f>
        <v>5.9870101592612031</v>
      </c>
      <c r="DP15" s="17">
        <f>DO15*VLOOKUP('Données projet'!$B$14,Paramètres!$A$1:$I$89,3,0)*VLOOKUP('Données projet'!$B$14,Paramètres!$A$1:$I$89,5,0)</f>
        <v>5.6972388675529606</v>
      </c>
      <c r="DQ15" s="13">
        <f t="shared" si="43"/>
        <v>2.1441598223053449</v>
      </c>
      <c r="DR15" s="20">
        <f t="shared" si="16"/>
        <v>13.657102718169881</v>
      </c>
      <c r="DS15" s="59">
        <f t="shared" si="17"/>
        <v>210.68688017090275</v>
      </c>
      <c r="DT15" s="59">
        <f ca="1">AVERAGE(OFFSET($DS$3,0,0,'Données projet'!$E$14+1,1))-AVERAGE(OFFSET($H$3,0,0,'Données projet'!$E$14+1,1))</f>
        <v>403.89478276355294</v>
      </c>
      <c r="DU15" s="59">
        <f t="shared" si="44"/>
        <v>241.1593989733278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2.9235042735042733</v>
      </c>
      <c r="N16" s="13">
        <f>IF('Données projet'!$A$36&gt;35,N15+M16-V15,IF(A16&lt;'Données projet'!$A$36,$K$205^A16,IF(A16='Données projet'!$A$36,'Données projet'!$B$36,N15+M16-V15)))</f>
        <v>6.9498830208148057</v>
      </c>
      <c r="O16" s="13">
        <f>N16*VLOOKUP('Données projet'!$B$9,Paramètres!$A$1:$I$89,3,0)*VLOOKUP('Données projet'!$B$9,Paramètres!$A$1:$I$89,5,0)</f>
        <v>6.2882541572332364</v>
      </c>
      <c r="P16" s="13">
        <f t="shared" si="33"/>
        <v>2.3395549462651668</v>
      </c>
      <c r="Q16" s="20">
        <f t="shared" si="2"/>
        <v>15.026767521926386</v>
      </c>
      <c r="R16" s="59">
        <f t="shared" si="0"/>
        <v>214.5677677735452</v>
      </c>
      <c r="S16" s="59">
        <f ca="1">AVERAGE(OFFSET($R$3,0,0,'Données projet'!$E$9+1,1))-AVERAGE(OFFSET($H$3,0,0,'Données projet'!$E$9+1,1))</f>
        <v>388.1278150896951</v>
      </c>
      <c r="T16" s="59">
        <f t="shared" si="34"/>
        <v>232.26614607059227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2.9235042735042733</v>
      </c>
      <c r="AI16" s="13">
        <f>IF('Données projet'!$A$62&gt;35,AI15+AH16-AQ15,IF(A16&lt;'Données projet'!$A$62,$AF$205^A16,IF(A16='Données projet'!$A$62,'Données projet'!$B$62,AI15+AH16-AQ15)))</f>
        <v>6.9498830208148057</v>
      </c>
      <c r="AJ16" s="13">
        <f>AI16*VLOOKUP('Données projet'!$B$10,Paramètres!$A$1:$I$89,3,0)*VLOOKUP('Données projet'!$B$10,Paramètres!$A$1:$I$89,5,0)</f>
        <v>7.0471813831062136</v>
      </c>
      <c r="AK16" s="13">
        <f t="shared" si="35"/>
        <v>2.5873698684431186</v>
      </c>
      <c r="AL16" s="20">
        <f t="shared" si="4"/>
        <v>16.780176763115087</v>
      </c>
      <c r="AM16" s="59">
        <f t="shared" si="5"/>
        <v>216.32117701473391</v>
      </c>
      <c r="AN16" s="59">
        <f ca="1">AVERAGE(OFFSET($AM$3,0,0,'Données projet'!$E$10+1,1))-AVERAGE(OFFSET($H$3,0,0,'Données projet'!$E$10+1,1))</f>
        <v>424.89201140676084</v>
      </c>
      <c r="AO16" s="59">
        <f t="shared" si="36"/>
        <v>253.0016648946303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0.9</v>
      </c>
      <c r="BD16" s="12">
        <f>IF('Données projet'!$A$88&gt;35,BD15+BC16-BL15,IF(A16&lt;'Données projet'!$A$88,$BA$205^A16,IF(A16='Données projet'!$A$88,'Données projet'!$B$88,BD15+BC16-BL15)))</f>
        <v>6.5452633975063188</v>
      </c>
      <c r="BE16" s="13">
        <f>BD16*VLOOKUP('Données projet'!$B$11,Paramètres!$A$1:$I$89,3,0)*VLOOKUP('Données projet'!$B$11,Paramètres!$A$1:$I$89,5,0)</f>
        <v>5.717942104061521</v>
      </c>
      <c r="BF16" s="13">
        <f t="shared" si="37"/>
        <v>2.1510430944381391</v>
      </c>
      <c r="BG16" s="20">
        <f t="shared" si="7"/>
        <v>13.705149220720239</v>
      </c>
      <c r="BH16" s="59">
        <f t="shared" si="8"/>
        <v>213.24614947233906</v>
      </c>
      <c r="BI16" s="59">
        <f ca="1">AVERAGE(OFFSET($BH$3,0,0,'Données projet'!$E$11+1,1))-AVERAGE(OFFSET($H$3,0,0,'Données projet'!$E$11+1,1))</f>
        <v>218.97952644043698</v>
      </c>
      <c r="BJ16" s="59">
        <f t="shared" si="38"/>
        <v>204.10961748628714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2.1333333333333333</v>
      </c>
      <c r="BY16" s="12">
        <f>IF('Données projet'!$A$114&gt;35,BY15+BX16-CG15,IF(A16&lt;'Données projet'!$A$114,$BV$205^A16,IF(A16='Données projet'!$A$114,'Données projet'!$B$114,BY15+BX16-CG15)))</f>
        <v>20.158736798317982</v>
      </c>
      <c r="BZ16" s="13">
        <f>BY16*VLOOKUP('Données projet'!$B$12,Paramètres!$A$1:$I$89,3,0)*VLOOKUP('Données projet'!$B$12,Paramètres!$A$1:$I$89,5,0)</f>
        <v>16.352767290795548</v>
      </c>
      <c r="CA16" s="13">
        <f t="shared" si="39"/>
        <v>5.4435385035303101</v>
      </c>
      <c r="CB16" s="20">
        <f t="shared" si="10"/>
        <v>37.961899258450863</v>
      </c>
      <c r="CC16" s="59">
        <f t="shared" si="11"/>
        <v>237.50289951006968</v>
      </c>
      <c r="CD16" s="59">
        <f ca="1">AVERAGE(OFFSET($CC$3,0,0,'Données projet'!$E$12+1,1))-AVERAGE(OFFSET($H$3,0,0,'Données projet'!$E$12+1,1))</f>
        <v>256.23994291192162</v>
      </c>
      <c r="CE16" s="59">
        <f t="shared" si="40"/>
        <v>207.9118653708222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1.9333333333333333</v>
      </c>
      <c r="CT16" s="12">
        <f>IF('Données projet'!$A$140&gt;35,CT15+CS16-DB15,IF(A16&lt;'Données projet'!$A$140,$CQ$205^A16,IF(A16='Données projet'!$A$140,'Données projet'!$B$140,CT15+CS16-DB15)))</f>
        <v>18.510220752863528</v>
      </c>
      <c r="CU16" s="17">
        <f>CT16*VLOOKUP('Données projet'!$B$13,Paramètres!$A$1:$I$89,3,0)*VLOOKUP('Données projet'!$B$13,Paramètres!$A$1:$I$89,5,0)</f>
        <v>10.684099418552828</v>
      </c>
      <c r="CV16" s="13">
        <f t="shared" si="41"/>
        <v>3.7371875339519489</v>
      </c>
      <c r="CW16" s="20">
        <f t="shared" si="13"/>
        <v>25.117074775612483</v>
      </c>
      <c r="CX16" s="59">
        <f t="shared" si="14"/>
        <v>224.65807502723129</v>
      </c>
      <c r="CY16" s="59">
        <f ca="1">AVERAGE(OFFSET($CX$3,0,0,'Données projet'!$E$13+1,1))-AVERAGE(OFFSET($H$3,0,0,'Données projet'!$E$13+1,1))</f>
        <v>205.74526926885287</v>
      </c>
      <c r="CZ16" s="59">
        <f t="shared" si="42"/>
        <v>201.56217137928999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2.9235042735042733</v>
      </c>
      <c r="DO16" s="12">
        <f>IF('Données projet'!$A$166&gt;35,DO15+DN16-DW15,IF(A16&lt;'Données projet'!$A$166,$DL$205^A16,IF(A16='Données projet'!$A$166,'Données projet'!$B$166,DO15+DN16-DW15)))</f>
        <v>6.9498830208148057</v>
      </c>
      <c r="DP16" s="17">
        <f>DO16*VLOOKUP('Données projet'!$B$14,Paramètres!$A$1:$I$89,3,0)*VLOOKUP('Données projet'!$B$14,Paramètres!$A$1:$I$89,5,0)</f>
        <v>6.6135086826073701</v>
      </c>
      <c r="DQ16" s="13">
        <f t="shared" si="43"/>
        <v>2.446164822845744</v>
      </c>
      <c r="DR16" s="20">
        <f t="shared" si="16"/>
        <v>15.77893135533084</v>
      </c>
      <c r="DS16" s="59">
        <f t="shared" si="17"/>
        <v>215.31993160694964</v>
      </c>
      <c r="DT16" s="59">
        <f ca="1">AVERAGE(OFFSET($DS$3,0,0,'Données projet'!$E$14+1,1))-AVERAGE(OFFSET($H$3,0,0,'Données projet'!$E$14+1,1))</f>
        <v>403.89478276355294</v>
      </c>
      <c r="DU16" s="59">
        <f t="shared" si="44"/>
        <v>241.1593989733278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2.9235042735042733</v>
      </c>
      <c r="N17" s="13">
        <f>IF('Données projet'!$A$36&gt;35,N16+M17-V16,IF(A17&lt;'Données projet'!$A$36,$K$205^A17,IF(A17='Données projet'!$A$36,'Données projet'!$B$36,N16+M17-V16)))</f>
        <v>8.0676118326430668</v>
      </c>
      <c r="O17" s="13">
        <f>N17*VLOOKUP('Données projet'!$B$9,Paramètres!$A$1:$I$89,3,0)*VLOOKUP('Données projet'!$B$9,Paramètres!$A$1:$I$89,5,0)</f>
        <v>7.2995751861754465</v>
      </c>
      <c r="P17" s="13">
        <f t="shared" si="33"/>
        <v>2.6690813581776105</v>
      </c>
      <c r="Q17" s="20">
        <f t="shared" si="2"/>
        <v>17.362076814748239</v>
      </c>
      <c r="R17" s="59">
        <f t="shared" si="0"/>
        <v>219.39193858702143</v>
      </c>
      <c r="S17" s="59">
        <f ca="1">AVERAGE(OFFSET($R$3,0,0,'Données projet'!$E$9+1,1))-AVERAGE(OFFSET($H$3,0,0,'Données projet'!$E$9+1,1))</f>
        <v>388.1278150896951</v>
      </c>
      <c r="T17" s="59">
        <f t="shared" si="34"/>
        <v>232.26614607059227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2.9235042735042733</v>
      </c>
      <c r="AI17" s="13">
        <f>IF('Données projet'!$A$62&gt;35,AI16+AH17-AQ16,IF(A17&lt;'Données projet'!$A$62,$AF$205^A17,IF(A17='Données projet'!$A$62,'Données projet'!$B$62,AI16+AH17-AQ16)))</f>
        <v>8.0676118326430668</v>
      </c>
      <c r="AJ17" s="13">
        <f>AI17*VLOOKUP('Données projet'!$B$10,Paramètres!$A$1:$I$89,3,0)*VLOOKUP('Données projet'!$B$10,Paramètres!$A$1:$I$89,5,0)</f>
        <v>8.1805583983000698</v>
      </c>
      <c r="AK17" s="13">
        <f t="shared" si="35"/>
        <v>2.9518010224963804</v>
      </c>
      <c r="AL17" s="20">
        <f t="shared" si="4"/>
        <v>19.388859324553817</v>
      </c>
      <c r="AM17" s="59">
        <f t="shared" si="5"/>
        <v>221.418721096827</v>
      </c>
      <c r="AN17" s="59">
        <f ca="1">AVERAGE(OFFSET($AM$3,0,0,'Données projet'!$E$10+1,1))-AVERAGE(OFFSET($H$3,0,0,'Données projet'!$E$10+1,1))</f>
        <v>424.89201140676084</v>
      </c>
      <c r="AO17" s="59">
        <f t="shared" si="36"/>
        <v>253.0016648946303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0.9</v>
      </c>
      <c r="BD17" s="12">
        <f>IF('Données projet'!$A$88&gt;35,BD16+BC17-BL16,IF(A17&lt;'Données projet'!$A$88,$BA$205^A17,IF(A17='Données projet'!$A$88,'Données projet'!$B$88,BD16+BC17-BL16)))</f>
        <v>7.5629417171254145</v>
      </c>
      <c r="BE17" s="13">
        <f>BD17*VLOOKUP('Données projet'!$B$11,Paramètres!$A$1:$I$89,3,0)*VLOOKUP('Données projet'!$B$11,Paramètres!$A$1:$I$89,5,0)</f>
        <v>6.6069858840807631</v>
      </c>
      <c r="BF17" s="13">
        <f t="shared" si="37"/>
        <v>2.4440329151477385</v>
      </c>
      <c r="BG17" s="20">
        <f t="shared" si="7"/>
        <v>15.763857741989639</v>
      </c>
      <c r="BH17" s="59">
        <f t="shared" si="8"/>
        <v>217.79371951426282</v>
      </c>
      <c r="BI17" s="59">
        <f ca="1">AVERAGE(OFFSET($BH$3,0,0,'Données projet'!$E$11+1,1))-AVERAGE(OFFSET($H$3,0,0,'Données projet'!$E$11+1,1))</f>
        <v>218.97952644043698</v>
      </c>
      <c r="BJ17" s="59">
        <f t="shared" si="38"/>
        <v>204.10961748628714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2.1333333333333333</v>
      </c>
      <c r="BY17" s="12">
        <f>IF('Données projet'!$A$114&gt;35,BY16+BX17-CG16,IF(A17&lt;'Données projet'!$A$114,$BV$205^A17,IF(A17='Données projet'!$A$114,'Données projet'!$B$114,BY16+BX17-CG16)))</f>
        <v>25.398416831491208</v>
      </c>
      <c r="BZ17" s="13">
        <f>BY17*VLOOKUP('Données projet'!$B$12,Paramètres!$A$1:$I$89,3,0)*VLOOKUP('Données projet'!$B$12,Paramètres!$A$1:$I$89,5,0)</f>
        <v>20.603195733705668</v>
      </c>
      <c r="CA17" s="13">
        <f t="shared" si="39"/>
        <v>6.6764356459080147</v>
      </c>
      <c r="CB17" s="20">
        <f t="shared" si="10"/>
        <v>47.512024652827165</v>
      </c>
      <c r="CC17" s="59">
        <f t="shared" si="11"/>
        <v>249.54188642510036</v>
      </c>
      <c r="CD17" s="59">
        <f ca="1">AVERAGE(OFFSET($CC$3,0,0,'Données projet'!$E$12+1,1))-AVERAGE(OFFSET($H$3,0,0,'Données projet'!$E$12+1,1))</f>
        <v>256.23994291192162</v>
      </c>
      <c r="CE17" s="59">
        <f t="shared" si="40"/>
        <v>207.9118653708222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1.9333333333333333</v>
      </c>
      <c r="CT17" s="12">
        <f>IF('Données projet'!$A$140&gt;35,CT16+CS17-DB16,IF(A17&lt;'Données projet'!$A$140,$CQ$205^A17,IF(A17='Données projet'!$A$140,'Données projet'!$B$140,CT16+CS17-DB16)))</f>
        <v>23.16886708134524</v>
      </c>
      <c r="CU17" s="17">
        <f>CT17*VLOOKUP('Données projet'!$B$13,Paramètres!$A$1:$I$89,3,0)*VLOOKUP('Données projet'!$B$13,Paramètres!$A$1:$I$89,5,0)</f>
        <v>13.373070079352475</v>
      </c>
      <c r="CV17" s="13">
        <f t="shared" si="41"/>
        <v>4.5571138945662355</v>
      </c>
      <c r="CW17" s="20">
        <f t="shared" si="13"/>
        <v>31.22840375457508</v>
      </c>
      <c r="CX17" s="59">
        <f t="shared" si="14"/>
        <v>233.25826552684828</v>
      </c>
      <c r="CY17" s="59">
        <f ca="1">AVERAGE(OFFSET($CX$3,0,0,'Données projet'!$E$13+1,1))-AVERAGE(OFFSET($H$3,0,0,'Données projet'!$E$13+1,1))</f>
        <v>205.74526926885287</v>
      </c>
      <c r="CZ17" s="59">
        <f t="shared" si="42"/>
        <v>201.56217137928999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2.9235042735042733</v>
      </c>
      <c r="DO17" s="12">
        <f>IF('Données projet'!$A$166&gt;35,DO16+DN17-DW16,IF(A17&lt;'Données projet'!$A$166,$DL$205^A17,IF(A17='Données projet'!$A$166,'Données projet'!$B$166,DO16+DN17-DW16)))</f>
        <v>8.0676118326430668</v>
      </c>
      <c r="DP17" s="17">
        <f>DO17*VLOOKUP('Données projet'!$B$14,Paramètres!$A$1:$I$89,3,0)*VLOOKUP('Données projet'!$B$14,Paramètres!$A$1:$I$89,5,0)</f>
        <v>7.6771394199431429</v>
      </c>
      <c r="DQ17" s="13">
        <f t="shared" si="43"/>
        <v>2.7907072403280107</v>
      </c>
      <c r="DR17" s="20">
        <f t="shared" si="16"/>
        <v>18.231499599972256</v>
      </c>
      <c r="DS17" s="59">
        <f t="shared" si="17"/>
        <v>220.26136137224546</v>
      </c>
      <c r="DT17" s="59">
        <f ca="1">AVERAGE(OFFSET($DS$3,0,0,'Données projet'!$E$14+1,1))-AVERAGE(OFFSET($H$3,0,0,'Données projet'!$E$14+1,1))</f>
        <v>403.89478276355294</v>
      </c>
      <c r="DU17" s="59">
        <f t="shared" si="44"/>
        <v>241.1593989733278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2.9235042735042733</v>
      </c>
      <c r="N18" s="13">
        <f>IF('Données projet'!$A$36&gt;35,N17+M18-V17,IF(A18&lt;'Données projet'!$A$36,$K$205^A18,IF(A18='Données projet'!$A$36,'Données projet'!$B$36,N17+M18-V17)))</f>
        <v>9.3651016121091022</v>
      </c>
      <c r="O18" s="13">
        <f>N18*VLOOKUP('Données projet'!$B$9,Paramètres!$A$1:$I$89,3,0)*VLOOKUP('Données projet'!$B$9,Paramètres!$A$1:$I$89,5,0)</f>
        <v>8.4735439386363147</v>
      </c>
      <c r="P18" s="13">
        <f t="shared" si="33"/>
        <v>3.045021578973337</v>
      </c>
      <c r="Q18" s="20">
        <f t="shared" si="2"/>
        <v>20.06150160983681</v>
      </c>
      <c r="R18" s="59">
        <f t="shared" si="0"/>
        <v>224.55825154271787</v>
      </c>
      <c r="S18" s="59">
        <f ca="1">AVERAGE(OFFSET($R$3,0,0,'Données projet'!$E$9+1,1))-AVERAGE(OFFSET($H$3,0,0,'Données projet'!$E$9+1,1))</f>
        <v>388.1278150896951</v>
      </c>
      <c r="T18" s="59">
        <f t="shared" si="34"/>
        <v>232.26614607059227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2.9235042735042733</v>
      </c>
      <c r="AI18" s="13">
        <f>IF('Données projet'!$A$62&gt;35,AI17+AH18-AQ17,IF(A18&lt;'Données projet'!$A$62,$AF$205^A18,IF(A18='Données projet'!$A$62,'Données projet'!$B$62,AI17+AH18-AQ17)))</f>
        <v>9.3651016121091022</v>
      </c>
      <c r="AJ18" s="13">
        <f>AI18*VLOOKUP('Données projet'!$B$10,Paramètres!$A$1:$I$89,3,0)*VLOOKUP('Données projet'!$B$10,Paramètres!$A$1:$I$89,5,0)</f>
        <v>9.4962130346786306</v>
      </c>
      <c r="AK18" s="13">
        <f t="shared" si="35"/>
        <v>3.3675623198215465</v>
      </c>
      <c r="AL18" s="20">
        <f t="shared" si="4"/>
        <v>22.40440874242114</v>
      </c>
      <c r="AM18" s="59">
        <f t="shared" si="5"/>
        <v>226.90115867530218</v>
      </c>
      <c r="AN18" s="59">
        <f ca="1">AVERAGE(OFFSET($AM$3,0,0,'Données projet'!$E$10+1,1))-AVERAGE(OFFSET($H$3,0,0,'Données projet'!$E$10+1,1))</f>
        <v>424.89201140676084</v>
      </c>
      <c r="AO18" s="59">
        <f t="shared" si="36"/>
        <v>253.0016648946303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0.9</v>
      </c>
      <c r="BD18" s="12">
        <f>IF('Données projet'!$A$88&gt;35,BD17+BC18-BL17,IF(A18&lt;'Données projet'!$A$88,$BA$205^A18,IF(A18='Données projet'!$A$88,'Données projet'!$B$88,BD17+BC18-BL17)))</f>
        <v>8.7388518907318247</v>
      </c>
      <c r="BE18" s="13">
        <f>BD18*VLOOKUP('Données projet'!$B$11,Paramètres!$A$1:$I$89,3,0)*VLOOKUP('Données projet'!$B$11,Paramètres!$A$1:$I$89,5,0)</f>
        <v>7.6342610117433241</v>
      </c>
      <c r="BF18" s="13">
        <f t="shared" si="37"/>
        <v>2.7769303673043324</v>
      </c>
      <c r="BG18" s="20">
        <f t="shared" si="7"/>
        <v>18.132824985174668</v>
      </c>
      <c r="BH18" s="59">
        <f t="shared" si="8"/>
        <v>222.62957491805571</v>
      </c>
      <c r="BI18" s="59">
        <f ca="1">AVERAGE(OFFSET($BH$3,0,0,'Données projet'!$E$11+1,1))-AVERAGE(OFFSET($H$3,0,0,'Données projet'!$E$11+1,1))</f>
        <v>218.97952644043698</v>
      </c>
      <c r="BJ18" s="59">
        <f t="shared" si="38"/>
        <v>204.10961748628714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32</v>
      </c>
      <c r="BW18" s="12">
        <f>VLOOKUP(A18,'Données projet'!$A$113:$I$133,9,0)</f>
        <v>2.1333333333333333</v>
      </c>
      <c r="BX18" s="12">
        <f t="array" ref="BX18">INDEX(BW:BW,MIN(IF(ISNUMBER(BW18:BW214),ROW(BW18:BW214),"")))</f>
        <v>2.1333333333333333</v>
      </c>
      <c r="BY18" s="12">
        <f>IF('Données projet'!$A$114&gt;35,BY17+BX18-CG17,IF(A18&lt;'Données projet'!$A$114,$BV$205^A18,IF(A18='Données projet'!$A$114,'Données projet'!$B$114,BY17+BX18-CG17)))</f>
        <v>32</v>
      </c>
      <c r="BZ18" s="13">
        <f>BY18*VLOOKUP('Données projet'!$B$12,Paramètres!$A$1:$I$89,3,0)*VLOOKUP('Données projet'!$B$12,Paramètres!$A$1:$I$89,5,0)</f>
        <v>25.958400000000001</v>
      </c>
      <c r="CA18" s="13">
        <f t="shared" si="39"/>
        <v>8.1885694213502802</v>
      </c>
      <c r="CB18" s="20">
        <f t="shared" si="10"/>
        <v>59.472638408851729</v>
      </c>
      <c r="CC18" s="59">
        <f t="shared" si="11"/>
        <v>263.96938834173278</v>
      </c>
      <c r="CD18" s="59">
        <f ca="1">AVERAGE(OFFSET($CC$3,0,0,'Données projet'!$E$12+1,1))-AVERAGE(OFFSET($H$3,0,0,'Données projet'!$E$12+1,1))</f>
        <v>256.23994291192162</v>
      </c>
      <c r="CE18" s="59">
        <f t="shared" si="40"/>
        <v>207.9118653708222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29</v>
      </c>
      <c r="CR18" s="12">
        <f>VLOOKUP(A18,'Données projet'!$A$139:$I$159,9,0)</f>
        <v>1.9333333333333333</v>
      </c>
      <c r="CS18" s="12">
        <f t="array" ref="CS18">INDEX(CR:CR,MIN(IF(ISNUMBER(CR18:CR214),ROW(CR18:CR214),"")))</f>
        <v>1.9333333333333333</v>
      </c>
      <c r="CT18" s="12">
        <f>IF('Données projet'!$A$140&gt;35,CT17+CS18-DB17,IF(A18&lt;'Données projet'!$A$140,$CQ$205^A18,IF(A18='Données projet'!$A$140,'Données projet'!$B$140,CT17+CS18-DB17)))</f>
        <v>29</v>
      </c>
      <c r="CU18" s="17">
        <f>CT18*VLOOKUP('Données projet'!$B$13,Paramètres!$A$1:$I$89,3,0)*VLOOKUP('Données projet'!$B$13,Paramètres!$A$1:$I$89,5,0)</f>
        <v>16.738800000000001</v>
      </c>
      <c r="CV18" s="13">
        <f t="shared" si="41"/>
        <v>5.5569293377386142</v>
      </c>
      <c r="CW18" s="20">
        <f t="shared" si="13"/>
        <v>38.831728596561412</v>
      </c>
      <c r="CX18" s="59">
        <f t="shared" si="14"/>
        <v>243.32847852944246</v>
      </c>
      <c r="CY18" s="59">
        <f ca="1">AVERAGE(OFFSET($CX$3,0,0,'Données projet'!$E$13+1,1))-AVERAGE(OFFSET($H$3,0,0,'Données projet'!$E$13+1,1))</f>
        <v>205.74526926885287</v>
      </c>
      <c r="CZ18" s="59">
        <f t="shared" si="42"/>
        <v>201.56217137928999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3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4.3000000000000003E-2</v>
      </c>
      <c r="DE18" s="16">
        <f>IF(ISNA(VLOOKUP(A18,'Données projet'!$A$139:$I$159,7,0)),0%,VLOOKUP(A18,'Données projet'!$A$139:$I$159,7,0))</f>
        <v>0.3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8.1987904196523145E-2</v>
      </c>
      <c r="DH18" s="21">
        <f>EXP(-LN(2)/2)*DH17+(1-EXP(-LN(2)/2))/(LN(2)/2)*DB18*DE18*VLOOKUP('Données projet'!$B$13,Paramètres!$A$1:$I$89,3,0)*0.475*44/12</f>
        <v>0.49014336159920702</v>
      </c>
      <c r="DI18" s="22">
        <f t="shared" si="15"/>
        <v>0.57213126579573015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2.9235042735042733</v>
      </c>
      <c r="DO18" s="12">
        <f>IF('Données projet'!$A$166&gt;35,DO17+DN18-DW17,IF(A18&lt;'Données projet'!$A$166,$DL$205^A18,IF(A18='Données projet'!$A$166,'Données projet'!$B$166,DO17+DN18-DW17)))</f>
        <v>9.3651016121091022</v>
      </c>
      <c r="DP18" s="17">
        <f>DO18*VLOOKUP('Données projet'!$B$14,Paramètres!$A$1:$I$89,3,0)*VLOOKUP('Données projet'!$B$14,Paramètres!$A$1:$I$89,5,0)</f>
        <v>8.9118306940830223</v>
      </c>
      <c r="DQ18" s="13">
        <f t="shared" si="43"/>
        <v>3.183778471705339</v>
      </c>
      <c r="DR18" s="20">
        <f t="shared" si="16"/>
        <v>21.066519297081395</v>
      </c>
      <c r="DS18" s="59">
        <f t="shared" si="17"/>
        <v>225.56326922996243</v>
      </c>
      <c r="DT18" s="59">
        <f ca="1">AVERAGE(OFFSET($DS$3,0,0,'Données projet'!$E$14+1,1))-AVERAGE(OFFSET($H$3,0,0,'Données projet'!$E$14+1,1))</f>
        <v>403.89478276355294</v>
      </c>
      <c r="DU18" s="59">
        <f t="shared" si="44"/>
        <v>241.1593989733278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2.9235042735042733</v>
      </c>
      <c r="N19" s="13">
        <f>IF('Données projet'!$A$36&gt;35,N18+M19-V18,IF(A19&lt;'Données projet'!$A$36,$K$205^A19,IF(A19='Données projet'!$A$36,'Données projet'!$B$36,N18+M19-V18)))</f>
        <v>10.87126277571476</v>
      </c>
      <c r="O19" s="13">
        <f>N19*VLOOKUP('Données projet'!$B$9,Paramètres!$A$1:$I$89,3,0)*VLOOKUP('Données projet'!$B$9,Paramètres!$A$1:$I$89,5,0)</f>
        <v>9.8363185594667133</v>
      </c>
      <c r="P19" s="13">
        <f t="shared" si="33"/>
        <v>3.4739129955724146</v>
      </c>
      <c r="Q19" s="20">
        <f t="shared" si="2"/>
        <v>23.181986625026479</v>
      </c>
      <c r="R19" s="59">
        <f t="shared" si="0"/>
        <v>230.12403254714053</v>
      </c>
      <c r="S19" s="59">
        <f ca="1">AVERAGE(OFFSET($R$3,0,0,'Données projet'!$E$9+1,1))-AVERAGE(OFFSET($H$3,0,0,'Données projet'!$E$9+1,1))</f>
        <v>388.1278150896951</v>
      </c>
      <c r="T19" s="59">
        <f t="shared" si="34"/>
        <v>232.26614607059227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2.9235042735042733</v>
      </c>
      <c r="AI19" s="13">
        <f>IF('Données projet'!$A$62&gt;35,AI18+AH19-AQ18,IF(A19&lt;'Données projet'!$A$62,$AF$205^A19,IF(A19='Données projet'!$A$62,'Données projet'!$B$62,AI18+AH19-AQ18)))</f>
        <v>10.87126277571476</v>
      </c>
      <c r="AJ19" s="13">
        <f>AI19*VLOOKUP('Données projet'!$B$10,Paramètres!$A$1:$I$89,3,0)*VLOOKUP('Données projet'!$B$10,Paramètres!$A$1:$I$89,5,0)</f>
        <v>11.023460454574767</v>
      </c>
      <c r="AK19" s="13">
        <f t="shared" si="35"/>
        <v>3.8418836132426954</v>
      </c>
      <c r="AL19" s="20">
        <f t="shared" si="4"/>
        <v>25.890474251448747</v>
      </c>
      <c r="AM19" s="59">
        <f t="shared" si="5"/>
        <v>232.83252017356281</v>
      </c>
      <c r="AN19" s="59">
        <f ca="1">AVERAGE(OFFSET($AM$3,0,0,'Données projet'!$E$10+1,1))-AVERAGE(OFFSET($H$3,0,0,'Données projet'!$E$10+1,1))</f>
        <v>424.89201140676084</v>
      </c>
      <c r="AO19" s="59">
        <f t="shared" si="36"/>
        <v>253.0016648946303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0.9</v>
      </c>
      <c r="BD19" s="12">
        <f>IF('Données projet'!$A$88&gt;35,BD18+BC19-BL18,IF(A19&lt;'Données projet'!$A$88,$BA$205^A19,IF(A19='Données projet'!$A$88,'Données projet'!$B$88,BD18+BC19-BL18)))</f>
        <v>10.097596309015799</v>
      </c>
      <c r="BE19" s="13">
        <f>BD19*VLOOKUP('Données projet'!$B$11,Paramètres!$A$1:$I$89,3,0)*VLOOKUP('Données projet'!$B$11,Paramètres!$A$1:$I$89,5,0)</f>
        <v>8.8212601355562033</v>
      </c>
      <c r="BF19" s="13">
        <f t="shared" si="37"/>
        <v>3.1551711996443523</v>
      </c>
      <c r="BG19" s="20">
        <f t="shared" si="7"/>
        <v>20.858951242140964</v>
      </c>
      <c r="BH19" s="59">
        <f t="shared" si="8"/>
        <v>227.80099716425502</v>
      </c>
      <c r="BI19" s="59">
        <f ca="1">AVERAGE(OFFSET($BH$3,0,0,'Données projet'!$E$11+1,1))-AVERAGE(OFFSET($H$3,0,0,'Données projet'!$E$11+1,1))</f>
        <v>218.97952644043698</v>
      </c>
      <c r="BJ19" s="59">
        <f t="shared" si="38"/>
        <v>204.10961748628714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4.4000000000000004</v>
      </c>
      <c r="BY19" s="12">
        <f>IF('Données projet'!$A$114&gt;35,BY18+BX19-CG18,IF(A19&lt;'Données projet'!$A$114,$BV$205^A19,IF(A19='Données projet'!$A$114,'Données projet'!$B$114,BY18+BX19-CG18)))</f>
        <v>36.4</v>
      </c>
      <c r="BZ19" s="13">
        <f>BY19*VLOOKUP('Données projet'!$B$12,Paramètres!$A$1:$I$89,3,0)*VLOOKUP('Données projet'!$B$12,Paramètres!$A$1:$I$89,5,0)</f>
        <v>29.527680000000004</v>
      </c>
      <c r="CA19" s="13">
        <f t="shared" si="39"/>
        <v>9.1758582733085685</v>
      </c>
      <c r="CB19" s="20">
        <f t="shared" si="10"/>
        <v>67.408662492679099</v>
      </c>
      <c r="CC19" s="59">
        <f t="shared" si="11"/>
        <v>274.35070841479319</v>
      </c>
      <c r="CD19" s="59">
        <f ca="1">AVERAGE(OFFSET($CC$3,0,0,'Données projet'!$E$12+1,1))-AVERAGE(OFFSET($H$3,0,0,'Données projet'!$E$12+1,1))</f>
        <v>256.23994291192162</v>
      </c>
      <c r="CE19" s="59">
        <f t="shared" si="40"/>
        <v>207.9118653708222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8.4</v>
      </c>
      <c r="CT19" s="12">
        <f>IF('Données projet'!$A$140&gt;35,CT18+CS19-DB18,IF(A19&lt;'Données projet'!$A$140,$CQ$205^A19,IF(A19='Données projet'!$A$140,'Données projet'!$B$140,CT18+CS19-DB18)))</f>
        <v>34.4</v>
      </c>
      <c r="CU19" s="17">
        <f>CT19*VLOOKUP('Données projet'!$B$13,Paramètres!$A$1:$I$89,3,0)*VLOOKUP('Données projet'!$B$13,Paramètres!$A$1:$I$89,5,0)</f>
        <v>19.85568</v>
      </c>
      <c r="CV19" s="13">
        <f t="shared" si="41"/>
        <v>6.4619418152718753</v>
      </c>
      <c r="CW19" s="20">
        <f t="shared" si="13"/>
        <v>45.83652466159851</v>
      </c>
      <c r="CX19" s="59">
        <f t="shared" si="14"/>
        <v>252.77857058371256</v>
      </c>
      <c r="CY19" s="59">
        <f ca="1">AVERAGE(OFFSET($CX$3,0,0,'Données projet'!$E$13+1,1))-AVERAGE(OFFSET($H$3,0,0,'Données projet'!$E$13+1,1))</f>
        <v>205.74526926885287</v>
      </c>
      <c r="CZ19" s="59">
        <f t="shared" si="42"/>
        <v>201.56217137928999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7.9745940644712729E-2</v>
      </c>
      <c r="DH19" s="21">
        <f>EXP(-LN(2)/2)*DH18+(1-EXP(-LN(2)/2))/(LN(2)/2)*DB19*DE19*VLOOKUP('Données projet'!$B$13,Paramètres!$A$1:$I$89,3,0)*0.475*44/12</f>
        <v>0.34658369474036932</v>
      </c>
      <c r="DI19" s="22">
        <f t="shared" si="15"/>
        <v>0.42632963538508206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2.9235042735042733</v>
      </c>
      <c r="DO19" s="12">
        <f>IF('Données projet'!$A$166&gt;35,DO18+DN19-DW18,IF(A19&lt;'Données projet'!$A$166,$DL$205^A19,IF(A19='Données projet'!$A$166,'Données projet'!$B$166,DO18+DN19-DW18)))</f>
        <v>10.87126277571476</v>
      </c>
      <c r="DP19" s="17">
        <f>DO19*VLOOKUP('Données projet'!$B$14,Paramètres!$A$1:$I$89,3,0)*VLOOKUP('Données projet'!$B$14,Paramètres!$A$1:$I$89,5,0)</f>
        <v>10.345093657370166</v>
      </c>
      <c r="DQ19" s="13">
        <f t="shared" si="43"/>
        <v>3.6322138024420574</v>
      </c>
      <c r="DR19" s="20">
        <f t="shared" si="16"/>
        <v>24.343810492506289</v>
      </c>
      <c r="DS19" s="59">
        <f t="shared" si="17"/>
        <v>231.28585641462035</v>
      </c>
      <c r="DT19" s="59">
        <f ca="1">AVERAGE(OFFSET($DS$3,0,0,'Données projet'!$E$14+1,1))-AVERAGE(OFFSET($H$3,0,0,'Données projet'!$E$14+1,1))</f>
        <v>403.89478276355294</v>
      </c>
      <c r="DU19" s="59">
        <f t="shared" si="44"/>
        <v>241.1593989733278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2.9235042735042733</v>
      </c>
      <c r="N20" s="13">
        <f>IF('Données projet'!$A$36&gt;35,N19+M20-V19,IF(A20&lt;'Données projet'!$A$36,$K$205^A20,IF(A20='Données projet'!$A$36,'Données projet'!$B$36,N19+M20-V19)))</f>
        <v>12.619655315413629</v>
      </c>
      <c r="O20" s="13">
        <f>N20*VLOOKUP('Données projet'!$B$9,Paramètres!$A$1:$I$89,3,0)*VLOOKUP('Données projet'!$B$9,Paramètres!$A$1:$I$89,5,0)</f>
        <v>11.418264129386252</v>
      </c>
      <c r="P20" s="13">
        <f t="shared" si="33"/>
        <v>3.9632137861156949</v>
      </c>
      <c r="Q20" s="20">
        <f t="shared" si="2"/>
        <v>26.789407369499227</v>
      </c>
      <c r="R20" s="59">
        <f t="shared" si="0"/>
        <v>236.15553168537195</v>
      </c>
      <c r="S20" s="59">
        <f ca="1">AVERAGE(OFFSET($R$3,0,0,'Données projet'!$E$9+1,1))-AVERAGE(OFFSET($H$3,0,0,'Données projet'!$E$9+1,1))</f>
        <v>388.1278150896951</v>
      </c>
      <c r="T20" s="59">
        <f t="shared" si="34"/>
        <v>232.26614607059227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2.9235042735042733</v>
      </c>
      <c r="AI20" s="13">
        <f>IF('Données projet'!$A$62&gt;35,AI19+AH20-AQ19,IF(A20&lt;'Données projet'!$A$62,$AF$205^A20,IF(A20='Données projet'!$A$62,'Données projet'!$B$62,AI19+AH20-AQ19)))</f>
        <v>12.619655315413629</v>
      </c>
      <c r="AJ20" s="13">
        <f>AI20*VLOOKUP('Données projet'!$B$10,Paramètres!$A$1:$I$89,3,0)*VLOOKUP('Données projet'!$B$10,Paramètres!$A$1:$I$89,5,0)</f>
        <v>12.796330489829421</v>
      </c>
      <c r="AK20" s="13">
        <f t="shared" si="35"/>
        <v>4.383013080656192</v>
      </c>
      <c r="AL20" s="20">
        <f t="shared" si="4"/>
        <v>29.92069005192911</v>
      </c>
      <c r="AM20" s="59">
        <f t="shared" si="5"/>
        <v>239.28681436780184</v>
      </c>
      <c r="AN20" s="59">
        <f ca="1">AVERAGE(OFFSET($AM$3,0,0,'Données projet'!$E$10+1,1))-AVERAGE(OFFSET($H$3,0,0,'Données projet'!$E$10+1,1))</f>
        <v>424.89201140676084</v>
      </c>
      <c r="AO20" s="59">
        <f t="shared" si="36"/>
        <v>253.0016648946303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0.9</v>
      </c>
      <c r="BD20" s="12">
        <f>IF('Données projet'!$A$88&gt;35,BD19+BC20-BL19,IF(A20&lt;'Données projet'!$A$88,$BA$205^A20,IF(A20='Données projet'!$A$88,'Données projet'!$B$88,BD19+BC20-BL19)))</f>
        <v>11.667602620429678</v>
      </c>
      <c r="BE20" s="13">
        <f>BD20*VLOOKUP('Données projet'!$B$11,Paramètres!$A$1:$I$89,3,0)*VLOOKUP('Données projet'!$B$11,Paramètres!$A$1:$I$89,5,0)</f>
        <v>10.192817649207369</v>
      </c>
      <c r="BF20" s="13">
        <f t="shared" si="37"/>
        <v>3.5849315547400531</v>
      </c>
      <c r="BG20" s="20">
        <f t="shared" si="7"/>
        <v>23.996246530208428</v>
      </c>
      <c r="BH20" s="59">
        <f t="shared" si="8"/>
        <v>233.36237084608115</v>
      </c>
      <c r="BI20" s="59">
        <f ca="1">AVERAGE(OFFSET($BH$3,0,0,'Données projet'!$E$11+1,1))-AVERAGE(OFFSET($H$3,0,0,'Données projet'!$E$11+1,1))</f>
        <v>218.97952644043698</v>
      </c>
      <c r="BJ20" s="59">
        <f t="shared" si="38"/>
        <v>204.10961748628714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4.4000000000000004</v>
      </c>
      <c r="BY20" s="12">
        <f>IF('Données projet'!$A$114&gt;35,BY19+BX20-CG19,IF(A20&lt;'Données projet'!$A$114,$BV$205^A20,IF(A20='Données projet'!$A$114,'Données projet'!$B$114,BY19+BX20-CG19)))</f>
        <v>40.799999999999997</v>
      </c>
      <c r="BZ20" s="13">
        <f>BY20*VLOOKUP('Données projet'!$B$12,Paramètres!$A$1:$I$89,3,0)*VLOOKUP('Données projet'!$B$12,Paramètres!$A$1:$I$89,5,0)</f>
        <v>33.096959999999996</v>
      </c>
      <c r="CA20" s="13">
        <f t="shared" si="39"/>
        <v>10.149317402083243</v>
      </c>
      <c r="CB20" s="20">
        <f t="shared" si="10"/>
        <v>75.320599808628302</v>
      </c>
      <c r="CC20" s="59">
        <f t="shared" si="11"/>
        <v>284.68672412450104</v>
      </c>
      <c r="CD20" s="59">
        <f ca="1">AVERAGE(OFFSET($CC$3,0,0,'Données projet'!$E$12+1,1))-AVERAGE(OFFSET($H$3,0,0,'Données projet'!$E$12+1,1))</f>
        <v>256.23994291192162</v>
      </c>
      <c r="CE20" s="59">
        <f t="shared" si="40"/>
        <v>207.9118653708222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8.4</v>
      </c>
      <c r="CT20" s="12">
        <f>IF('Données projet'!$A$140&gt;35,CT19+CS20-DB19,IF(A20&lt;'Données projet'!$A$140,$CQ$205^A20,IF(A20='Données projet'!$A$140,'Données projet'!$B$140,CT19+CS20-DB19)))</f>
        <v>42.8</v>
      </c>
      <c r="CU20" s="17">
        <f>CT20*VLOOKUP('Données projet'!$B$13,Paramètres!$A$1:$I$89,3,0)*VLOOKUP('Données projet'!$B$13,Paramètres!$A$1:$I$89,5,0)</f>
        <v>24.704159999999998</v>
      </c>
      <c r="CV20" s="13">
        <f t="shared" si="41"/>
        <v>7.8379721799232609</v>
      </c>
      <c r="CW20" s="20">
        <f t="shared" si="13"/>
        <v>56.677546880032999</v>
      </c>
      <c r="CX20" s="59">
        <f t="shared" si="14"/>
        <v>266.04367119590574</v>
      </c>
      <c r="CY20" s="59">
        <f ca="1">AVERAGE(OFFSET($CX$3,0,0,'Données projet'!$E$13+1,1))-AVERAGE(OFFSET($H$3,0,0,'Données projet'!$E$13+1,1))</f>
        <v>205.74526926885287</v>
      </c>
      <c r="CZ20" s="59">
        <f t="shared" si="42"/>
        <v>201.56217137928999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7.7565283704126298E-2</v>
      </c>
      <c r="DH20" s="21">
        <f>EXP(-LN(2)/2)*DH19+(1-EXP(-LN(2)/2))/(LN(2)/2)*DB20*DE20*VLOOKUP('Données projet'!$B$13,Paramètres!$A$1:$I$89,3,0)*0.475*44/12</f>
        <v>0.24507168079960354</v>
      </c>
      <c r="DI20" s="22">
        <f t="shared" si="15"/>
        <v>0.32263696450372981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2.9235042735042733</v>
      </c>
      <c r="DO20" s="12">
        <f>IF('Données projet'!$A$166&gt;35,DO19+DN20-DW19,IF(A20&lt;'Données projet'!$A$166,$DL$205^A20,IF(A20='Données projet'!$A$166,'Données projet'!$B$166,DO19+DN20-DW19)))</f>
        <v>12.619655315413629</v>
      </c>
      <c r="DP20" s="17">
        <f>DO20*VLOOKUP('Données projet'!$B$14,Paramètres!$A$1:$I$89,3,0)*VLOOKUP('Données projet'!$B$14,Paramètres!$A$1:$I$89,5,0)</f>
        <v>12.008863998147609</v>
      </c>
      <c r="DQ20" s="13">
        <f t="shared" si="43"/>
        <v>4.1438112682456767</v>
      </c>
      <c r="DR20" s="20">
        <f t="shared" si="16"/>
        <v>28.132576088968303</v>
      </c>
      <c r="DS20" s="59">
        <f t="shared" si="17"/>
        <v>237.49870040484103</v>
      </c>
      <c r="DT20" s="59">
        <f ca="1">AVERAGE(OFFSET($DS$3,0,0,'Données projet'!$E$14+1,1))-AVERAGE(OFFSET($H$3,0,0,'Données projet'!$E$14+1,1))</f>
        <v>403.89478276355294</v>
      </c>
      <c r="DU20" s="59">
        <f t="shared" si="44"/>
        <v>241.1593989733278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2.9235042735042733</v>
      </c>
      <c r="N21" s="13">
        <f>IF('Données projet'!$A$36&gt;35,N20+M21-V20,IF(A21&lt;'Données projet'!$A$36,$K$205^A21,IF(A21='Données projet'!$A$36,'Données projet'!$B$36,N20+M21-V20)))</f>
        <v>14.649236575865659</v>
      </c>
      <c r="O21" s="13">
        <f>N21*VLOOKUP('Données projet'!$B$9,Paramètres!$A$1:$I$89,3,0)*VLOOKUP('Données projet'!$B$9,Paramètres!$A$1:$I$89,5,0)</f>
        <v>13.254629253843246</v>
      </c>
      <c r="P21" s="13">
        <f t="shared" si="33"/>
        <v>4.5214326134467182</v>
      </c>
      <c r="Q21" s="20">
        <f t="shared" si="2"/>
        <v>30.959974418863357</v>
      </c>
      <c r="R21" s="59">
        <f t="shared" si="0"/>
        <v>242.72932761086648</v>
      </c>
      <c r="S21" s="59">
        <f ca="1">AVERAGE(OFFSET($R$3,0,0,'Données projet'!$E$9+1,1))-AVERAGE(OFFSET($H$3,0,0,'Données projet'!$E$9+1,1))</f>
        <v>388.1278150896951</v>
      </c>
      <c r="T21" s="59">
        <f t="shared" si="34"/>
        <v>232.26614607059227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2.9235042735042733</v>
      </c>
      <c r="AI21" s="13">
        <f>IF('Données projet'!$A$62&gt;35,AI20+AH21-AQ20,IF(A21&lt;'Données projet'!$A$62,$AF$205^A21,IF(A21='Données projet'!$A$62,'Données projet'!$B$62,AI20+AH21-AQ20)))</f>
        <v>14.649236575865659</v>
      </c>
      <c r="AJ21" s="13">
        <f>AI21*VLOOKUP('Données projet'!$B$10,Paramètres!$A$1:$I$89,3,0)*VLOOKUP('Données projet'!$B$10,Paramètres!$A$1:$I$89,5,0)</f>
        <v>14.85432588792778</v>
      </c>
      <c r="AK21" s="13">
        <f t="shared" si="35"/>
        <v>5.000360656159657</v>
      </c>
      <c r="AL21" s="20">
        <f t="shared" si="4"/>
        <v>34.580245730952278</v>
      </c>
      <c r="AM21" s="59">
        <f t="shared" si="5"/>
        <v>246.34959892295538</v>
      </c>
      <c r="AN21" s="59">
        <f ca="1">AVERAGE(OFFSET($AM$3,0,0,'Données projet'!$E$10+1,1))-AVERAGE(OFFSET($H$3,0,0,'Données projet'!$E$10+1,1))</f>
        <v>424.89201140676084</v>
      </c>
      <c r="AO21" s="59">
        <f t="shared" si="36"/>
        <v>253.0016648946303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0.9</v>
      </c>
      <c r="BD21" s="12">
        <f>IF('Données projet'!$A$88&gt;35,BD20+BC21-BL20,IF(A21&lt;'Données projet'!$A$88,$BA$205^A21,IF(A21='Données projet'!$A$88,'Données projet'!$B$88,BD20+BC21-BL20)))</f>
        <v>13.48171849440139</v>
      </c>
      <c r="BE21" s="13">
        <f>BD21*VLOOKUP('Données projet'!$B$11,Paramètres!$A$1:$I$89,3,0)*VLOOKUP('Données projet'!$B$11,Paramètres!$A$1:$I$89,5,0)</f>
        <v>11.777629276709055</v>
      </c>
      <c r="BF21" s="13">
        <f t="shared" si="37"/>
        <v>4.0732288167499631</v>
      </c>
      <c r="BG21" s="20">
        <f t="shared" si="7"/>
        <v>27.606911179441123</v>
      </c>
      <c r="BH21" s="59">
        <f t="shared" si="8"/>
        <v>239.37626437144422</v>
      </c>
      <c r="BI21" s="59">
        <f ca="1">AVERAGE(OFFSET($BH$3,0,0,'Données projet'!$E$11+1,1))-AVERAGE(OFFSET($H$3,0,0,'Données projet'!$E$11+1,1))</f>
        <v>218.97952644043698</v>
      </c>
      <c r="BJ21" s="59">
        <f t="shared" si="38"/>
        <v>204.10961748628714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4.4000000000000004</v>
      </c>
      <c r="BY21" s="12">
        <f>IF('Données projet'!$A$114&gt;35,BY20+BX21-CG20,IF(A21&lt;'Données projet'!$A$114,$BV$205^A21,IF(A21='Données projet'!$A$114,'Données projet'!$B$114,BY20+BX21-CG20)))</f>
        <v>45.199999999999996</v>
      </c>
      <c r="BZ21" s="13">
        <f>BY21*VLOOKUP('Données projet'!$B$12,Paramètres!$A$1:$I$89,3,0)*VLOOKUP('Données projet'!$B$12,Paramètres!$A$1:$I$89,5,0)</f>
        <v>36.666239999999995</v>
      </c>
      <c r="CA21" s="13">
        <f t="shared" si="39"/>
        <v>11.110608259650514</v>
      </c>
      <c r="CB21" s="20">
        <f t="shared" si="10"/>
        <v>83.211344052224632</v>
      </c>
      <c r="CC21" s="59">
        <f t="shared" si="11"/>
        <v>294.98069724422771</v>
      </c>
      <c r="CD21" s="59">
        <f ca="1">AVERAGE(OFFSET($CC$3,0,0,'Données projet'!$E$12+1,1))-AVERAGE(OFFSET($H$3,0,0,'Données projet'!$E$12+1,1))</f>
        <v>256.23994291192162</v>
      </c>
      <c r="CE21" s="59">
        <f t="shared" si="40"/>
        <v>207.9118653708222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8.4</v>
      </c>
      <c r="CT21" s="12">
        <f>IF('Données projet'!$A$140&gt;35,CT20+CS21-DB20,IF(A21&lt;'Données projet'!$A$140,$CQ$205^A21,IF(A21='Données projet'!$A$140,'Données projet'!$B$140,CT20+CS21-DB20)))</f>
        <v>51.199999999999996</v>
      </c>
      <c r="CU21" s="17">
        <f>CT21*VLOOKUP('Données projet'!$B$13,Paramètres!$A$1:$I$89,3,0)*VLOOKUP('Données projet'!$B$13,Paramètres!$A$1:$I$89,5,0)</f>
        <v>29.55264</v>
      </c>
      <c r="CV21" s="13">
        <f t="shared" si="41"/>
        <v>9.1827115189697679</v>
      </c>
      <c r="CW21" s="20">
        <f t="shared" si="13"/>
        <v>67.464070562205677</v>
      </c>
      <c r="CX21" s="59">
        <f t="shared" si="14"/>
        <v>279.23342375420879</v>
      </c>
      <c r="CY21" s="59">
        <f ca="1">AVERAGE(OFFSET($CX$3,0,0,'Données projet'!$E$13+1,1))-AVERAGE(OFFSET($H$3,0,0,'Données projet'!$E$13+1,1))</f>
        <v>205.74526926885287</v>
      </c>
      <c r="CZ21" s="59">
        <f t="shared" si="42"/>
        <v>201.56217137928999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7.5444256942255969E-2</v>
      </c>
      <c r="DH21" s="21">
        <f>EXP(-LN(2)/2)*DH20+(1-EXP(-LN(2)/2))/(LN(2)/2)*DB21*DE21*VLOOKUP('Données projet'!$B$13,Paramètres!$A$1:$I$89,3,0)*0.475*44/12</f>
        <v>0.17329184737018469</v>
      </c>
      <c r="DI21" s="22">
        <f t="shared" si="15"/>
        <v>0.24873610431244064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2.9235042735042733</v>
      </c>
      <c r="DO21" s="12">
        <f>IF('Données projet'!$A$166&gt;35,DO20+DN21-DW20,IF(A21&lt;'Données projet'!$A$166,$DL$205^A21,IF(A21='Données projet'!$A$166,'Données projet'!$B$166,DO20+DN21-DW20)))</f>
        <v>14.649236575865659</v>
      </c>
      <c r="DP21" s="17">
        <f>DO21*VLOOKUP('Données projet'!$B$14,Paramètres!$A$1:$I$89,3,0)*VLOOKUP('Données projet'!$B$14,Paramètres!$A$1:$I$89,5,0)</f>
        <v>13.94021352559376</v>
      </c>
      <c r="DQ21" s="13">
        <f t="shared" si="43"/>
        <v>4.7274672584788675</v>
      </c>
      <c r="DR21" s="20">
        <f t="shared" si="16"/>
        <v>32.512877365593162</v>
      </c>
      <c r="DS21" s="59">
        <f t="shared" si="17"/>
        <v>244.28223055759628</v>
      </c>
      <c r="DT21" s="59">
        <f ca="1">AVERAGE(OFFSET($DS$3,0,0,'Données projet'!$E$14+1,1))-AVERAGE(OFFSET($H$3,0,0,'Données projet'!$E$14+1,1))</f>
        <v>403.89478276355294</v>
      </c>
      <c r="DU21" s="59">
        <f t="shared" si="44"/>
        <v>241.1593989733278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2.9235042735042733</v>
      </c>
      <c r="N22" s="13">
        <f>IF('Données projet'!$A$36&gt;35,N21+M22-V21,IF(A22&lt;'Données projet'!$A$36,$K$205^A22,IF(A22='Données projet'!$A$36,'Données projet'!$B$36,N21+M22-V21)))</f>
        <v>17.005229294461625</v>
      </c>
      <c r="O22" s="13">
        <f>N22*VLOOKUP('Données projet'!$B$9,Paramètres!$A$1:$I$89,3,0)*VLOOKUP('Données projet'!$B$9,Paramètres!$A$1:$I$89,5,0)</f>
        <v>15.386331465628878</v>
      </c>
      <c r="P22" s="13">
        <f t="shared" si="33"/>
        <v>5.1582765859259734</v>
      </c>
      <c r="Q22" s="20">
        <f t="shared" si="2"/>
        <v>35.781859023124703</v>
      </c>
      <c r="R22" s="59">
        <f t="shared" si="0"/>
        <v>249.93395326614822</v>
      </c>
      <c r="S22" s="59">
        <f ca="1">AVERAGE(OFFSET($R$3,0,0,'Données projet'!$E$9+1,1))-AVERAGE(OFFSET($H$3,0,0,'Données projet'!$E$9+1,1))</f>
        <v>388.1278150896951</v>
      </c>
      <c r="T22" s="59">
        <f t="shared" si="34"/>
        <v>232.26614607059227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2.9235042735042733</v>
      </c>
      <c r="AI22" s="13">
        <f>IF('Données projet'!$A$62&gt;35,AI21+AH22-AQ21,IF(A22&lt;'Données projet'!$A$62,$AF$205^A22,IF(A22='Données projet'!$A$62,'Données projet'!$B$62,AI21+AH22-AQ21)))</f>
        <v>17.005229294461625</v>
      </c>
      <c r="AJ22" s="13">
        <f>AI22*VLOOKUP('Données projet'!$B$10,Paramètres!$A$1:$I$89,3,0)*VLOOKUP('Données projet'!$B$10,Paramètres!$A$1:$I$89,5,0)</f>
        <v>17.24330250458409</v>
      </c>
      <c r="AK22" s="13">
        <f t="shared" si="35"/>
        <v>5.7046616634614491</v>
      </c>
      <c r="AL22" s="20">
        <f t="shared" si="4"/>
        <v>39.967704259345972</v>
      </c>
      <c r="AM22" s="59">
        <f t="shared" si="5"/>
        <v>254.11979850236949</v>
      </c>
      <c r="AN22" s="59">
        <f ca="1">AVERAGE(OFFSET($AM$3,0,0,'Données projet'!$E$10+1,1))-AVERAGE(OFFSET($H$3,0,0,'Données projet'!$E$10+1,1))</f>
        <v>424.89201140676084</v>
      </c>
      <c r="AO22" s="59">
        <f t="shared" si="36"/>
        <v>253.0016648946303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0.9</v>
      </c>
      <c r="BD22" s="12">
        <f>IF('Données projet'!$A$88&gt;35,BD21+BC22-BL21,IF(A22&lt;'Données projet'!$A$88,$BA$205^A22,IF(A22='Données projet'!$A$88,'Données projet'!$B$88,BD21+BC22-BL21)))</f>
        <v>15.577898860219406</v>
      </c>
      <c r="BE22" s="13">
        <f>BD22*VLOOKUP('Données projet'!$B$11,Paramètres!$A$1:$I$89,3,0)*VLOOKUP('Données projet'!$B$11,Paramètres!$A$1:$I$89,5,0)</f>
        <v>13.608852444287676</v>
      </c>
      <c r="BF22" s="13">
        <f t="shared" si="37"/>
        <v>4.6280361954652021</v>
      </c>
      <c r="BG22" s="20">
        <f t="shared" si="7"/>
        <v>31.762581047569586</v>
      </c>
      <c r="BH22" s="59">
        <f t="shared" si="8"/>
        <v>245.91467529059312</v>
      </c>
      <c r="BI22" s="59">
        <f ca="1">AVERAGE(OFFSET($BH$3,0,0,'Données projet'!$E$11+1,1))-AVERAGE(OFFSET($H$3,0,0,'Données projet'!$E$11+1,1))</f>
        <v>218.97952644043698</v>
      </c>
      <c r="BJ22" s="59">
        <f t="shared" si="38"/>
        <v>204.10961748628714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4.4000000000000004</v>
      </c>
      <c r="BY22" s="12">
        <f>IF('Données projet'!$A$114&gt;35,BY21+BX22-CG21,IF(A22&lt;'Données projet'!$A$114,$BV$205^A22,IF(A22='Données projet'!$A$114,'Données projet'!$B$114,BY21+BX22-CG21)))</f>
        <v>49.599999999999994</v>
      </c>
      <c r="BZ22" s="13">
        <f>BY22*VLOOKUP('Données projet'!$B$12,Paramètres!$A$1:$I$89,3,0)*VLOOKUP('Données projet'!$B$12,Paramètres!$A$1:$I$89,5,0)</f>
        <v>40.235520000000001</v>
      </c>
      <c r="CA22" s="13">
        <f t="shared" si="39"/>
        <v>12.061050163607481</v>
      </c>
      <c r="CB22" s="20">
        <f t="shared" si="10"/>
        <v>91.083193034949701</v>
      </c>
      <c r="CC22" s="59">
        <f t="shared" si="11"/>
        <v>305.23528727797321</v>
      </c>
      <c r="CD22" s="59">
        <f ca="1">AVERAGE(OFFSET($CC$3,0,0,'Données projet'!$E$12+1,1))-AVERAGE(OFFSET($H$3,0,0,'Données projet'!$E$12+1,1))</f>
        <v>256.23994291192162</v>
      </c>
      <c r="CE22" s="59">
        <f t="shared" si="40"/>
        <v>207.9118653708222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8.4</v>
      </c>
      <c r="CT22" s="12">
        <f>IF('Données projet'!$A$140&gt;35,CT21+CS22-DB21,IF(A22&lt;'Données projet'!$A$140,$CQ$205^A22,IF(A22='Données projet'!$A$140,'Données projet'!$B$140,CT21+CS22-DB21)))</f>
        <v>59.599999999999994</v>
      </c>
      <c r="CU22" s="17">
        <f>CT22*VLOOKUP('Données projet'!$B$13,Paramètres!$A$1:$I$89,3,0)*VLOOKUP('Données projet'!$B$13,Paramètres!$A$1:$I$89,5,0)</f>
        <v>34.401119999999992</v>
      </c>
      <c r="CV22" s="13">
        <f t="shared" si="41"/>
        <v>10.501893226432676</v>
      </c>
      <c r="CW22" s="20">
        <f t="shared" si="13"/>
        <v>78.206081369370224</v>
      </c>
      <c r="CX22" s="59">
        <f t="shared" si="14"/>
        <v>292.35817561239378</v>
      </c>
      <c r="CY22" s="59">
        <f ca="1">AVERAGE(OFFSET($CX$3,0,0,'Données projet'!$E$13+1,1))-AVERAGE(OFFSET($H$3,0,0,'Données projet'!$E$13+1,1))</f>
        <v>205.74526926885287</v>
      </c>
      <c r="CZ22" s="59">
        <f t="shared" si="42"/>
        <v>201.56217137928999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7.3381229768728934E-2</v>
      </c>
      <c r="DH22" s="21">
        <f>EXP(-LN(2)/2)*DH21+(1-EXP(-LN(2)/2))/(LN(2)/2)*DB22*DE22*VLOOKUP('Données projet'!$B$13,Paramètres!$A$1:$I$89,3,0)*0.475*44/12</f>
        <v>0.12253584039980178</v>
      </c>
      <c r="DI22" s="22">
        <f t="shared" si="15"/>
        <v>0.19591707016853072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2.9235042735042733</v>
      </c>
      <c r="DO22" s="12">
        <f>IF('Données projet'!$A$166&gt;35,DO21+DN22-DW21,IF(A22&lt;'Données projet'!$A$166,$DL$205^A22,IF(A22='Données projet'!$A$166,'Données projet'!$B$166,DO21+DN22-DW21)))</f>
        <v>17.005229294461625</v>
      </c>
      <c r="DP22" s="17">
        <f>DO22*VLOOKUP('Données projet'!$B$14,Paramètres!$A$1:$I$89,3,0)*VLOOKUP('Données projet'!$B$14,Paramètres!$A$1:$I$89,5,0)</f>
        <v>16.182176196609682</v>
      </c>
      <c r="DQ22" s="13">
        <f t="shared" si="43"/>
        <v>5.3933312193176546</v>
      </c>
      <c r="DR22" s="20">
        <f t="shared" si="16"/>
        <v>37.57734208274011</v>
      </c>
      <c r="DS22" s="59">
        <f t="shared" si="17"/>
        <v>251.72943632576363</v>
      </c>
      <c r="DT22" s="59">
        <f ca="1">AVERAGE(OFFSET($DS$3,0,0,'Données projet'!$E$14+1,1))-AVERAGE(OFFSET($H$3,0,0,'Données projet'!$E$14+1,1))</f>
        <v>403.89478276355294</v>
      </c>
      <c r="DU22" s="59">
        <f t="shared" si="44"/>
        <v>241.1593989733278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2.9235042735042733</v>
      </c>
      <c r="N23" s="13">
        <f>IF('Données projet'!$A$36&gt;35,N22+M23-V22,IF(A23&lt;'Données projet'!$A$36,$K$205^A23,IF(A23='Données projet'!$A$36,'Données projet'!$B$36,N22+M23-V22)))</f>
        <v>19.740129245617538</v>
      </c>
      <c r="O23" s="13">
        <f>N23*VLOOKUP('Données projet'!$B$9,Paramètres!$A$1:$I$89,3,0)*VLOOKUP('Données projet'!$B$9,Paramètres!$A$1:$I$89,5,0)</f>
        <v>17.860868941434749</v>
      </c>
      <c r="P23" s="13">
        <f t="shared" si="33"/>
        <v>5.8848200585320249</v>
      </c>
      <c r="Q23" s="20">
        <f t="shared" si="2"/>
        <v>41.357075008275459</v>
      </c>
      <c r="R23" s="59">
        <f t="shared" si="0"/>
        <v>257.87177789517119</v>
      </c>
      <c r="S23" s="59">
        <f ca="1">AVERAGE(OFFSET($R$3,0,0,'Données projet'!$E$9+1,1))-AVERAGE(OFFSET($H$3,0,0,'Données projet'!$E$9+1,1))</f>
        <v>388.1278150896951</v>
      </c>
      <c r="T23" s="59">
        <f t="shared" si="34"/>
        <v>232.26614607059227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2.9235042735042733</v>
      </c>
      <c r="AI23" s="13">
        <f>IF('Données projet'!$A$62&gt;35,AI22+AH23-AQ22,IF(A23&lt;'Données projet'!$A$62,$AF$205^A23,IF(A23='Données projet'!$A$62,'Données projet'!$B$62,AI22+AH23-AQ22)))</f>
        <v>19.740129245617538</v>
      </c>
      <c r="AJ23" s="13">
        <f>AI23*VLOOKUP('Données projet'!$B$10,Paramètres!$A$1:$I$89,3,0)*VLOOKUP('Données projet'!$B$10,Paramètres!$A$1:$I$89,5,0)</f>
        <v>20.016491055056186</v>
      </c>
      <c r="AK23" s="13">
        <f t="shared" si="35"/>
        <v>6.5081634970626938</v>
      </c>
      <c r="AL23" s="20">
        <f t="shared" si="4"/>
        <v>46.197106678273713</v>
      </c>
      <c r="AM23" s="59">
        <f t="shared" si="5"/>
        <v>262.71180956516946</v>
      </c>
      <c r="AN23" s="59">
        <f ca="1">AVERAGE(OFFSET($AM$3,0,0,'Données projet'!$E$10+1,1))-AVERAGE(OFFSET($H$3,0,0,'Données projet'!$E$10+1,1))</f>
        <v>424.89201140676084</v>
      </c>
      <c r="AO23" s="59">
        <f t="shared" si="36"/>
        <v>253.0016648946303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18</v>
      </c>
      <c r="BB23" s="12">
        <f>VLOOKUP(A23,'Données projet'!$A$87:$I$107,9,0)</f>
        <v>0.9</v>
      </c>
      <c r="BC23" s="12">
        <f t="array" ref="BC23">INDEX(BB:BB,MIN(IF(ISNUMBER(BB23:BB219),ROW(BB23:BB219),"")))</f>
        <v>0.9</v>
      </c>
      <c r="BD23" s="12">
        <f>IF('Données projet'!$A$88&gt;35,BD22+BC23-BL22,IF(A23&lt;'Données projet'!$A$88,$BA$205^A23,IF(A23='Données projet'!$A$88,'Données projet'!$B$88,BD22+BC23-BL22)))</f>
        <v>18</v>
      </c>
      <c r="BE23" s="13">
        <f>BD23*VLOOKUP('Données projet'!$B$11,Paramètres!$A$1:$I$89,3,0)*VLOOKUP('Données projet'!$B$11,Paramètres!$A$1:$I$89,5,0)</f>
        <v>15.724800000000004</v>
      </c>
      <c r="BF23" s="13">
        <f t="shared" si="37"/>
        <v>5.2584129176484753</v>
      </c>
      <c r="BG23" s="20">
        <f t="shared" si="7"/>
        <v>36.545762498237771</v>
      </c>
      <c r="BH23" s="59">
        <f t="shared" si="8"/>
        <v>253.06046538513348</v>
      </c>
      <c r="BI23" s="59">
        <f ca="1">AVERAGE(OFFSET($BH$3,0,0,'Données projet'!$E$11+1,1))-AVERAGE(OFFSET($H$3,0,0,'Données projet'!$E$11+1,1))</f>
        <v>218.97952644043698</v>
      </c>
      <c r="BJ23" s="59">
        <f t="shared" si="38"/>
        <v>204.10961748628714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54</v>
      </c>
      <c r="BW23" s="12">
        <f>VLOOKUP(A23,'Données projet'!$A$113:$I$133,9,0)</f>
        <v>4.4000000000000004</v>
      </c>
      <c r="BX23" s="12">
        <f t="array" ref="BX23">INDEX(BW:BW,MIN(IF(ISNUMBER(BW23:BW219),ROW(BW23:BW219),"")))</f>
        <v>4.4000000000000004</v>
      </c>
      <c r="BY23" s="12">
        <f>IF('Données projet'!$A$114&gt;35,BY22+BX23-CG22,IF(A23&lt;'Données projet'!$A$114,$BV$205^A23,IF(A23='Données projet'!$A$114,'Données projet'!$B$114,BY22+BX23-CG22)))</f>
        <v>53.999999999999993</v>
      </c>
      <c r="BZ23" s="13">
        <f>BY23*VLOOKUP('Données projet'!$B$12,Paramètres!$A$1:$I$89,3,0)*VLOOKUP('Données projet'!$B$12,Paramètres!$A$1:$I$89,5,0)</f>
        <v>43.8048</v>
      </c>
      <c r="CA23" s="13">
        <f t="shared" si="39"/>
        <v>13.001714958042189</v>
      </c>
      <c r="CB23" s="20">
        <f t="shared" si="10"/>
        <v>98.938013551923461</v>
      </c>
      <c r="CC23" s="59">
        <f t="shared" si="11"/>
        <v>315.45271643881915</v>
      </c>
      <c r="CD23" s="59">
        <f ca="1">AVERAGE(OFFSET($CC$3,0,0,'Données projet'!$E$12+1,1))-AVERAGE(OFFSET($H$3,0,0,'Données projet'!$E$12+1,1))</f>
        <v>256.23994291192162</v>
      </c>
      <c r="CE23" s="59">
        <f t="shared" si="40"/>
        <v>207.9118653708222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9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0.3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2.0665503894453052</v>
      </c>
      <c r="CN23" s="22">
        <f t="shared" si="12"/>
        <v>2.0665503894453052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68</v>
      </c>
      <c r="CR23" s="12">
        <f>VLOOKUP(A23,'Données projet'!$A$139:$I$159,9,0)</f>
        <v>8.4</v>
      </c>
      <c r="CS23" s="12">
        <f t="array" ref="CS23">INDEX(CR:CR,MIN(IF(ISNUMBER(CR23:CR219),ROW(CR23:CR219),"")))</f>
        <v>8.4</v>
      </c>
      <c r="CT23" s="12">
        <f>IF('Données projet'!$A$140&gt;35,CT22+CS23-DB22,IF(A23&lt;'Données projet'!$A$140,$CQ$205^A23,IF(A23='Données projet'!$A$140,'Données projet'!$B$140,CT22+CS23-DB22)))</f>
        <v>68</v>
      </c>
      <c r="CU23" s="17">
        <f>CT23*VLOOKUP('Données projet'!$B$13,Paramètres!$A$1:$I$89,3,0)*VLOOKUP('Données projet'!$B$13,Paramètres!$A$1:$I$89,5,0)</f>
        <v>39.249600000000001</v>
      </c>
      <c r="CV23" s="13">
        <f t="shared" si="41"/>
        <v>11.799534614368666</v>
      </c>
      <c r="CW23" s="20">
        <f t="shared" si="13"/>
        <v>88.910576120025439</v>
      </c>
      <c r="CX23" s="59">
        <f t="shared" si="14"/>
        <v>305.42527900692119</v>
      </c>
      <c r="CY23" s="59">
        <f ca="1">AVERAGE(OFFSET($CX$3,0,0,'Données projet'!$E$13+1,1))-AVERAGE(OFFSET($H$3,0,0,'Données projet'!$E$13+1,1))</f>
        <v>205.74526926885287</v>
      </c>
      <c r="CZ23" s="59">
        <f t="shared" si="42"/>
        <v>201.56217137928999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7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4.3000000000000003E-2</v>
      </c>
      <c r="DE23" s="16">
        <f>IF(ISNA(VLOOKUP(A23,'Données projet'!$A$139:$I$159,7,0)),0%,VLOOKUP(A23,'Données projet'!$A$139:$I$159,7,0))</f>
        <v>0.3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0.2626797259736392</v>
      </c>
      <c r="DH23" s="21">
        <f>EXP(-LN(2)/2)*DH22+(1-EXP(-LN(2)/2))/(LN(2)/2)*DB23*DE23*VLOOKUP('Données projet'!$B$13,Paramètres!$A$1:$I$89,3,0)*0.475*44/12</f>
        <v>1.2303137674165754</v>
      </c>
      <c r="DI23" s="22">
        <f t="shared" si="15"/>
        <v>1.4929934933902147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2.9235042735042733</v>
      </c>
      <c r="DO23" s="12">
        <f>IF('Données projet'!$A$166&gt;35,DO22+DN23-DW22,IF(A23&lt;'Données projet'!$A$166,$DL$205^A23,IF(A23='Données projet'!$A$166,'Données projet'!$B$166,DO22+DN23-DW22)))</f>
        <v>19.740129245617538</v>
      </c>
      <c r="DP23" s="17">
        <f>DO23*VLOOKUP('Données projet'!$B$14,Paramètres!$A$1:$I$89,3,0)*VLOOKUP('Données projet'!$B$14,Paramètres!$A$1:$I$89,5,0)</f>
        <v>18.784706990129649</v>
      </c>
      <c r="DQ23" s="13">
        <f t="shared" si="43"/>
        <v>6.1529821468559378</v>
      </c>
      <c r="DR23" s="20">
        <f t="shared" si="16"/>
        <v>43.433141913583228</v>
      </c>
      <c r="DS23" s="59">
        <f t="shared" si="17"/>
        <v>259.94784480047895</v>
      </c>
      <c r="DT23" s="59">
        <f ca="1">AVERAGE(OFFSET($DS$3,0,0,'Données projet'!$E$14+1,1))-AVERAGE(OFFSET($H$3,0,0,'Données projet'!$E$14+1,1))</f>
        <v>403.89478276355294</v>
      </c>
      <c r="DU23" s="59">
        <f t="shared" si="44"/>
        <v>241.1593989733278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2.9235042735042733</v>
      </c>
      <c r="N24" s="13">
        <f>IF('Données projet'!$A$36&gt;35,N23+M24-V23,IF(A24&lt;'Données projet'!$A$36,$K$205^A24,IF(A24='Données projet'!$A$36,'Données projet'!$B$36,N23+M24-V23)))</f>
        <v>22.91487494147438</v>
      </c>
      <c r="O24" s="13">
        <f>N24*VLOOKUP('Données projet'!$B$9,Paramètres!$A$1:$I$89,3,0)*VLOOKUP('Données projet'!$B$9,Paramètres!$A$1:$I$89,5,0)</f>
        <v>20.733378847046019</v>
      </c>
      <c r="P24" s="13">
        <f t="shared" si="33"/>
        <v>6.713697209604776</v>
      </c>
      <c r="Q24" s="20">
        <f t="shared" si="2"/>
        <v>47.803657465333458</v>
      </c>
      <c r="R24" s="59">
        <f t="shared" si="0"/>
        <v>266.66118584120784</v>
      </c>
      <c r="S24" s="59">
        <f ca="1">AVERAGE(OFFSET($R$3,0,0,'Données projet'!$E$9+1,1))-AVERAGE(OFFSET($H$3,0,0,'Données projet'!$E$9+1,1))</f>
        <v>388.1278150896951</v>
      </c>
      <c r="T24" s="59">
        <f t="shared" si="34"/>
        <v>232.26614607059227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2.9235042735042733</v>
      </c>
      <c r="AI24" s="13">
        <f>IF('Données projet'!$A$62&gt;35,AI23+AH24-AQ23,IF(A24&lt;'Données projet'!$A$62,$AF$205^A24,IF(A24='Données projet'!$A$62,'Données projet'!$B$62,AI23+AH24-AQ23)))</f>
        <v>22.91487494147438</v>
      </c>
      <c r="AJ24" s="13">
        <f>AI24*VLOOKUP('Données projet'!$B$10,Paramètres!$A$1:$I$89,3,0)*VLOOKUP('Données projet'!$B$10,Paramètres!$A$1:$I$89,5,0)</f>
        <v>23.235683190655024</v>
      </c>
      <c r="AK24" s="13">
        <f t="shared" si="35"/>
        <v>7.4248385974916156</v>
      </c>
      <c r="AL24" s="20">
        <f t="shared" si="4"/>
        <v>53.400408781022065</v>
      </c>
      <c r="AM24" s="59">
        <f t="shared" si="5"/>
        <v>272.25793715689645</v>
      </c>
      <c r="AN24" s="59">
        <f ca="1">AVERAGE(OFFSET($AM$3,0,0,'Données projet'!$E$10+1,1))-AVERAGE(OFFSET($H$3,0,0,'Données projet'!$E$10+1,1))</f>
        <v>424.89201140676084</v>
      </c>
      <c r="AO24" s="59">
        <f t="shared" si="36"/>
        <v>253.0016648946303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7.6</v>
      </c>
      <c r="BD24" s="12">
        <f>IF('Données projet'!$A$88&gt;35,BD23+BC24-BL23,IF(A24&lt;'Données projet'!$A$88,$BA$205^A24,IF(A24='Données projet'!$A$88,'Données projet'!$B$88,BD23+BC24-BL23)))</f>
        <v>22.6</v>
      </c>
      <c r="BE24" s="13">
        <f>BD24*VLOOKUP('Données projet'!$B$11,Paramètres!$A$1:$I$89,3,0)*VLOOKUP('Données projet'!$B$11,Paramètres!$A$1:$I$89,5,0)</f>
        <v>19.743360000000003</v>
      </c>
      <c r="BF24" s="13">
        <f t="shared" si="37"/>
        <v>6.429632010050284</v>
      </c>
      <c r="BG24" s="20">
        <f t="shared" si="7"/>
        <v>45.584627750837576</v>
      </c>
      <c r="BH24" s="59">
        <f t="shared" si="8"/>
        <v>264.44215612671195</v>
      </c>
      <c r="BI24" s="59">
        <f ca="1">AVERAGE(OFFSET($BH$3,0,0,'Données projet'!$E$11+1,1))-AVERAGE(OFFSET($H$3,0,0,'Données projet'!$E$11+1,1))</f>
        <v>218.97952644043698</v>
      </c>
      <c r="BJ24" s="59">
        <f t="shared" si="38"/>
        <v>204.10961748628714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4.5999999999999996</v>
      </c>
      <c r="BY24" s="12">
        <f>IF('Données projet'!$A$114&gt;35,BY23+BX24-CG23,IF(A24&lt;'Données projet'!$A$114,$BV$205^A24,IF(A24='Données projet'!$A$114,'Données projet'!$B$114,BY23+BX24-CG23)))</f>
        <v>49.599999999999994</v>
      </c>
      <c r="BZ24" s="13">
        <f>BY24*VLOOKUP('Données projet'!$B$12,Paramètres!$A$1:$I$89,3,0)*VLOOKUP('Données projet'!$B$12,Paramètres!$A$1:$I$89,5,0)</f>
        <v>40.235520000000001</v>
      </c>
      <c r="CA24" s="13">
        <f t="shared" si="39"/>
        <v>12.061050163607481</v>
      </c>
      <c r="CB24" s="20">
        <f t="shared" si="10"/>
        <v>91.083193034949701</v>
      </c>
      <c r="CC24" s="59">
        <f t="shared" si="11"/>
        <v>309.9407214108241</v>
      </c>
      <c r="CD24" s="59">
        <f ca="1">AVERAGE(OFFSET($CC$3,0,0,'Données projet'!$E$12+1,1))-AVERAGE(OFFSET($H$3,0,0,'Données projet'!$E$12+1,1))</f>
        <v>256.23994291192162</v>
      </c>
      <c r="CE24" s="59">
        <f t="shared" si="40"/>
        <v>207.9118653708222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1.461271794040476</v>
      </c>
      <c r="CN24" s="22">
        <f t="shared" si="12"/>
        <v>1.461271794040476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6.6</v>
      </c>
      <c r="CT24" s="12">
        <f>IF('Données projet'!$A$140&gt;35,CT23+CS24-DB23,IF(A24&lt;'Données projet'!$A$140,$CQ$205^A24,IF(A24='Données projet'!$A$140,'Données projet'!$B$140,CT23+CS24-DB23)))</f>
        <v>67.599999999999994</v>
      </c>
      <c r="CU24" s="17">
        <f>CT24*VLOOKUP('Données projet'!$B$13,Paramètres!$A$1:$I$89,3,0)*VLOOKUP('Données projet'!$B$13,Paramètres!$A$1:$I$89,5,0)</f>
        <v>39.018719999999995</v>
      </c>
      <c r="CV24" s="13">
        <f t="shared" si="41"/>
        <v>11.73818375543658</v>
      </c>
      <c r="CW24" s="20">
        <f t="shared" si="13"/>
        <v>88.401607374052034</v>
      </c>
      <c r="CX24" s="59">
        <f t="shared" si="14"/>
        <v>307.25913574992643</v>
      </c>
      <c r="CY24" s="59">
        <f ca="1">AVERAGE(OFFSET($CX$3,0,0,'Données projet'!$E$13+1,1))-AVERAGE(OFFSET($H$3,0,0,'Données projet'!$E$13+1,1))</f>
        <v>205.74526926885287</v>
      </c>
      <c r="CZ24" s="59">
        <f t="shared" si="42"/>
        <v>201.56217137928999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0.25549673505316361</v>
      </c>
      <c r="DH24" s="21">
        <f>EXP(-LN(2)/2)*DH23+(1-EXP(-LN(2)/2))/(LN(2)/2)*DB24*DE24*VLOOKUP('Données projet'!$B$13,Paramètres!$A$1:$I$89,3,0)*0.475*44/12</f>
        <v>0.86996320792742932</v>
      </c>
      <c r="DI24" s="22">
        <f t="shared" si="15"/>
        <v>1.1254599429805929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2.9235042735042733</v>
      </c>
      <c r="DO24" s="12">
        <f>IF('Données projet'!$A$166&gt;35,DO23+DN24-DW23,IF(A24&lt;'Données projet'!$A$166,$DL$205^A24,IF(A24='Données projet'!$A$166,'Données projet'!$B$166,DO23+DN24-DW23)))</f>
        <v>22.91487494147438</v>
      </c>
      <c r="DP24" s="17">
        <f>DO24*VLOOKUP('Données projet'!$B$14,Paramètres!$A$1:$I$89,3,0)*VLOOKUP('Données projet'!$B$14,Paramètres!$A$1:$I$89,5,0)</f>
        <v>21.805794994307021</v>
      </c>
      <c r="DQ24" s="13">
        <f t="shared" si="43"/>
        <v>7.0196299392711321</v>
      </c>
      <c r="DR24" s="20">
        <f t="shared" si="16"/>
        <v>50.204281759315286</v>
      </c>
      <c r="DS24" s="59">
        <f t="shared" si="17"/>
        <v>269.06181013518966</v>
      </c>
      <c r="DT24" s="59">
        <f ca="1">AVERAGE(OFFSET($DS$3,0,0,'Données projet'!$E$14+1,1))-AVERAGE(OFFSET($H$3,0,0,'Données projet'!$E$14+1,1))</f>
        <v>403.89478276355294</v>
      </c>
      <c r="DU24" s="59">
        <f t="shared" si="44"/>
        <v>241.1593989733278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2.9235042735042733</v>
      </c>
      <c r="N25" s="13">
        <f>IF('Données projet'!$A$36&gt;35,N24+M25-V24,IF(A25&lt;'Données projet'!$A$36,$K$205^A25,IF(A25='Données projet'!$A$36,'Données projet'!$B$36,N24+M25-V24)))</f>
        <v>26.600205452048144</v>
      </c>
      <c r="O25" s="13">
        <f>N25*VLOOKUP('Données projet'!$B$9,Paramètres!$A$1:$I$89,3,0)*VLOOKUP('Données projet'!$B$9,Paramètres!$A$1:$I$89,5,0)</f>
        <v>24.06786589301316</v>
      </c>
      <c r="P25" s="13">
        <f t="shared" si="33"/>
        <v>7.6593217420310804</v>
      </c>
      <c r="Q25" s="20">
        <f t="shared" si="2"/>
        <v>55.258185131035383</v>
      </c>
      <c r="R25" s="59">
        <f t="shared" si="0"/>
        <v>276.43909903450378</v>
      </c>
      <c r="S25" s="59">
        <f ca="1">AVERAGE(OFFSET($R$3,0,0,'Données projet'!$E$9+1,1))-AVERAGE(OFFSET($H$3,0,0,'Données projet'!$E$9+1,1))</f>
        <v>388.1278150896951</v>
      </c>
      <c r="T25" s="59">
        <f t="shared" si="34"/>
        <v>232.26614607059227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2.9235042735042733</v>
      </c>
      <c r="AI25" s="13">
        <f>IF('Données projet'!$A$62&gt;35,AI24+AH25-AQ24,IF(A25&lt;'Données projet'!$A$62,$AF$205^A25,IF(A25='Données projet'!$A$62,'Données projet'!$B$62,AI24+AH25-AQ24)))</f>
        <v>26.600205452048144</v>
      </c>
      <c r="AJ25" s="13">
        <f>AI25*VLOOKUP('Données projet'!$B$10,Paramètres!$A$1:$I$89,3,0)*VLOOKUP('Données projet'!$B$10,Paramètres!$A$1:$I$89,5,0)</f>
        <v>26.972608328376822</v>
      </c>
      <c r="AK25" s="13">
        <f t="shared" si="35"/>
        <v>8.4706274241085247</v>
      </c>
      <c r="AL25" s="20">
        <f t="shared" si="4"/>
        <v>61.730302268911977</v>
      </c>
      <c r="AM25" s="59">
        <f t="shared" si="5"/>
        <v>282.91121617238036</v>
      </c>
      <c r="AN25" s="59">
        <f ca="1">AVERAGE(OFFSET($AM$3,0,0,'Données projet'!$E$10+1,1))-AVERAGE(OFFSET($H$3,0,0,'Données projet'!$E$10+1,1))</f>
        <v>424.89201140676084</v>
      </c>
      <c r="AO25" s="59">
        <f t="shared" si="36"/>
        <v>253.0016648946303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7.6</v>
      </c>
      <c r="BD25" s="12">
        <f>IF('Données projet'!$A$88&gt;35,BD24+BC25-BL24,IF(A25&lt;'Données projet'!$A$88,$BA$205^A25,IF(A25='Données projet'!$A$88,'Données projet'!$B$88,BD24+BC25-BL24)))</f>
        <v>30.200000000000003</v>
      </c>
      <c r="BE25" s="13">
        <f>BD25*VLOOKUP('Données projet'!$B$11,Paramètres!$A$1:$I$89,3,0)*VLOOKUP('Données projet'!$B$11,Paramètres!$A$1:$I$89,5,0)</f>
        <v>26.382720000000006</v>
      </c>
      <c r="BF25" s="13">
        <f t="shared" si="37"/>
        <v>8.3067288704829885</v>
      </c>
      <c r="BG25" s="20">
        <f t="shared" si="7"/>
        <v>60.41745678275786</v>
      </c>
      <c r="BH25" s="59">
        <f t="shared" si="8"/>
        <v>281.59837068622625</v>
      </c>
      <c r="BI25" s="59">
        <f ca="1">AVERAGE(OFFSET($BH$3,0,0,'Données projet'!$E$11+1,1))-AVERAGE(OFFSET($H$3,0,0,'Données projet'!$E$11+1,1))</f>
        <v>218.97952644043698</v>
      </c>
      <c r="BJ25" s="59">
        <f t="shared" si="38"/>
        <v>204.10961748628714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4.5999999999999996</v>
      </c>
      <c r="BY25" s="12">
        <f>IF('Données projet'!$A$114&gt;35,BY24+BX25-CG24,IF(A25&lt;'Données projet'!$A$114,$BV$205^A25,IF(A25='Données projet'!$A$114,'Données projet'!$B$114,BY24+BX25-CG24)))</f>
        <v>54.199999999999996</v>
      </c>
      <c r="BZ25" s="13">
        <f>BY25*VLOOKUP('Données projet'!$B$12,Paramètres!$A$1:$I$89,3,0)*VLOOKUP('Données projet'!$B$12,Paramètres!$A$1:$I$89,5,0)</f>
        <v>43.967039999999997</v>
      </c>
      <c r="CA25" s="13">
        <f t="shared" si="39"/>
        <v>13.044255114979855</v>
      </c>
      <c r="CB25" s="20">
        <f t="shared" si="10"/>
        <v>99.294672325256556</v>
      </c>
      <c r="CC25" s="59">
        <f t="shared" si="11"/>
        <v>320.47558622872498</v>
      </c>
      <c r="CD25" s="59">
        <f ca="1">AVERAGE(OFFSET($CC$3,0,0,'Données projet'!$E$12+1,1))-AVERAGE(OFFSET($H$3,0,0,'Données projet'!$E$12+1,1))</f>
        <v>256.23994291192162</v>
      </c>
      <c r="CE25" s="59">
        <f t="shared" si="40"/>
        <v>207.9118653708222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1.0332751947226526</v>
      </c>
      <c r="CN25" s="22">
        <f t="shared" si="12"/>
        <v>1.0332751947226526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6.6</v>
      </c>
      <c r="CT25" s="12">
        <f>IF('Données projet'!$A$140&gt;35,CT24+CS25-DB24,IF(A25&lt;'Données projet'!$A$140,$CQ$205^A25,IF(A25='Données projet'!$A$140,'Données projet'!$B$140,CT24+CS25-DB24)))</f>
        <v>74.199999999999989</v>
      </c>
      <c r="CU25" s="17">
        <f>CT25*VLOOKUP('Données projet'!$B$13,Paramètres!$A$1:$I$89,3,0)*VLOOKUP('Données projet'!$B$13,Paramètres!$A$1:$I$89,5,0)</f>
        <v>42.828239999999994</v>
      </c>
      <c r="CV25" s="13">
        <f t="shared" si="41"/>
        <v>12.745265713143199</v>
      </c>
      <c r="CW25" s="20">
        <f t="shared" si="13"/>
        <v>96.790522450391052</v>
      </c>
      <c r="CX25" s="59">
        <f t="shared" si="14"/>
        <v>317.97143635385942</v>
      </c>
      <c r="CY25" s="59">
        <f ca="1">AVERAGE(OFFSET($CX$3,0,0,'Données projet'!$E$13+1,1))-AVERAGE(OFFSET($H$3,0,0,'Données projet'!$E$13+1,1))</f>
        <v>205.74526926885287</v>
      </c>
      <c r="CZ25" s="59">
        <f t="shared" si="42"/>
        <v>201.56217137928999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0.24851016339714552</v>
      </c>
      <c r="DH25" s="21">
        <f>EXP(-LN(2)/2)*DH24+(1-EXP(-LN(2)/2))/(LN(2)/2)*DB25*DE25*VLOOKUP('Données projet'!$B$13,Paramètres!$A$1:$I$89,3,0)*0.475*44/12</f>
        <v>0.6151568837082878</v>
      </c>
      <c r="DI25" s="22">
        <f t="shared" si="15"/>
        <v>0.86366704710543329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2.9235042735042733</v>
      </c>
      <c r="DO25" s="12">
        <f>IF('Données projet'!$A$166&gt;35,DO24+DN25-DW24,IF(A25&lt;'Données projet'!$A$166,$DL$205^A25,IF(A25='Données projet'!$A$166,'Données projet'!$B$166,DO24+DN25-DW24)))</f>
        <v>26.600205452048144</v>
      </c>
      <c r="DP25" s="17">
        <f>DO25*VLOOKUP('Données projet'!$B$14,Paramètres!$A$1:$I$89,3,0)*VLOOKUP('Données projet'!$B$14,Paramètres!$A$1:$I$89,5,0)</f>
        <v>25.312755508169015</v>
      </c>
      <c r="DQ25" s="13">
        <f t="shared" si="43"/>
        <v>8.0083451094507705</v>
      </c>
      <c r="DR25" s="20">
        <f t="shared" si="16"/>
        <v>58.03425024235446</v>
      </c>
      <c r="DS25" s="59">
        <f t="shared" si="17"/>
        <v>279.21516414582288</v>
      </c>
      <c r="DT25" s="59">
        <f ca="1">AVERAGE(OFFSET($DS$3,0,0,'Données projet'!$E$14+1,1))-AVERAGE(OFFSET($H$3,0,0,'Données projet'!$E$14+1,1))</f>
        <v>403.89478276355294</v>
      </c>
      <c r="DU25" s="59">
        <f t="shared" si="44"/>
        <v>241.1593989733278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2.9235042735042733</v>
      </c>
      <c r="N26" s="13">
        <f>IF('Données projet'!$A$36&gt;35,N25+M26-V25,IF(A26&lt;'Données projet'!$A$36,$K$205^A26,IF(A26='Données projet'!$A$36,'Données projet'!$B$36,N25+M26-V25)))</f>
        <v>30.878236599516239</v>
      </c>
      <c r="O26" s="13">
        <f>N26*VLOOKUP('Données projet'!$B$9,Paramètres!$A$1:$I$89,3,0)*VLOOKUP('Données projet'!$B$9,Paramètres!$A$1:$I$89,5,0)</f>
        <v>27.938628475242293</v>
      </c>
      <c r="P26" s="13">
        <f t="shared" si="33"/>
        <v>8.7381375293515138</v>
      </c>
      <c r="Q26" s="20">
        <f t="shared" si="2"/>
        <v>63.878700791334211</v>
      </c>
      <c r="R26" s="59">
        <f t="shared" si="0"/>
        <v>287.36389750088074</v>
      </c>
      <c r="S26" s="59">
        <f ca="1">AVERAGE(OFFSET($R$3,0,0,'Données projet'!$E$9+1,1))-AVERAGE(OFFSET($H$3,0,0,'Données projet'!$E$9+1,1))</f>
        <v>388.1278150896951</v>
      </c>
      <c r="T26" s="59">
        <f t="shared" si="34"/>
        <v>232.26614607059227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2.9235042735042733</v>
      </c>
      <c r="AI26" s="13">
        <f>IF('Données projet'!$A$62&gt;35,AI25+AH26-AQ25,IF(A26&lt;'Données projet'!$A$62,$AF$205^A26,IF(A26='Données projet'!$A$62,'Données projet'!$B$62,AI25+AH26-AQ25)))</f>
        <v>30.878236599516239</v>
      </c>
      <c r="AJ26" s="13">
        <f>AI26*VLOOKUP('Données projet'!$B$10,Paramètres!$A$1:$I$89,3,0)*VLOOKUP('Données projet'!$B$10,Paramètres!$A$1:$I$89,5,0)</f>
        <v>31.310531911909472</v>
      </c>
      <c r="AK26" s="13">
        <f t="shared" si="35"/>
        <v>9.6637156506405031</v>
      </c>
      <c r="AL26" s="20">
        <f t="shared" si="4"/>
        <v>71.363481171441208</v>
      </c>
      <c r="AM26" s="59">
        <f t="shared" si="5"/>
        <v>294.84867788098768</v>
      </c>
      <c r="AN26" s="59">
        <f ca="1">AVERAGE(OFFSET($AM$3,0,0,'Données projet'!$E$10+1,1))-AVERAGE(OFFSET($H$3,0,0,'Données projet'!$E$10+1,1))</f>
        <v>424.89201140676084</v>
      </c>
      <c r="AO26" s="59">
        <f t="shared" si="36"/>
        <v>253.0016648946303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7.6</v>
      </c>
      <c r="BD26" s="12">
        <f>IF('Données projet'!$A$88&gt;35,BD25+BC26-BL25,IF(A26&lt;'Données projet'!$A$88,$BA$205^A26,IF(A26='Données projet'!$A$88,'Données projet'!$B$88,BD25+BC26-BL25)))</f>
        <v>37.800000000000004</v>
      </c>
      <c r="BE26" s="13">
        <f>BD26*VLOOKUP('Données projet'!$B$11,Paramètres!$A$1:$I$89,3,0)*VLOOKUP('Données projet'!$B$11,Paramètres!$A$1:$I$89,5,0)</f>
        <v>33.022080000000003</v>
      </c>
      <c r="BF26" s="13">
        <f t="shared" si="37"/>
        <v>10.129025278332465</v>
      </c>
      <c r="BG26" s="20">
        <f t="shared" si="7"/>
        <v>75.154841693095705</v>
      </c>
      <c r="BH26" s="59">
        <f t="shared" si="8"/>
        <v>298.64003840264218</v>
      </c>
      <c r="BI26" s="59">
        <f ca="1">AVERAGE(OFFSET($BH$3,0,0,'Données projet'!$E$11+1,1))-AVERAGE(OFFSET($H$3,0,0,'Données projet'!$E$11+1,1))</f>
        <v>218.97952644043698</v>
      </c>
      <c r="BJ26" s="59">
        <f t="shared" si="38"/>
        <v>204.10961748628714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4.5999999999999996</v>
      </c>
      <c r="BY26" s="12">
        <f>IF('Données projet'!$A$114&gt;35,BY25+BX26-CG25,IF(A26&lt;'Données projet'!$A$114,$BV$205^A26,IF(A26='Données projet'!$A$114,'Données projet'!$B$114,BY25+BX26-CG25)))</f>
        <v>58.8</v>
      </c>
      <c r="BZ26" s="13">
        <f>BY26*VLOOKUP('Données projet'!$B$12,Paramètres!$A$1:$I$89,3,0)*VLOOKUP('Données projet'!$B$12,Paramètres!$A$1:$I$89,5,0)</f>
        <v>47.698560000000001</v>
      </c>
      <c r="CA26" s="13">
        <f t="shared" si="39"/>
        <v>14.01778258224871</v>
      </c>
      <c r="CB26" s="20">
        <f t="shared" si="10"/>
        <v>107.48929666408317</v>
      </c>
      <c r="CC26" s="59">
        <f t="shared" si="11"/>
        <v>330.97449337362968</v>
      </c>
      <c r="CD26" s="59">
        <f ca="1">AVERAGE(OFFSET($CC$3,0,0,'Données projet'!$E$12+1,1))-AVERAGE(OFFSET($H$3,0,0,'Données projet'!$E$12+1,1))</f>
        <v>256.23994291192162</v>
      </c>
      <c r="CE26" s="59">
        <f t="shared" si="40"/>
        <v>207.9118653708222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0.73063589702023801</v>
      </c>
      <c r="CN26" s="22">
        <f t="shared" si="12"/>
        <v>0.73063589702023801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6.6</v>
      </c>
      <c r="CT26" s="12">
        <f>IF('Données projet'!$A$140&gt;35,CT25+CS26-DB25,IF(A26&lt;'Données projet'!$A$140,$CQ$205^A26,IF(A26='Données projet'!$A$140,'Données projet'!$B$140,CT25+CS26-DB25)))</f>
        <v>80.799999999999983</v>
      </c>
      <c r="CU26" s="17">
        <f>CT26*VLOOKUP('Données projet'!$B$13,Paramètres!$A$1:$I$89,3,0)*VLOOKUP('Données projet'!$B$13,Paramètres!$A$1:$I$89,5,0)</f>
        <v>46.637759999999993</v>
      </c>
      <c r="CV26" s="13">
        <f t="shared" si="41"/>
        <v>13.74196005303685</v>
      </c>
      <c r="CW26" s="20">
        <f t="shared" si="13"/>
        <v>105.16134575903915</v>
      </c>
      <c r="CX26" s="59">
        <f t="shared" si="14"/>
        <v>328.64654246858566</v>
      </c>
      <c r="CY26" s="59">
        <f ca="1">AVERAGE(OFFSET($CX$3,0,0,'Données projet'!$E$13+1,1))-AVERAGE(OFFSET($H$3,0,0,'Données projet'!$E$13+1,1))</f>
        <v>205.74526926885287</v>
      </c>
      <c r="CZ26" s="59">
        <f t="shared" si="42"/>
        <v>201.56217137928999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0.24171463991046907</v>
      </c>
      <c r="DH26" s="21">
        <f>EXP(-LN(2)/2)*DH25+(1-EXP(-LN(2)/2))/(LN(2)/2)*DB26*DE26*VLOOKUP('Données projet'!$B$13,Paramètres!$A$1:$I$89,3,0)*0.475*44/12</f>
        <v>0.43498160396371477</v>
      </c>
      <c r="DI26" s="22">
        <f t="shared" si="15"/>
        <v>0.67669624387418381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2.9235042735042733</v>
      </c>
      <c r="DO26" s="12">
        <f>IF('Données projet'!$A$166&gt;35,DO25+DN26-DW25,IF(A26&lt;'Données projet'!$A$166,$DL$205^A26,IF(A26='Données projet'!$A$166,'Données projet'!$B$166,DO25+DN26-DW25)))</f>
        <v>30.878236599516239</v>
      </c>
      <c r="DP26" s="17">
        <f>DO26*VLOOKUP('Données projet'!$B$14,Paramètres!$A$1:$I$89,3,0)*VLOOKUP('Données projet'!$B$14,Paramètres!$A$1:$I$89,5,0)</f>
        <v>29.383729948099653</v>
      </c>
      <c r="DQ26" s="13">
        <f t="shared" si="43"/>
        <v>9.1363208526521351</v>
      </c>
      <c r="DR26" s="20">
        <f t="shared" si="16"/>
        <v>67.089088477976034</v>
      </c>
      <c r="DS26" s="59">
        <f t="shared" si="17"/>
        <v>290.57428518752255</v>
      </c>
      <c r="DT26" s="59">
        <f ca="1">AVERAGE(OFFSET($DS$3,0,0,'Données projet'!$E$14+1,1))-AVERAGE(OFFSET($H$3,0,0,'Données projet'!$E$14+1,1))</f>
        <v>403.89478276355294</v>
      </c>
      <c r="DU26" s="59">
        <f t="shared" si="44"/>
        <v>241.1593989733278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2.9235042735042733</v>
      </c>
      <c r="N27" s="13">
        <f>IF('Données projet'!$A$36&gt;35,N26+M27-V26,IF(A27&lt;'Données projet'!$A$36,$K$205^A27,IF(A27='Données projet'!$A$36,'Données projet'!$B$36,N26+M27-V26)))</f>
        <v>35.844290647096855</v>
      </c>
      <c r="O27" s="13">
        <f>N27*VLOOKUP('Données projet'!$B$9,Paramètres!$A$1:$I$89,3,0)*VLOOKUP('Données projet'!$B$9,Paramètres!$A$1:$I$89,5,0)</f>
        <v>32.431914177493233</v>
      </c>
      <c r="P27" s="13">
        <f t="shared" si="33"/>
        <v>9.9689045653817558</v>
      </c>
      <c r="Q27" s="20">
        <f t="shared" si="2"/>
        <v>73.848092643840616</v>
      </c>
      <c r="R27" s="59">
        <f t="shared" si="0"/>
        <v>299.6188008274604</v>
      </c>
      <c r="S27" s="59">
        <f ca="1">AVERAGE(OFFSET($R$3,0,0,'Données projet'!$E$9+1,1))-AVERAGE(OFFSET($H$3,0,0,'Données projet'!$E$9+1,1))</f>
        <v>388.1278150896951</v>
      </c>
      <c r="T27" s="59">
        <f t="shared" si="34"/>
        <v>232.26614607059227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2.9235042735042733</v>
      </c>
      <c r="AI27" s="13">
        <f>IF('Données projet'!$A$62&gt;35,AI26+AH27-AQ26,IF(A27&lt;'Données projet'!$A$62,$AF$205^A27,IF(A27='Données projet'!$A$62,'Données projet'!$B$62,AI26+AH27-AQ26)))</f>
        <v>35.844290647096855</v>
      </c>
      <c r="AJ27" s="13">
        <f>AI27*VLOOKUP('Données projet'!$B$10,Paramètres!$A$1:$I$89,3,0)*VLOOKUP('Données projet'!$B$10,Paramètres!$A$1:$I$89,5,0)</f>
        <v>36.346110716156211</v>
      </c>
      <c r="AK27" s="13">
        <f t="shared" si="35"/>
        <v>11.024850403718778</v>
      </c>
      <c r="AL27" s="20">
        <f t="shared" si="4"/>
        <v>82.504423950448952</v>
      </c>
      <c r="AM27" s="59">
        <f t="shared" si="5"/>
        <v>308.27513213406877</v>
      </c>
      <c r="AN27" s="59">
        <f ca="1">AVERAGE(OFFSET($AM$3,0,0,'Données projet'!$E$10+1,1))-AVERAGE(OFFSET($H$3,0,0,'Données projet'!$E$10+1,1))</f>
        <v>424.89201140676084</v>
      </c>
      <c r="AO27" s="59">
        <f t="shared" si="36"/>
        <v>253.0016648946303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7.6</v>
      </c>
      <c r="BD27" s="12">
        <f>IF('Données projet'!$A$88&gt;35,BD26+BC27-BL26,IF(A27&lt;'Données projet'!$A$88,$BA$205^A27,IF(A27='Données projet'!$A$88,'Données projet'!$B$88,BD26+BC27-BL26)))</f>
        <v>45.400000000000006</v>
      </c>
      <c r="BE27" s="13">
        <f>BD27*VLOOKUP('Données projet'!$B$11,Paramètres!$A$1:$I$89,3,0)*VLOOKUP('Données projet'!$B$11,Paramètres!$A$1:$I$89,5,0)</f>
        <v>39.661440000000013</v>
      </c>
      <c r="BF27" s="13">
        <f t="shared" si="37"/>
        <v>11.908867197468041</v>
      </c>
      <c r="BG27" s="20">
        <f t="shared" si="7"/>
        <v>89.818285035590179</v>
      </c>
      <c r="BH27" s="59">
        <f t="shared" si="8"/>
        <v>315.58899321921001</v>
      </c>
      <c r="BI27" s="59">
        <f ca="1">AVERAGE(OFFSET($BH$3,0,0,'Données projet'!$E$11+1,1))-AVERAGE(OFFSET($H$3,0,0,'Données projet'!$E$11+1,1))</f>
        <v>218.97952644043698</v>
      </c>
      <c r="BJ27" s="59">
        <f t="shared" si="38"/>
        <v>204.10961748628714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4.5999999999999996</v>
      </c>
      <c r="BY27" s="12">
        <f>IF('Données projet'!$A$114&gt;35,BY26+BX27-CG26,IF(A27&lt;'Données projet'!$A$114,$BV$205^A27,IF(A27='Données projet'!$A$114,'Données projet'!$B$114,BY26+BX27-CG26)))</f>
        <v>63.4</v>
      </c>
      <c r="BZ27" s="13">
        <f>BY27*VLOOKUP('Données projet'!$B$12,Paramètres!$A$1:$I$89,3,0)*VLOOKUP('Données projet'!$B$12,Paramètres!$A$1:$I$89,5,0)</f>
        <v>51.430080000000004</v>
      </c>
      <c r="CA27" s="13">
        <f t="shared" si="39"/>
        <v>14.982475723681285</v>
      </c>
      <c r="CB27" s="20">
        <f t="shared" si="10"/>
        <v>115.66853455207824</v>
      </c>
      <c r="CC27" s="59">
        <f t="shared" si="11"/>
        <v>341.43924273569803</v>
      </c>
      <c r="CD27" s="59">
        <f ca="1">AVERAGE(OFFSET($CC$3,0,0,'Données projet'!$E$12+1,1))-AVERAGE(OFFSET($H$3,0,0,'Données projet'!$E$12+1,1))</f>
        <v>256.23994291192162</v>
      </c>
      <c r="CE27" s="59">
        <f t="shared" si="40"/>
        <v>207.9118653708222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0.51663759736132631</v>
      </c>
      <c r="CN27" s="22">
        <f t="shared" si="12"/>
        <v>0.51663759736132631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6.6</v>
      </c>
      <c r="CT27" s="12">
        <f>IF('Données projet'!$A$140&gt;35,CT26+CS27-DB26,IF(A27&lt;'Données projet'!$A$140,$CQ$205^A27,IF(A27='Données projet'!$A$140,'Données projet'!$B$140,CT26+CS27-DB26)))</f>
        <v>87.399999999999977</v>
      </c>
      <c r="CU27" s="17">
        <f>CT27*VLOOKUP('Données projet'!$B$13,Paramètres!$A$1:$I$89,3,0)*VLOOKUP('Données projet'!$B$13,Paramètres!$A$1:$I$89,5,0)</f>
        <v>50.447279999999992</v>
      </c>
      <c r="CV27" s="13">
        <f t="shared" si="41"/>
        <v>14.729211733728633</v>
      </c>
      <c r="CW27" s="20">
        <f t="shared" si="13"/>
        <v>113.51572310291067</v>
      </c>
      <c r="CX27" s="59">
        <f t="shared" si="14"/>
        <v>339.2864312865305</v>
      </c>
      <c r="CY27" s="59">
        <f ca="1">AVERAGE(OFFSET($CX$3,0,0,'Données projet'!$E$13+1,1))-AVERAGE(OFFSET($H$3,0,0,'Données projet'!$E$13+1,1))</f>
        <v>205.74526926885287</v>
      </c>
      <c r="CZ27" s="59">
        <f t="shared" si="42"/>
        <v>201.56217137928999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0.23510494037089683</v>
      </c>
      <c r="DH27" s="21">
        <f>EXP(-LN(2)/2)*DH26+(1-EXP(-LN(2)/2))/(LN(2)/2)*DB27*DE27*VLOOKUP('Données projet'!$B$13,Paramètres!$A$1:$I$89,3,0)*0.475*44/12</f>
        <v>0.30757844185414396</v>
      </c>
      <c r="DI27" s="22">
        <f t="shared" si="15"/>
        <v>0.54268338222504076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2.9235042735042733</v>
      </c>
      <c r="DO27" s="12">
        <f>IF('Données projet'!$A$166&gt;35,DO26+DN27-DW26,IF(A27&lt;'Données projet'!$A$166,$DL$205^A27,IF(A27='Données projet'!$A$166,'Données projet'!$B$166,DO26+DN27-DW26)))</f>
        <v>35.844290647096855</v>
      </c>
      <c r="DP27" s="17">
        <f>DO27*VLOOKUP('Données projet'!$B$14,Paramètres!$A$1:$I$89,3,0)*VLOOKUP('Données projet'!$B$14,Paramètres!$A$1:$I$89,5,0)</f>
        <v>34.109426979777368</v>
      </c>
      <c r="DQ27" s="13">
        <f t="shared" si="43"/>
        <v>10.423172026402712</v>
      </c>
      <c r="DR27" s="20">
        <f t="shared" si="16"/>
        <v>77.560943269096967</v>
      </c>
      <c r="DS27" s="59">
        <f t="shared" si="17"/>
        <v>303.33165145271676</v>
      </c>
      <c r="DT27" s="59">
        <f ca="1">AVERAGE(OFFSET($DS$3,0,0,'Données projet'!$E$14+1,1))-AVERAGE(OFFSET($H$3,0,0,'Données projet'!$E$14+1,1))</f>
        <v>403.89478276355294</v>
      </c>
      <c r="DU27" s="59">
        <f t="shared" si="44"/>
        <v>241.1593989733278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2.9235042735042733</v>
      </c>
      <c r="N28" s="13">
        <f>IF('Données projet'!$A$36&gt;35,N27+M28-V27,IF(A28&lt;'Données projet'!$A$36,$K$205^A28,IF(A28='Données projet'!$A$36,'Données projet'!$B$36,N27+M28-V27)))</f>
        <v>41.609020251295185</v>
      </c>
      <c r="O28" s="13">
        <f>N28*VLOOKUP('Données projet'!$B$9,Paramètres!$A$1:$I$89,3,0)*VLOOKUP('Données projet'!$B$9,Paramètres!$A$1:$I$89,5,0)</f>
        <v>37.647841523371881</v>
      </c>
      <c r="P28" s="13">
        <f t="shared" si="33"/>
        <v>11.373025189850091</v>
      </c>
      <c r="Q28" s="20">
        <f t="shared" si="2"/>
        <v>85.37800952552827</v>
      </c>
      <c r="R28" s="59">
        <f t="shared" si="0"/>
        <v>313.4157834918604</v>
      </c>
      <c r="S28" s="59">
        <f ca="1">AVERAGE(OFFSET($R$3,0,0,'Données projet'!$E$9+1,1))-AVERAGE(OFFSET($H$3,0,0,'Données projet'!$E$9+1,1))</f>
        <v>388.1278150896951</v>
      </c>
      <c r="T28" s="59">
        <f t="shared" si="34"/>
        <v>232.26614607059227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2.9235042735042733</v>
      </c>
      <c r="AI28" s="13">
        <f>IF('Données projet'!$A$62&gt;35,AI27+AH28-AQ27,IF(A28&lt;'Données projet'!$A$62,$AF$205^A28,IF(A28='Données projet'!$A$62,'Données projet'!$B$62,AI27+AH28-AQ27)))</f>
        <v>41.609020251295185</v>
      </c>
      <c r="AJ28" s="13">
        <f>AI28*VLOOKUP('Données projet'!$B$10,Paramètres!$A$1:$I$89,3,0)*VLOOKUP('Données projet'!$B$10,Paramètres!$A$1:$I$89,5,0)</f>
        <v>42.19154653481332</v>
      </c>
      <c r="AK28" s="13">
        <f t="shared" si="35"/>
        <v>12.577701043627256</v>
      </c>
      <c r="AL28" s="20">
        <f t="shared" si="4"/>
        <v>95.389772865783996</v>
      </c>
      <c r="AM28" s="59">
        <f t="shared" si="5"/>
        <v>323.42754683211609</v>
      </c>
      <c r="AN28" s="59">
        <f ca="1">AVERAGE(OFFSET($AM$3,0,0,'Données projet'!$E$10+1,1))-AVERAGE(OFFSET($H$3,0,0,'Données projet'!$E$10+1,1))</f>
        <v>424.89201140676084</v>
      </c>
      <c r="AO28" s="59">
        <f t="shared" si="36"/>
        <v>253.0016648946303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53</v>
      </c>
      <c r="BB28" s="12">
        <f>VLOOKUP(A28,'Données projet'!$A$87:$I$107,9,0)</f>
        <v>7.6</v>
      </c>
      <c r="BC28" s="12">
        <f t="array" ref="BC28">INDEX(BB:BB,MIN(IF(ISNUMBER(BB28:BB224),ROW(BB28:BB224),"")))</f>
        <v>7.6</v>
      </c>
      <c r="BD28" s="12">
        <f>IF('Données projet'!$A$88&gt;35,BD27+BC28-BL27,IF(A28&lt;'Données projet'!$A$88,$BA$205^A28,IF(A28='Données projet'!$A$88,'Données projet'!$B$88,BD27+BC28-BL27)))</f>
        <v>53.000000000000007</v>
      </c>
      <c r="BE28" s="13">
        <f>BD28*VLOOKUP('Données projet'!$B$11,Paramètres!$A$1:$I$89,3,0)*VLOOKUP('Données projet'!$B$11,Paramètres!$A$1:$I$89,5,0)</f>
        <v>46.30080000000001</v>
      </c>
      <c r="BF28" s="13">
        <f t="shared" si="37"/>
        <v>13.654193684451666</v>
      </c>
      <c r="BG28" s="20">
        <f t="shared" si="7"/>
        <v>104.42161400042001</v>
      </c>
      <c r="BH28" s="59">
        <f t="shared" si="8"/>
        <v>332.4593879667521</v>
      </c>
      <c r="BI28" s="59">
        <f ca="1">AVERAGE(OFFSET($BH$3,0,0,'Données projet'!$E$11+1,1))-AVERAGE(OFFSET($H$3,0,0,'Données projet'!$E$11+1,1))</f>
        <v>218.97952644043698</v>
      </c>
      <c r="BJ28" s="59">
        <f t="shared" si="38"/>
        <v>204.10961748628714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14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68</v>
      </c>
      <c r="BW28" s="12">
        <f>VLOOKUP(A28,'Données projet'!$A$113:$I$133,9,0)</f>
        <v>4.5999999999999996</v>
      </c>
      <c r="BX28" s="12">
        <f t="array" ref="BX28">INDEX(BW:BW,MIN(IF(ISNUMBER(BW28:BW224),ROW(BW28:BW224),"")))</f>
        <v>4.5999999999999996</v>
      </c>
      <c r="BY28" s="12">
        <f>IF('Données projet'!$A$114&gt;35,BY27+BX28-CG27,IF(A28&lt;'Données projet'!$A$114,$BV$205^A28,IF(A28='Données projet'!$A$114,'Données projet'!$B$114,BY27+BX28-CG27)))</f>
        <v>68</v>
      </c>
      <c r="BZ28" s="13">
        <f>BY28*VLOOKUP('Données projet'!$B$12,Paramètres!$A$1:$I$89,3,0)*VLOOKUP('Données projet'!$B$12,Paramètres!$A$1:$I$89,5,0)</f>
        <v>55.1616</v>
      </c>
      <c r="CA28" s="13">
        <f t="shared" si="39"/>
        <v>15.939048410367359</v>
      </c>
      <c r="CB28" s="20">
        <f t="shared" si="10"/>
        <v>123.83362931472313</v>
      </c>
      <c r="CC28" s="59">
        <f t="shared" si="11"/>
        <v>351.87140328105522</v>
      </c>
      <c r="CD28" s="59">
        <f ca="1">AVERAGE(OFFSET($CC$3,0,0,'Données projet'!$E$12+1,1))-AVERAGE(OFFSET($H$3,0,0,'Données projet'!$E$12+1,1))</f>
        <v>256.23994291192162</v>
      </c>
      <c r="CE28" s="59">
        <f t="shared" si="40"/>
        <v>207.9118653708222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0.3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2.202251628017057</v>
      </c>
      <c r="CN28" s="22">
        <f t="shared" si="12"/>
        <v>2.202251628017057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94</v>
      </c>
      <c r="CR28" s="12">
        <f>VLOOKUP(A28,'Données projet'!$A$139:$I$159,9,0)</f>
        <v>6.6</v>
      </c>
      <c r="CS28" s="12">
        <f t="array" ref="CS28">INDEX(CR:CR,MIN(IF(ISNUMBER(CR28:CR224),ROW(CR28:CR224),"")))</f>
        <v>6.6</v>
      </c>
      <c r="CT28" s="12">
        <f>IF('Données projet'!$A$140&gt;35,CT27+CS28-DB27,IF(A28&lt;'Données projet'!$A$140,$CQ$205^A28,IF(A28='Données projet'!$A$140,'Données projet'!$B$140,CT27+CS28-DB27)))</f>
        <v>93.999999999999972</v>
      </c>
      <c r="CU28" s="17">
        <f>CT28*VLOOKUP('Données projet'!$B$13,Paramètres!$A$1:$I$89,3,0)*VLOOKUP('Données projet'!$B$13,Paramètres!$A$1:$I$89,5,0)</f>
        <v>54.256799999999984</v>
      </c>
      <c r="CV28" s="13">
        <f t="shared" si="41"/>
        <v>15.707814895473716</v>
      </c>
      <c r="CW28" s="20">
        <f t="shared" si="13"/>
        <v>121.85503760961667</v>
      </c>
      <c r="CX28" s="59">
        <f t="shared" si="14"/>
        <v>349.89281157594877</v>
      </c>
      <c r="CY28" s="59">
        <f ca="1">AVERAGE(OFFSET($CX$3,0,0,'Données projet'!$E$13+1,1))-AVERAGE(OFFSET($H$3,0,0,'Données projet'!$E$13+1,1))</f>
        <v>205.74526926885287</v>
      </c>
      <c r="CZ28" s="59">
        <f t="shared" si="42"/>
        <v>201.56217137928999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14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4.3000000000000003E-2</v>
      </c>
      <c r="DE28" s="16">
        <f>IF(ISNA(VLOOKUP(A28,'Données projet'!$A$139:$I$159,7,0)),0%,VLOOKUP(A28,'Données projet'!$A$139:$I$159,7,0))</f>
        <v>0.3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0.61128620299659786</v>
      </c>
      <c r="DH28" s="21">
        <f>EXP(-LN(2)/2)*DH27+(1-EXP(-LN(2)/2))/(LN(2)/2)*DB28*DE28*VLOOKUP('Données projet'!$B$13,Paramètres!$A$1:$I$89,3,0)*0.475*44/12</f>
        <v>2.5048264894448238</v>
      </c>
      <c r="DI28" s="22">
        <f t="shared" si="15"/>
        <v>3.1161126924414217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2.9235042735042733</v>
      </c>
      <c r="DO28" s="12">
        <f>IF('Données projet'!$A$166&gt;35,DO27+DN28-DW27,IF(A28&lt;'Données projet'!$A$166,$DL$205^A28,IF(A28='Données projet'!$A$166,'Données projet'!$B$166,DO27+DN28-DW27)))</f>
        <v>41.609020251295185</v>
      </c>
      <c r="DP28" s="17">
        <f>DO28*VLOOKUP('Données projet'!$B$14,Paramètres!$A$1:$I$89,3,0)*VLOOKUP('Données projet'!$B$14,Paramètres!$A$1:$I$89,5,0)</f>
        <v>39.595143671132497</v>
      </c>
      <c r="DQ28" s="13">
        <f t="shared" si="43"/>
        <v>11.891276241732113</v>
      </c>
      <c r="DR28" s="20">
        <f t="shared" si="16"/>
        <v>89.672181348239192</v>
      </c>
      <c r="DS28" s="59">
        <f t="shared" si="17"/>
        <v>317.70995531457129</v>
      </c>
      <c r="DT28" s="59">
        <f ca="1">AVERAGE(OFFSET($DS$3,0,0,'Données projet'!$E$14+1,1))-AVERAGE(OFFSET($H$3,0,0,'Données projet'!$E$14+1,1))</f>
        <v>403.89478276355294</v>
      </c>
      <c r="DU28" s="59">
        <f t="shared" si="44"/>
        <v>241.1593989733278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2.9235042735042733</v>
      </c>
      <c r="N29" s="13">
        <f>IF('Données projet'!$A$36&gt;35,N28+M29-V28,IF(A29&lt;'Données projet'!$A$36,$K$205^A29,IF(A29='Données projet'!$A$36,'Données projet'!$B$36,N28+M29-V28)))</f>
        <v>48.30087400300993</v>
      </c>
      <c r="O29" s="13">
        <f>N29*VLOOKUP('Données projet'!$B$9,Paramètres!$A$1:$I$89,3,0)*VLOOKUP('Données projet'!$B$9,Paramètres!$A$1:$I$89,5,0)</f>
        <v>43.702630797923383</v>
      </c>
      <c r="P29" s="13">
        <f t="shared" si="33"/>
        <v>12.974916262929579</v>
      </c>
      <c r="Q29" s="20">
        <f t="shared" si="2"/>
        <v>98.71339446431891</v>
      </c>
      <c r="R29" s="59">
        <f t="shared" si="0"/>
        <v>329.00010851350908</v>
      </c>
      <c r="S29" s="59">
        <f ca="1">AVERAGE(OFFSET($R$3,0,0,'Données projet'!$E$9+1,1))-AVERAGE(OFFSET($H$3,0,0,'Données projet'!$E$9+1,1))</f>
        <v>388.1278150896951</v>
      </c>
      <c r="T29" s="59">
        <f t="shared" si="34"/>
        <v>232.26614607059227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2.9235042735042733</v>
      </c>
      <c r="AI29" s="13">
        <f>IF('Données projet'!$A$62&gt;35,AI28+AH29-AQ28,IF(A29&lt;'Données projet'!$A$62,$AF$205^A29,IF(A29='Données projet'!$A$62,'Données projet'!$B$62,AI28+AH29-AQ28)))</f>
        <v>48.30087400300993</v>
      </c>
      <c r="AJ29" s="13">
        <f>AI29*VLOOKUP('Données projet'!$B$10,Paramètres!$A$1:$I$89,3,0)*VLOOKUP('Données projet'!$B$10,Paramètres!$A$1:$I$89,5,0)</f>
        <v>48.97708623905207</v>
      </c>
      <c r="AK29" s="13">
        <f t="shared" si="35"/>
        <v>14.34927076103458</v>
      </c>
      <c r="AL29" s="20">
        <f t="shared" si="4"/>
        <v>110.29340510848425</v>
      </c>
      <c r="AM29" s="59">
        <f t="shared" si="5"/>
        <v>340.5801191576744</v>
      </c>
      <c r="AN29" s="59">
        <f ca="1">AVERAGE(OFFSET($AM$3,0,0,'Données projet'!$E$10+1,1))-AVERAGE(OFFSET($H$3,0,0,'Données projet'!$E$10+1,1))</f>
        <v>424.89201140676084</v>
      </c>
      <c r="AO29" s="59">
        <f t="shared" si="36"/>
        <v>253.0016648946303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7.4</v>
      </c>
      <c r="BD29" s="12">
        <f>IF('Données projet'!$A$88&gt;35,BD28+BC29-BL28,IF(A29&lt;'Données projet'!$A$88,$BA$205^A29,IF(A29='Données projet'!$A$88,'Données projet'!$B$88,BD28+BC29-BL28)))</f>
        <v>46.400000000000006</v>
      </c>
      <c r="BE29" s="13">
        <f>BD29*VLOOKUP('Données projet'!$B$11,Paramètres!$A$1:$I$89,3,0)*VLOOKUP('Données projet'!$B$11,Paramètres!$A$1:$I$89,5,0)</f>
        <v>40.535040000000009</v>
      </c>
      <c r="BF29" s="13">
        <f t="shared" si="37"/>
        <v>12.140349464730924</v>
      </c>
      <c r="BG29" s="20">
        <f t="shared" si="7"/>
        <v>91.742969984406372</v>
      </c>
      <c r="BH29" s="59">
        <f t="shared" si="8"/>
        <v>322.02968403359654</v>
      </c>
      <c r="BI29" s="59">
        <f ca="1">AVERAGE(OFFSET($BH$3,0,0,'Données projet'!$E$11+1,1))-AVERAGE(OFFSET($H$3,0,0,'Données projet'!$E$11+1,1))</f>
        <v>218.97952644043698</v>
      </c>
      <c r="BJ29" s="59">
        <f t="shared" si="38"/>
        <v>204.10961748628714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4.8</v>
      </c>
      <c r="BY29" s="12">
        <f>IF('Données projet'!$A$114&gt;35,BY28+BX29-CG28,IF(A29&lt;'Données projet'!$A$114,$BV$205^A29,IF(A29='Données projet'!$A$114,'Données projet'!$B$114,BY28+BX29-CG28)))</f>
        <v>64.8</v>
      </c>
      <c r="BZ29" s="13">
        <f>BY29*VLOOKUP('Données projet'!$B$12,Paramètres!$A$1:$I$89,3,0)*VLOOKUP('Données projet'!$B$12,Paramètres!$A$1:$I$89,5,0)</f>
        <v>52.565759999999997</v>
      </c>
      <c r="CA29" s="13">
        <f t="shared" si="39"/>
        <v>15.274436227502857</v>
      </c>
      <c r="CB29" s="20">
        <f t="shared" si="10"/>
        <v>118.15500842956747</v>
      </c>
      <c r="CC29" s="59">
        <f t="shared" si="11"/>
        <v>348.44172247875764</v>
      </c>
      <c r="CD29" s="59">
        <f ca="1">AVERAGE(OFFSET($CC$3,0,0,'Données projet'!$E$12+1,1))-AVERAGE(OFFSET($H$3,0,0,'Données projet'!$E$12+1,1))</f>
        <v>256.23994291192162</v>
      </c>
      <c r="CE29" s="59">
        <f t="shared" si="40"/>
        <v>207.9118653708222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1.5572270600499754</v>
      </c>
      <c r="CN29" s="22">
        <f t="shared" si="12"/>
        <v>1.5572270600499754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6.6</v>
      </c>
      <c r="CT29" s="12">
        <f>IF('Données projet'!$A$140&gt;35,CT28+CS29-DB28,IF(A29&lt;'Données projet'!$A$140,$CQ$205^A29,IF(A29='Données projet'!$A$140,'Données projet'!$B$140,CT28+CS29-DB28)))</f>
        <v>86.599999999999966</v>
      </c>
      <c r="CU29" s="17">
        <f>CT29*VLOOKUP('Données projet'!$B$13,Paramètres!$A$1:$I$89,3,0)*VLOOKUP('Données projet'!$B$13,Paramètres!$A$1:$I$89,5,0)</f>
        <v>49.98551999999998</v>
      </c>
      <c r="CV29" s="13">
        <f t="shared" si="41"/>
        <v>14.610020077274394</v>
      </c>
      <c r="CW29" s="20">
        <f t="shared" si="13"/>
        <v>112.50389896791954</v>
      </c>
      <c r="CX29" s="59">
        <f t="shared" si="14"/>
        <v>342.79061301710971</v>
      </c>
      <c r="CY29" s="59">
        <f ca="1">AVERAGE(OFFSET($CX$3,0,0,'Données projet'!$E$13+1,1))-AVERAGE(OFFSET($H$3,0,0,'Données projet'!$E$13+1,1))</f>
        <v>205.74526926885287</v>
      </c>
      <c r="CZ29" s="59">
        <f t="shared" si="42"/>
        <v>201.56217137928999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0.59457054962951161</v>
      </c>
      <c r="DH29" s="21">
        <f>EXP(-LN(2)/2)*DH28+(1-EXP(-LN(2)/2))/(LN(2)/2)*DB29*DE29*VLOOKUP('Données projet'!$B$13,Paramètres!$A$1:$I$89,3,0)*0.475*44/12</f>
        <v>1.7711797963821292</v>
      </c>
      <c r="DI29" s="22">
        <f t="shared" si="15"/>
        <v>2.3657503460116409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2.9235042735042733</v>
      </c>
      <c r="DO29" s="12">
        <f>IF('Données projet'!$A$166&gt;35,DO28+DN29-DW28,IF(A29&lt;'Données projet'!$A$166,$DL$205^A29,IF(A29='Données projet'!$A$166,'Données projet'!$B$166,DO28+DN29-DW28)))</f>
        <v>48.30087400300993</v>
      </c>
      <c r="DP29" s="17">
        <f>DO29*VLOOKUP('Données projet'!$B$14,Paramètres!$A$1:$I$89,3,0)*VLOOKUP('Données projet'!$B$14,Paramètres!$A$1:$I$89,5,0)</f>
        <v>45.963111701264246</v>
      </c>
      <c r="DQ29" s="13">
        <f t="shared" si="43"/>
        <v>13.566162997118258</v>
      </c>
      <c r="DR29" s="20">
        <f t="shared" si="16"/>
        <v>103.68015343301619</v>
      </c>
      <c r="DS29" s="59">
        <f t="shared" si="17"/>
        <v>333.96686748220634</v>
      </c>
      <c r="DT29" s="59">
        <f ca="1">AVERAGE(OFFSET($DS$3,0,0,'Données projet'!$E$14+1,1))-AVERAGE(OFFSET($H$3,0,0,'Données projet'!$E$14+1,1))</f>
        <v>403.89478276355294</v>
      </c>
      <c r="DU29" s="59">
        <f t="shared" si="44"/>
        <v>241.1593989733278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2.9235042735042733</v>
      </c>
      <c r="N30" s="13">
        <f>IF('Données projet'!$A$36&gt;35,N29+M30-V29,IF(A30&lt;'Données projet'!$A$36,$K$205^A30,IF(A30='Données projet'!$A$36,'Données projet'!$B$36,N29+M30-V29)))</f>
        <v>56.068958494210662</v>
      </c>
      <c r="O30" s="13">
        <f>N30*VLOOKUP('Données projet'!$B$9,Paramètres!$A$1:$I$89,3,0)*VLOOKUP('Données projet'!$B$9,Paramètres!$A$1:$I$89,5,0)</f>
        <v>50.731193645561802</v>
      </c>
      <c r="P30" s="13">
        <f t="shared" si="33"/>
        <v>14.802433760568636</v>
      </c>
      <c r="Q30" s="20">
        <f t="shared" si="2"/>
        <v>114.13773439901051</v>
      </c>
      <c r="R30" s="59">
        <f t="shared" si="0"/>
        <v>346.65557727157403</v>
      </c>
      <c r="S30" s="59">
        <f ca="1">AVERAGE(OFFSET($R$3,0,0,'Données projet'!$E$9+1,1))-AVERAGE(OFFSET($H$3,0,0,'Données projet'!$E$9+1,1))</f>
        <v>388.1278150896951</v>
      </c>
      <c r="T30" s="59">
        <f t="shared" si="34"/>
        <v>232.26614607059227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2.9235042735042733</v>
      </c>
      <c r="AI30" s="13">
        <f>IF('Données projet'!$A$62&gt;35,AI29+AH30-AQ29,IF(A30&lt;'Données projet'!$A$62,$AF$205^A30,IF(A30='Données projet'!$A$62,'Données projet'!$B$62,AI29+AH30-AQ29)))</f>
        <v>56.068958494210662</v>
      </c>
      <c r="AJ30" s="13">
        <f>AI30*VLOOKUP('Données projet'!$B$10,Paramètres!$A$1:$I$89,3,0)*VLOOKUP('Données projet'!$B$10,Paramètres!$A$1:$I$89,5,0)</f>
        <v>56.853923913129613</v>
      </c>
      <c r="AK30" s="13">
        <f t="shared" si="35"/>
        <v>16.370366147143088</v>
      </c>
      <c r="AL30" s="20">
        <f t="shared" si="4"/>
        <v>127.53230518830827</v>
      </c>
      <c r="AM30" s="59">
        <f t="shared" si="5"/>
        <v>360.05014806087178</v>
      </c>
      <c r="AN30" s="59">
        <f ca="1">AVERAGE(OFFSET($AM$3,0,0,'Données projet'!$E$10+1,1))-AVERAGE(OFFSET($H$3,0,0,'Données projet'!$E$10+1,1))</f>
        <v>424.89201140676084</v>
      </c>
      <c r="AO30" s="59">
        <f t="shared" si="36"/>
        <v>253.0016648946303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7.4</v>
      </c>
      <c r="BD30" s="12">
        <f>IF('Données projet'!$A$88&gt;35,BD29+BC30-BL29,IF(A30&lt;'Données projet'!$A$88,$BA$205^A30,IF(A30='Données projet'!$A$88,'Données projet'!$B$88,BD29+BC30-BL29)))</f>
        <v>53.800000000000004</v>
      </c>
      <c r="BE30" s="13">
        <f>BD30*VLOOKUP('Données projet'!$B$11,Paramètres!$A$1:$I$89,3,0)*VLOOKUP('Données projet'!$B$11,Paramètres!$A$1:$I$89,5,0)</f>
        <v>46.999680000000005</v>
      </c>
      <c r="BF30" s="13">
        <f t="shared" si="37"/>
        <v>13.836145469363998</v>
      </c>
      <c r="BG30" s="20">
        <f t="shared" si="7"/>
        <v>105.9557293591423</v>
      </c>
      <c r="BH30" s="59">
        <f t="shared" si="8"/>
        <v>338.47357223170582</v>
      </c>
      <c r="BI30" s="59">
        <f ca="1">AVERAGE(OFFSET($BH$3,0,0,'Données projet'!$E$11+1,1))-AVERAGE(OFFSET($H$3,0,0,'Données projet'!$E$11+1,1))</f>
        <v>218.97952644043698</v>
      </c>
      <c r="BJ30" s="59">
        <f t="shared" si="38"/>
        <v>204.10961748628714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4.8</v>
      </c>
      <c r="BY30" s="12">
        <f>IF('Données projet'!$A$114&gt;35,BY29+BX30-CG29,IF(A30&lt;'Données projet'!$A$114,$BV$205^A30,IF(A30='Données projet'!$A$114,'Données projet'!$B$114,BY29+BX30-CG29)))</f>
        <v>69.599999999999994</v>
      </c>
      <c r="BZ30" s="13">
        <f>BY30*VLOOKUP('Données projet'!$B$12,Paramètres!$A$1:$I$89,3,0)*VLOOKUP('Données projet'!$B$12,Paramètres!$A$1:$I$89,5,0)</f>
        <v>56.459520000000005</v>
      </c>
      <c r="CA30" s="13">
        <f t="shared" si="39"/>
        <v>16.269980728799919</v>
      </c>
      <c r="CB30" s="20">
        <f t="shared" si="10"/>
        <v>126.67054710265984</v>
      </c>
      <c r="CC30" s="59">
        <f t="shared" si="11"/>
        <v>359.18838997522334</v>
      </c>
      <c r="CD30" s="59">
        <f ca="1">AVERAGE(OFFSET($CC$3,0,0,'Données projet'!$E$12+1,1))-AVERAGE(OFFSET($H$3,0,0,'Données projet'!$E$12+1,1))</f>
        <v>256.23994291192162</v>
      </c>
      <c r="CE30" s="59">
        <f t="shared" si="40"/>
        <v>207.9118653708222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1.1011258140085287</v>
      </c>
      <c r="CN30" s="22">
        <f t="shared" si="12"/>
        <v>1.1011258140085287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6.6</v>
      </c>
      <c r="CT30" s="12">
        <f>IF('Données projet'!$A$140&gt;35,CT29+CS30-DB29,IF(A30&lt;'Données projet'!$A$140,$CQ$205^A30,IF(A30='Données projet'!$A$140,'Données projet'!$B$140,CT29+CS30-DB29)))</f>
        <v>93.19999999999996</v>
      </c>
      <c r="CU30" s="17">
        <f>CT30*VLOOKUP('Données projet'!$B$13,Paramètres!$A$1:$I$89,3,0)*VLOOKUP('Données projet'!$B$13,Paramètres!$A$1:$I$89,5,0)</f>
        <v>53.795039999999979</v>
      </c>
      <c r="CV30" s="13">
        <f t="shared" si="41"/>
        <v>15.589633432850253</v>
      </c>
      <c r="CW30" s="20">
        <f t="shared" si="13"/>
        <v>120.84497289554749</v>
      </c>
      <c r="CX30" s="59">
        <f t="shared" si="14"/>
        <v>353.36281576811098</v>
      </c>
      <c r="CY30" s="59">
        <f ca="1">AVERAGE(OFFSET($CX$3,0,0,'Données projet'!$E$13+1,1))-AVERAGE(OFFSET($H$3,0,0,'Données projet'!$E$13+1,1))</f>
        <v>205.74526926885287</v>
      </c>
      <c r="CZ30" s="59">
        <f t="shared" si="42"/>
        <v>201.56217137928999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0.57831198668278627</v>
      </c>
      <c r="DH30" s="21">
        <f>EXP(-LN(2)/2)*DH29+(1-EXP(-LN(2)/2))/(LN(2)/2)*DB30*DE30*VLOOKUP('Données projet'!$B$13,Paramètres!$A$1:$I$89,3,0)*0.475*44/12</f>
        <v>1.2524132447224121</v>
      </c>
      <c r="DI30" s="22">
        <f t="shared" si="15"/>
        <v>1.8307252314051983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2.9235042735042733</v>
      </c>
      <c r="DO30" s="12">
        <f>IF('Données projet'!$A$166&gt;35,DO29+DN30-DW29,IF(A30&lt;'Données projet'!$A$166,$DL$205^A30,IF(A30='Données projet'!$A$166,'Données projet'!$B$166,DO29+DN30-DW29)))</f>
        <v>56.068958494210662</v>
      </c>
      <c r="DP30" s="17">
        <f>DO30*VLOOKUP('Données projet'!$B$14,Paramètres!$A$1:$I$89,3,0)*VLOOKUP('Données projet'!$B$14,Paramètres!$A$1:$I$89,5,0)</f>
        <v>53.355220903090874</v>
      </c>
      <c r="DQ30" s="13">
        <f t="shared" si="43"/>
        <v>15.476957621966136</v>
      </c>
      <c r="DR30" s="20">
        <f t="shared" si="16"/>
        <v>119.88271093114093</v>
      </c>
      <c r="DS30" s="59">
        <f t="shared" si="17"/>
        <v>352.40055380370444</v>
      </c>
      <c r="DT30" s="59">
        <f ca="1">AVERAGE(OFFSET($DS$3,0,0,'Données projet'!$E$14+1,1))-AVERAGE(OFFSET($H$3,0,0,'Données projet'!$E$14+1,1))</f>
        <v>403.89478276355294</v>
      </c>
      <c r="DU30" s="59">
        <f t="shared" si="44"/>
        <v>241.1593989733278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2.9235042735042733</v>
      </c>
      <c r="N31" s="13">
        <f>IF('Données projet'!$A$36&gt;35,N30+M31-V30,IF(A31&lt;'Données projet'!$A$36,$K$205^A31,IF(A31='Données projet'!$A$36,'Données projet'!$B$36,N30+M31-V30)))</f>
        <v>65.086360682202411</v>
      </c>
      <c r="O31" s="13">
        <f>N31*VLOOKUP('Données projet'!$B$9,Paramètres!$A$1:$I$89,3,0)*VLOOKUP('Données projet'!$B$9,Paramètres!$A$1:$I$89,5,0)</f>
        <v>58.89013914525674</v>
      </c>
      <c r="P31" s="13">
        <f t="shared" si="33"/>
        <v>16.887357174091651</v>
      </c>
      <c r="Q31" s="20">
        <f t="shared" si="2"/>
        <v>131.9791394228651</v>
      </c>
      <c r="R31" s="59">
        <f t="shared" si="0"/>
        <v>366.71060884484916</v>
      </c>
      <c r="S31" s="59">
        <f ca="1">AVERAGE(OFFSET($R$3,0,0,'Données projet'!$E$9+1,1))-AVERAGE(OFFSET($H$3,0,0,'Données projet'!$E$9+1,1))</f>
        <v>388.1278150896951</v>
      </c>
      <c r="T31" s="59">
        <f t="shared" si="34"/>
        <v>232.26614607059227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2.9235042735042733</v>
      </c>
      <c r="AI31" s="13">
        <f>IF('Données projet'!$A$62&gt;35,AI30+AH31-AQ30,IF(A31&lt;'Données projet'!$A$62,$AF$205^A31,IF(A31='Données projet'!$A$62,'Données projet'!$B$62,AI30+AH31-AQ30)))</f>
        <v>65.086360682202411</v>
      </c>
      <c r="AJ31" s="13">
        <f>AI31*VLOOKUP('Données projet'!$B$10,Paramètres!$A$1:$I$89,3,0)*VLOOKUP('Données projet'!$B$10,Paramètres!$A$1:$I$89,5,0)</f>
        <v>65.997569731753245</v>
      </c>
      <c r="AK31" s="13">
        <f t="shared" si="35"/>
        <v>18.67613290281286</v>
      </c>
      <c r="AL31" s="20">
        <f t="shared" si="4"/>
        <v>147.47336542186929</v>
      </c>
      <c r="AM31" s="59">
        <f t="shared" si="5"/>
        <v>382.2048348438534</v>
      </c>
      <c r="AN31" s="59">
        <f ca="1">AVERAGE(OFFSET($AM$3,0,0,'Données projet'!$E$10+1,1))-AVERAGE(OFFSET($H$3,0,0,'Données projet'!$E$10+1,1))</f>
        <v>424.89201140676084</v>
      </c>
      <c r="AO31" s="59">
        <f t="shared" si="36"/>
        <v>253.0016648946303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7.4</v>
      </c>
      <c r="BD31" s="12">
        <f>IF('Données projet'!$A$88&gt;35,BD30+BC31-BL30,IF(A31&lt;'Données projet'!$A$88,$BA$205^A31,IF(A31='Données projet'!$A$88,'Données projet'!$B$88,BD30+BC31-BL30)))</f>
        <v>61.2</v>
      </c>
      <c r="BE31" s="13">
        <f>BD31*VLOOKUP('Données projet'!$B$11,Paramètres!$A$1:$I$89,3,0)*VLOOKUP('Données projet'!$B$11,Paramètres!$A$1:$I$89,5,0)</f>
        <v>53.464320000000008</v>
      </c>
      <c r="BF31" s="13">
        <f t="shared" si="37"/>
        <v>15.504917410776137</v>
      </c>
      <c r="BG31" s="20">
        <f t="shared" si="7"/>
        <v>120.12142182376846</v>
      </c>
      <c r="BH31" s="59">
        <f t="shared" si="8"/>
        <v>354.85289124575252</v>
      </c>
      <c r="BI31" s="59">
        <f ca="1">AVERAGE(OFFSET($BH$3,0,0,'Données projet'!$E$11+1,1))-AVERAGE(OFFSET($H$3,0,0,'Données projet'!$E$11+1,1))</f>
        <v>218.97952644043698</v>
      </c>
      <c r="BJ31" s="59">
        <f t="shared" si="38"/>
        <v>204.10961748628714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4.8</v>
      </c>
      <c r="BY31" s="12">
        <f>IF('Données projet'!$A$114&gt;35,BY30+BX31-CG30,IF(A31&lt;'Données projet'!$A$114,$BV$205^A31,IF(A31='Données projet'!$A$114,'Données projet'!$B$114,BY30+BX31-CG30)))</f>
        <v>74.399999999999991</v>
      </c>
      <c r="BZ31" s="13">
        <f>BY31*VLOOKUP('Données projet'!$B$12,Paramètres!$A$1:$I$89,3,0)*VLOOKUP('Données projet'!$B$12,Paramètres!$A$1:$I$89,5,0)</f>
        <v>60.353279999999998</v>
      </c>
      <c r="CA31" s="13">
        <f t="shared" si="39"/>
        <v>17.257558739100197</v>
      </c>
      <c r="CB31" s="20">
        <f t="shared" si="10"/>
        <v>135.17221080393281</v>
      </c>
      <c r="CC31" s="59">
        <f t="shared" si="11"/>
        <v>369.9036802259169</v>
      </c>
      <c r="CD31" s="59">
        <f ca="1">AVERAGE(OFFSET($CC$3,0,0,'Données projet'!$E$12+1,1))-AVERAGE(OFFSET($H$3,0,0,'Données projet'!$E$12+1,1))</f>
        <v>256.23994291192162</v>
      </c>
      <c r="CE31" s="59">
        <f t="shared" si="40"/>
        <v>207.9118653708222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0.77861353002498779</v>
      </c>
      <c r="CN31" s="22">
        <f t="shared" si="12"/>
        <v>0.77861353002498779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6.6</v>
      </c>
      <c r="CT31" s="12">
        <f>IF('Données projet'!$A$140&gt;35,CT30+CS31-DB30,IF(A31&lt;'Données projet'!$A$140,$CQ$205^A31,IF(A31='Données projet'!$A$140,'Données projet'!$B$140,CT30+CS31-DB30)))</f>
        <v>99.799999999999955</v>
      </c>
      <c r="CU31" s="17">
        <f>CT31*VLOOKUP('Données projet'!$B$13,Paramètres!$A$1:$I$89,3,0)*VLOOKUP('Données projet'!$B$13,Paramètres!$A$1:$I$89,5,0)</f>
        <v>57.604559999999971</v>
      </c>
      <c r="CV31" s="13">
        <f t="shared" si="41"/>
        <v>16.561198006352686</v>
      </c>
      <c r="CW31" s="20">
        <f t="shared" si="13"/>
        <v>129.17202852773087</v>
      </c>
      <c r="CX31" s="59">
        <f t="shared" si="14"/>
        <v>363.90349794971496</v>
      </c>
      <c r="CY31" s="59">
        <f ca="1">AVERAGE(OFFSET($CX$3,0,0,'Données projet'!$E$13+1,1))-AVERAGE(OFFSET($H$3,0,0,'Données projet'!$E$13+1,1))</f>
        <v>205.74526926885287</v>
      </c>
      <c r="CZ31" s="59">
        <f t="shared" si="42"/>
        <v>201.56217137928999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0.56249801499483987</v>
      </c>
      <c r="DH31" s="21">
        <f>EXP(-LN(2)/2)*DH30+(1-EXP(-LN(2)/2))/(LN(2)/2)*DB31*DE31*VLOOKUP('Données projet'!$B$13,Paramètres!$A$1:$I$89,3,0)*0.475*44/12</f>
        <v>0.88558989819106471</v>
      </c>
      <c r="DI31" s="22">
        <f t="shared" si="15"/>
        <v>1.4480879131859046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2.9235042735042733</v>
      </c>
      <c r="DO31" s="12">
        <f>IF('Données projet'!$A$166&gt;35,DO30+DN31-DW30,IF(A31&lt;'Données projet'!$A$166,$DL$205^A31,IF(A31='Données projet'!$A$166,'Données projet'!$B$166,DO30+DN31-DW30)))</f>
        <v>65.086360682202411</v>
      </c>
      <c r="DP31" s="17">
        <f>DO31*VLOOKUP('Données projet'!$B$14,Paramètres!$A$1:$I$89,3,0)*VLOOKUP('Données projet'!$B$14,Paramètres!$A$1:$I$89,5,0)</f>
        <v>61.936180825183811</v>
      </c>
      <c r="DQ31" s="13">
        <f t="shared" si="43"/>
        <v>17.656887749544079</v>
      </c>
      <c r="DR31" s="20">
        <f t="shared" si="16"/>
        <v>138.62459443431774</v>
      </c>
      <c r="DS31" s="59">
        <f t="shared" si="17"/>
        <v>373.35606385630183</v>
      </c>
      <c r="DT31" s="59">
        <f ca="1">AVERAGE(OFFSET($DS$3,0,0,'Données projet'!$E$14+1,1))-AVERAGE(OFFSET($H$3,0,0,'Données projet'!$E$14+1,1))</f>
        <v>403.89478276355294</v>
      </c>
      <c r="DU31" s="59">
        <f t="shared" si="44"/>
        <v>241.1593989733278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2.9235042735042733</v>
      </c>
      <c r="N32" s="13">
        <f>IF('Données projet'!$A$36&gt;35,N31+M32-V31,IF(A32&lt;'Données projet'!$A$36,$K$205^A32,IF(A32='Données projet'!$A$36,'Données projet'!$B$36,N31+M32-V31)))</f>
        <v>75.55400457975604</v>
      </c>
      <c r="O32" s="13">
        <f>N32*VLOOKUP('Données projet'!$B$9,Paramètres!$A$1:$I$89,3,0)*VLOOKUP('Données projet'!$B$9,Paramètres!$A$1:$I$89,5,0)</f>
        <v>68.36126334376327</v>
      </c>
      <c r="P32" s="13">
        <f t="shared" si="33"/>
        <v>19.265942137503561</v>
      </c>
      <c r="Q32" s="20">
        <f t="shared" si="2"/>
        <v>152.61738287987308</v>
      </c>
      <c r="R32" s="59">
        <f t="shared" si="0"/>
        <v>389.54528020264888</v>
      </c>
      <c r="S32" s="59">
        <f ca="1">AVERAGE(OFFSET($R$3,0,0,'Données projet'!$E$9+1,1))-AVERAGE(OFFSET($H$3,0,0,'Données projet'!$E$9+1,1))</f>
        <v>388.1278150896951</v>
      </c>
      <c r="T32" s="59">
        <f t="shared" si="34"/>
        <v>232.26614607059227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2.9235042735042733</v>
      </c>
      <c r="AI32" s="13">
        <f>IF('Données projet'!$A$62&gt;35,AI31+AH32-AQ31,IF(A32&lt;'Données projet'!$A$62,$AF$205^A32,IF(A32='Données projet'!$A$62,'Données projet'!$B$62,AI31+AH32-AQ31)))</f>
        <v>75.55400457975604</v>
      </c>
      <c r="AJ32" s="13">
        <f>AI32*VLOOKUP('Données projet'!$B$10,Paramètres!$A$1:$I$89,3,0)*VLOOKUP('Données projet'!$B$10,Paramètres!$A$1:$I$89,5,0)</f>
        <v>76.611760643872628</v>
      </c>
      <c r="AK32" s="13">
        <f t="shared" si="35"/>
        <v>21.306667002338269</v>
      </c>
      <c r="AL32" s="20">
        <f t="shared" si="4"/>
        <v>170.54126148381732</v>
      </c>
      <c r="AM32" s="59">
        <f t="shared" si="5"/>
        <v>407.46915880659316</v>
      </c>
      <c r="AN32" s="59">
        <f ca="1">AVERAGE(OFFSET($AM$3,0,0,'Données projet'!$E$10+1,1))-AVERAGE(OFFSET($H$3,0,0,'Données projet'!$E$10+1,1))</f>
        <v>424.89201140676084</v>
      </c>
      <c r="AO32" s="59">
        <f t="shared" si="36"/>
        <v>253.0016648946303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7.4</v>
      </c>
      <c r="BD32" s="12">
        <f>IF('Données projet'!$A$88&gt;35,BD31+BC32-BL31,IF(A32&lt;'Données projet'!$A$88,$BA$205^A32,IF(A32='Données projet'!$A$88,'Données projet'!$B$88,BD31+BC32-BL31)))</f>
        <v>68.600000000000009</v>
      </c>
      <c r="BE32" s="13">
        <f>BD32*VLOOKUP('Données projet'!$B$11,Paramètres!$A$1:$I$89,3,0)*VLOOKUP('Données projet'!$B$11,Paramètres!$A$1:$I$89,5,0)</f>
        <v>59.928960000000018</v>
      </c>
      <c r="BF32" s="13">
        <f t="shared" si="37"/>
        <v>17.150306633391633</v>
      </c>
      <c r="BG32" s="20">
        <f t="shared" si="7"/>
        <v>134.24638938649045</v>
      </c>
      <c r="BH32" s="59">
        <f t="shared" si="8"/>
        <v>371.17428670926631</v>
      </c>
      <c r="BI32" s="59">
        <f ca="1">AVERAGE(OFFSET($BH$3,0,0,'Données projet'!$E$11+1,1))-AVERAGE(OFFSET($H$3,0,0,'Données projet'!$E$11+1,1))</f>
        <v>218.97952644043698</v>
      </c>
      <c r="BJ32" s="59">
        <f t="shared" si="38"/>
        <v>204.10961748628714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4.8</v>
      </c>
      <c r="BY32" s="12">
        <f>IF('Données projet'!$A$114&gt;35,BY31+BX32-CG31,IF(A32&lt;'Données projet'!$A$114,$BV$205^A32,IF(A32='Données projet'!$A$114,'Données projet'!$B$114,BY31+BX32-CG31)))</f>
        <v>79.199999999999989</v>
      </c>
      <c r="BZ32" s="13">
        <f>BY32*VLOOKUP('Données projet'!$B$12,Paramètres!$A$1:$I$89,3,0)*VLOOKUP('Données projet'!$B$12,Paramètres!$A$1:$I$89,5,0)</f>
        <v>64.247039999999998</v>
      </c>
      <c r="CA32" s="13">
        <f t="shared" si="39"/>
        <v>18.237742721855842</v>
      </c>
      <c r="CB32" s="20">
        <f t="shared" si="10"/>
        <v>143.6609965738989</v>
      </c>
      <c r="CC32" s="59">
        <f t="shared" si="11"/>
        <v>380.58889389667473</v>
      </c>
      <c r="CD32" s="59">
        <f ca="1">AVERAGE(OFFSET($CC$3,0,0,'Données projet'!$E$12+1,1))-AVERAGE(OFFSET($H$3,0,0,'Données projet'!$E$12+1,1))</f>
        <v>256.23994291192162</v>
      </c>
      <c r="CE32" s="59">
        <f t="shared" si="40"/>
        <v>207.9118653708222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0.55056290700426447</v>
      </c>
      <c r="CN32" s="22">
        <f t="shared" si="12"/>
        <v>0.55056290700426447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6.6</v>
      </c>
      <c r="CT32" s="12">
        <f>IF('Données projet'!$A$140&gt;35,CT31+CS32-DB31,IF(A32&lt;'Données projet'!$A$140,$CQ$205^A32,IF(A32='Données projet'!$A$140,'Données projet'!$B$140,CT31+CS32-DB31)))</f>
        <v>106.39999999999995</v>
      </c>
      <c r="CU32" s="17">
        <f>CT32*VLOOKUP('Données projet'!$B$13,Paramètres!$A$1:$I$89,3,0)*VLOOKUP('Données projet'!$B$13,Paramètres!$A$1:$I$89,5,0)</f>
        <v>61.41407999999997</v>
      </c>
      <c r="CV32" s="13">
        <f t="shared" si="41"/>
        <v>17.525306651186643</v>
      </c>
      <c r="CW32" s="20">
        <f t="shared" si="13"/>
        <v>137.48609841748333</v>
      </c>
      <c r="CX32" s="59">
        <f t="shared" si="14"/>
        <v>374.41399574025917</v>
      </c>
      <c r="CY32" s="59">
        <f ca="1">AVERAGE(OFFSET($CX$3,0,0,'Données projet'!$E$13+1,1))-AVERAGE(OFFSET($H$3,0,0,'Données projet'!$E$13+1,1))</f>
        <v>205.74526926885287</v>
      </c>
      <c r="CZ32" s="59">
        <f t="shared" si="42"/>
        <v>201.56217137928999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0.54711647719432099</v>
      </c>
      <c r="DH32" s="21">
        <f>EXP(-LN(2)/2)*DH31+(1-EXP(-LN(2)/2))/(LN(2)/2)*DB32*DE32*VLOOKUP('Données projet'!$B$13,Paramètres!$A$1:$I$89,3,0)*0.475*44/12</f>
        <v>0.62620662236120617</v>
      </c>
      <c r="DI32" s="22">
        <f t="shared" si="15"/>
        <v>1.1733230995555273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2.9235042735042733</v>
      </c>
      <c r="DO32" s="12">
        <f>IF('Données projet'!$A$166&gt;35,DO31+DN32-DW31,IF(A32&lt;'Données projet'!$A$166,$DL$205^A32,IF(A32='Données projet'!$A$166,'Données projet'!$B$166,DO31+DN32-DW31)))</f>
        <v>75.55400457975604</v>
      </c>
      <c r="DP32" s="17">
        <f>DO32*VLOOKUP('Données projet'!$B$14,Paramètres!$A$1:$I$89,3,0)*VLOOKUP('Données projet'!$B$14,Paramètres!$A$1:$I$89,5,0)</f>
        <v>71.897190758095846</v>
      </c>
      <c r="DQ32" s="13">
        <f t="shared" si="43"/>
        <v>20.143861126654318</v>
      </c>
      <c r="DR32" s="20">
        <f t="shared" si="16"/>
        <v>160.30483203260653</v>
      </c>
      <c r="DS32" s="59">
        <f t="shared" si="17"/>
        <v>397.23272935538239</v>
      </c>
      <c r="DT32" s="59">
        <f ca="1">AVERAGE(OFFSET($DS$3,0,0,'Données projet'!$E$14+1,1))-AVERAGE(OFFSET($H$3,0,0,'Données projet'!$E$14+1,1))</f>
        <v>403.89478276355294</v>
      </c>
      <c r="DU32" s="59">
        <f t="shared" si="44"/>
        <v>241.1593989733278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87.705128205128204</v>
      </c>
      <c r="L33" s="12">
        <f>VLOOKUP(A33,'Données projet'!$A$35:$I$55,9,0)</f>
        <v>2.9235042735042733</v>
      </c>
      <c r="M33" s="12">
        <f t="array" ref="M33">INDEX(L:L,MIN(IF(ISNUMBER(L33:L229),ROW(L33:L229),"")))</f>
        <v>2.9235042735042733</v>
      </c>
      <c r="N33" s="13">
        <f>IF('Données projet'!$A$36&gt;35,N32+M33-V32,IF(A33&lt;'Données projet'!$A$36,$K$205^A33,IF(A33='Données projet'!$A$36,'Données projet'!$B$36,N32+M33-V32)))</f>
        <v>87.705128205128204</v>
      </c>
      <c r="O33" s="13">
        <f>N33*VLOOKUP('Données projet'!$B$9,Paramètres!$A$1:$I$89,3,0)*VLOOKUP('Données projet'!$B$9,Paramètres!$A$1:$I$89,5,0)</f>
        <v>79.355599999999995</v>
      </c>
      <c r="P33" s="13">
        <f t="shared" si="33"/>
        <v>21.979550892373382</v>
      </c>
      <c r="Q33" s="20">
        <f t="shared" si="2"/>
        <v>176.49205447088363</v>
      </c>
      <c r="R33" s="59">
        <f t="shared" si="0"/>
        <v>415.59947940392561</v>
      </c>
      <c r="S33" s="59">
        <f ca="1">AVERAGE(OFFSET($R$3,0,0,'Données projet'!$E$9+1,1))-AVERAGE(OFFSET($H$3,0,0,'Données projet'!$E$9+1,1))</f>
        <v>388.1278150896951</v>
      </c>
      <c r="T33" s="59">
        <f t="shared" si="34"/>
        <v>232.26614607059227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87.705128205128204</v>
      </c>
      <c r="AG33" s="12">
        <f>VLOOKUP(A33,'Données projet'!$A$61:$I$81,9,0)</f>
        <v>2.9235042735042733</v>
      </c>
      <c r="AH33" s="12">
        <f t="array" ref="AH33">INDEX(AG:AG,MIN(IF(ISNUMBER(AG33:AG229),ROW(AG33:AG229),"")))</f>
        <v>2.9235042735042733</v>
      </c>
      <c r="AI33" s="13">
        <f>IF('Données projet'!$A$62&gt;35,AI32+AH33-AQ32,IF(A33&lt;'Données projet'!$A$62,$AF$205^A33,IF(A33='Données projet'!$A$62,'Données projet'!$B$62,AI32+AH33-AQ32)))</f>
        <v>87.705128205128204</v>
      </c>
      <c r="AJ33" s="13">
        <f>AI33*VLOOKUP('Données projet'!$B$10,Paramètres!$A$1:$I$89,3,0)*VLOOKUP('Données projet'!$B$10,Paramètres!$A$1:$I$89,5,0)</f>
        <v>88.933000000000007</v>
      </c>
      <c r="AK33" s="13">
        <f t="shared" si="35"/>
        <v>24.307711939667918</v>
      </c>
      <c r="AL33" s="20">
        <f t="shared" si="4"/>
        <v>197.22757329492163</v>
      </c>
      <c r="AM33" s="59">
        <f t="shared" si="5"/>
        <v>436.33499822796364</v>
      </c>
      <c r="AN33" s="59">
        <f ca="1">AVERAGE(OFFSET($AM$3,0,0,'Données projet'!$E$10+1,1))-AVERAGE(OFFSET($H$3,0,0,'Données projet'!$E$10+1,1))</f>
        <v>424.89201140676084</v>
      </c>
      <c r="AO33" s="59">
        <f t="shared" si="36"/>
        <v>253.0016648946303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76</v>
      </c>
      <c r="BB33" s="12">
        <f>VLOOKUP(A33,'Données projet'!$A$87:$I$107,9,0)</f>
        <v>7.4</v>
      </c>
      <c r="BC33" s="12">
        <f t="array" ref="BC33">INDEX(BB:BB,MIN(IF(ISNUMBER(BB33:BB229),ROW(BB33:BB229),"")))</f>
        <v>7.4</v>
      </c>
      <c r="BD33" s="12">
        <f>IF('Données projet'!$A$88&gt;35,BD32+BC33-BL32,IF(A33&lt;'Données projet'!$A$88,$BA$205^A33,IF(A33='Données projet'!$A$88,'Données projet'!$B$88,BD32+BC33-BL32)))</f>
        <v>76.000000000000014</v>
      </c>
      <c r="BE33" s="13">
        <f>BD33*VLOOKUP('Données projet'!$B$11,Paramètres!$A$1:$I$89,3,0)*VLOOKUP('Données projet'!$B$11,Paramètres!$A$1:$I$89,5,0)</f>
        <v>66.393600000000021</v>
      </c>
      <c r="BF33" s="13">
        <f t="shared" si="37"/>
        <v>18.775122997078544</v>
      </c>
      <c r="BG33" s="20">
        <f t="shared" si="7"/>
        <v>148.33552588657849</v>
      </c>
      <c r="BH33" s="59">
        <f t="shared" si="8"/>
        <v>387.44295081962048</v>
      </c>
      <c r="BI33" s="59">
        <f ca="1">AVERAGE(OFFSET($BH$3,0,0,'Données projet'!$E$11+1,1))-AVERAGE(OFFSET($H$3,0,0,'Données projet'!$E$11+1,1))</f>
        <v>218.97952644043698</v>
      </c>
      <c r="BJ33" s="59">
        <f t="shared" si="38"/>
        <v>204.10961748628714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14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84</v>
      </c>
      <c r="BW33" s="12">
        <f>VLOOKUP(A33,'Données projet'!$A$113:$I$133,9,0)</f>
        <v>4.8</v>
      </c>
      <c r="BX33" s="12">
        <f t="array" ref="BX33">INDEX(BW:BW,MIN(IF(ISNUMBER(BW33:BW229),ROW(BW33:BW229),"")))</f>
        <v>4.8</v>
      </c>
      <c r="BY33" s="12">
        <f>IF('Données projet'!$A$114&gt;35,BY32+BX33-CG32,IF(A33&lt;'Données projet'!$A$114,$BV$205^A33,IF(A33='Données projet'!$A$114,'Données projet'!$B$114,BY32+BX33-CG32)))</f>
        <v>83.999999999999986</v>
      </c>
      <c r="BZ33" s="13">
        <f>BY33*VLOOKUP('Données projet'!$B$12,Paramètres!$A$1:$I$89,3,0)*VLOOKUP('Données projet'!$B$12,Paramètres!$A$1:$I$89,5,0)</f>
        <v>68.140799999999984</v>
      </c>
      <c r="CA33" s="13">
        <f t="shared" si="39"/>
        <v>19.21103183030446</v>
      </c>
      <c r="CB33" s="20">
        <f t="shared" si="10"/>
        <v>152.13777377111359</v>
      </c>
      <c r="CC33" s="59">
        <f t="shared" si="11"/>
        <v>391.24519870415554</v>
      </c>
      <c r="CD33" s="59">
        <f ca="1">AVERAGE(OFFSET($CC$3,0,0,'Données projet'!$E$12+1,1))-AVERAGE(OFFSET($H$3,0,0,'Données projet'!$E$12+1,1))</f>
        <v>256.23994291192162</v>
      </c>
      <c r="CE33" s="59">
        <f t="shared" si="40"/>
        <v>207.9118653708222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9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4.3000000000000003E-2</v>
      </c>
      <c r="CJ33" s="16">
        <f>IF(ISNA(VLOOKUP(A33,'Données projet'!$A$113:$I$133,7,0)),0%,VLOOKUP(A33,'Données projet'!$A$113:$I$133,7,0))</f>
        <v>0.3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0.34567873120696246</v>
      </c>
      <c r="CM33" s="21">
        <f>EXP(-LN(2)/2)*CM32+(1-EXP(-LN(2)/2))/(LN(2)/2)*CG33*CJ33*VLOOKUP('Données projet'!$B$12,Paramètres!$A$1:$I$89,3,0)*0.475*44/12</f>
        <v>2.4558571544577994</v>
      </c>
      <c r="CN33" s="22">
        <f t="shared" si="12"/>
        <v>2.8015358856647619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113</v>
      </c>
      <c r="CR33" s="12">
        <f>VLOOKUP(A33,'Données projet'!$A$139:$I$159,9,0)</f>
        <v>6.6</v>
      </c>
      <c r="CS33" s="12">
        <f t="array" ref="CS33">INDEX(CR:CR,MIN(IF(ISNUMBER(CR33:CR229),ROW(CR33:CR229),"")))</f>
        <v>6.6</v>
      </c>
      <c r="CT33" s="12">
        <f>IF('Données projet'!$A$140&gt;35,CT32+CS33-DB32,IF(A33&lt;'Données projet'!$A$140,$CQ$205^A33,IF(A33='Données projet'!$A$140,'Données projet'!$B$140,CT32+CS33-DB32)))</f>
        <v>112.99999999999994</v>
      </c>
      <c r="CU33" s="17">
        <f>CT33*VLOOKUP('Données projet'!$B$13,Paramètres!$A$1:$I$89,3,0)*VLOOKUP('Données projet'!$B$13,Paramètres!$A$1:$I$89,5,0)</f>
        <v>65.223599999999976</v>
      </c>
      <c r="CV33" s="13">
        <f t="shared" si="41"/>
        <v>18.48247451459218</v>
      </c>
      <c r="CW33" s="20">
        <f t="shared" si="13"/>
        <v>145.78807977958135</v>
      </c>
      <c r="CX33" s="59">
        <f t="shared" si="14"/>
        <v>384.89550471262334</v>
      </c>
      <c r="CY33" s="59">
        <f ca="1">AVERAGE(OFFSET($CX$3,0,0,'Données projet'!$E$13+1,1))-AVERAGE(OFFSET($H$3,0,0,'Données projet'!$E$13+1,1))</f>
        <v>205.74526926885287</v>
      </c>
      <c r="CZ33" s="59">
        <f t="shared" si="42"/>
        <v>201.56217137928999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17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4.3000000000000003E-2</v>
      </c>
      <c r="DE33" s="16">
        <f>IF(ISNA(VLOOKUP(A33,'Données projet'!$A$139:$I$159,7,0)),0%,VLOOKUP(A33,'Données projet'!$A$139:$I$159,7,0))</f>
        <v>0.3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0.99675367213413502</v>
      </c>
      <c r="DH33" s="21">
        <f>EXP(-LN(2)/2)*DH32+(1-EXP(-LN(2)/2))/(LN(2)/2)*DB33*DE33*VLOOKUP('Données projet'!$B$13,Paramètres!$A$1:$I$89,3,0)*0.475*44/12</f>
        <v>3.2202739981577055</v>
      </c>
      <c r="DI33" s="22">
        <f t="shared" si="15"/>
        <v>4.2170276702918406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87.705128205128204</v>
      </c>
      <c r="DM33" s="12">
        <f>VLOOKUP(A33,'Données projet'!$A$165:$I$185,9,0)</f>
        <v>2.9235042735042733</v>
      </c>
      <c r="DN33" s="12">
        <f t="array" ref="DN33">INDEX(DM:DM,MIN(IF(ISNUMBER(DM33:DM229),ROW(DM33:DM229),"")))</f>
        <v>2.9235042735042733</v>
      </c>
      <c r="DO33" s="12">
        <f>IF('Données projet'!$A$166&gt;35,DO32+DN33-DW32,IF(A33&lt;'Données projet'!$A$166,$DL$205^A33,IF(A33='Données projet'!$A$166,'Données projet'!$B$166,DO32+DN33-DW32)))</f>
        <v>87.705128205128204</v>
      </c>
      <c r="DP33" s="17">
        <f>DO33*VLOOKUP('Données projet'!$B$14,Paramètres!$A$1:$I$89,3,0)*VLOOKUP('Données projet'!$B$14,Paramètres!$A$1:$I$89,5,0)</f>
        <v>83.4602</v>
      </c>
      <c r="DQ33" s="13">
        <f t="shared" si="43"/>
        <v>22.981124807819615</v>
      </c>
      <c r="DR33" s="20">
        <f t="shared" si="16"/>
        <v>185.38530737361916</v>
      </c>
      <c r="DS33" s="59">
        <f t="shared" si="17"/>
        <v>424.49273230666114</v>
      </c>
      <c r="DT33" s="59">
        <f ca="1">AVERAGE(OFFSET($DS$3,0,0,'Données projet'!$E$14+1,1))-AVERAGE(OFFSET($H$3,0,0,'Données projet'!$E$14+1,1))</f>
        <v>403.89478276355294</v>
      </c>
      <c r="DU33" s="59">
        <f t="shared" si="44"/>
        <v>241.1593989733278</v>
      </c>
      <c r="DV33" s="15" t="str">
        <f>IF(ISNA(VLOOKUP(A33,'Données projet'!$A$165:$I$185,3,0)),0,VLOOKUP(A33,'Données projet'!$A$165:$I$185,3,0))</f>
        <v>na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5.3369963369963358</v>
      </c>
      <c r="N34" s="13">
        <f>IF('Données projet'!$A$36&gt;35,N33+M34-V33,IF(A34&lt;'Données projet'!$A$36,$K$205^A34,IF(A34='Données projet'!$A$36,'Données projet'!$B$36,N33+M34-V33)))</f>
        <v>93.04212454212454</v>
      </c>
      <c r="O34" s="13">
        <f>N34*VLOOKUP('Données projet'!$B$9,Paramètres!$A$1:$I$89,3,0)*VLOOKUP('Données projet'!$B$9,Paramètres!$A$1:$I$89,5,0)</f>
        <v>84.184514285714286</v>
      </c>
      <c r="P34" s="13">
        <f t="shared" si="33"/>
        <v>23.157263963315572</v>
      </c>
      <c r="Q34" s="20">
        <f t="shared" si="2"/>
        <v>186.95359711706033</v>
      </c>
      <c r="R34" s="59">
        <f t="shared" si="0"/>
        <v>427.00172032987791</v>
      </c>
      <c r="S34" s="59">
        <f ca="1">AVERAGE(OFFSET($R$3,0,0,'Données projet'!$E$9+1,1))-AVERAGE(OFFSET($H$3,0,0,'Données projet'!$E$9+1,1))</f>
        <v>388.1278150896951</v>
      </c>
      <c r="T34" s="59">
        <f t="shared" si="34"/>
        <v>232.26614607059227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5.3369963369963358</v>
      </c>
      <c r="AI34" s="13">
        <f>IF('Données projet'!$A$62&gt;35,AI33+AH34-AQ33,IF(A34&lt;'Données projet'!$A$62,$AF$205^A34,IF(A34='Données projet'!$A$62,'Données projet'!$B$62,AI33+AH34-AQ33)))</f>
        <v>93.04212454212454</v>
      </c>
      <c r="AJ34" s="13">
        <f>AI34*VLOOKUP('Données projet'!$B$10,Paramètres!$A$1:$I$89,3,0)*VLOOKUP('Données projet'!$B$10,Paramètres!$A$1:$I$89,5,0)</f>
        <v>94.344714285714289</v>
      </c>
      <c r="AK34" s="13">
        <f t="shared" si="35"/>
        <v>25.610173041635999</v>
      </c>
      <c r="AL34" s="20">
        <f t="shared" si="4"/>
        <v>208.92142876180176</v>
      </c>
      <c r="AM34" s="59">
        <f t="shared" si="5"/>
        <v>448.96955197461932</v>
      </c>
      <c r="AN34" s="59">
        <f ca="1">AVERAGE(OFFSET($AM$3,0,0,'Données projet'!$E$10+1,1))-AVERAGE(OFFSET($H$3,0,0,'Données projet'!$E$10+1,1))</f>
        <v>424.89201140676084</v>
      </c>
      <c r="AO34" s="59">
        <f t="shared" si="36"/>
        <v>253.0016648946303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6.6</v>
      </c>
      <c r="BD34" s="12">
        <f>IF('Données projet'!$A$88&gt;35,BD33+BC34-BL33,IF(A34&lt;'Données projet'!$A$88,$BA$205^A34,IF(A34='Données projet'!$A$88,'Données projet'!$B$88,BD33+BC34-BL33)))</f>
        <v>68.600000000000009</v>
      </c>
      <c r="BE34" s="13">
        <f>BD34*VLOOKUP('Données projet'!$B$11,Paramètres!$A$1:$I$89,3,0)*VLOOKUP('Données projet'!$B$11,Paramètres!$A$1:$I$89,5,0)</f>
        <v>59.928960000000018</v>
      </c>
      <c r="BF34" s="13">
        <f t="shared" si="37"/>
        <v>17.150306633391633</v>
      </c>
      <c r="BG34" s="20">
        <f t="shared" si="7"/>
        <v>134.24638938649045</v>
      </c>
      <c r="BH34" s="59">
        <f t="shared" si="8"/>
        <v>374.29451259930801</v>
      </c>
      <c r="BI34" s="59">
        <f ca="1">AVERAGE(OFFSET($BH$3,0,0,'Données projet'!$E$11+1,1))-AVERAGE(OFFSET($H$3,0,0,'Données projet'!$E$11+1,1))</f>
        <v>218.97952644043698</v>
      </c>
      <c r="BJ34" s="59">
        <f t="shared" si="38"/>
        <v>204.10961748628714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4.8</v>
      </c>
      <c r="BY34" s="12">
        <f>IF('Données projet'!$A$114&gt;35,BY33+BX34-CG33,IF(A34&lt;'Données projet'!$A$114,$BV$205^A34,IF(A34='Données projet'!$A$114,'Données projet'!$B$114,BY33+BX34-CG33)))</f>
        <v>79.799999999999983</v>
      </c>
      <c r="BZ34" s="13">
        <f>BY34*VLOOKUP('Données projet'!$B$12,Paramètres!$A$1:$I$89,3,0)*VLOOKUP('Données projet'!$B$12,Paramètres!$A$1:$I$89,5,0)</f>
        <v>64.73375999999999</v>
      </c>
      <c r="CA34" s="13">
        <f t="shared" si="39"/>
        <v>18.359771390246543</v>
      </c>
      <c r="CB34" s="20">
        <f t="shared" si="10"/>
        <v>144.72123383801272</v>
      </c>
      <c r="CC34" s="59">
        <f t="shared" si="11"/>
        <v>384.76935705083031</v>
      </c>
      <c r="CD34" s="59">
        <f ca="1">AVERAGE(OFFSET($CC$3,0,0,'Données projet'!$E$12+1,1))-AVERAGE(OFFSET($H$3,0,0,'Données projet'!$E$12+1,1))</f>
        <v>256.23994291192162</v>
      </c>
      <c r="CE34" s="59">
        <f t="shared" si="40"/>
        <v>207.9118653708222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0.33622612812365366</v>
      </c>
      <c r="CM34" s="21">
        <f>EXP(-LN(2)/2)*CM33+(1-EXP(-LN(2)/2))/(LN(2)/2)*CG34*CJ34*VLOOKUP('Données projet'!$B$12,Paramètres!$A$1:$I$89,3,0)*0.475*44/12</f>
        <v>1.7365532475426084</v>
      </c>
      <c r="CN34" s="22">
        <f t="shared" si="12"/>
        <v>2.0727793756662622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6.2</v>
      </c>
      <c r="CT34" s="12">
        <f>IF('Données projet'!$A$140&gt;35,CT33+CS34-DB33,IF(A34&lt;'Données projet'!$A$140,$CQ$205^A34,IF(A34='Données projet'!$A$140,'Données projet'!$B$140,CT33+CS34-DB33)))</f>
        <v>102.19999999999995</v>
      </c>
      <c r="CU34" s="17">
        <f>CT34*VLOOKUP('Données projet'!$B$13,Paramètres!$A$1:$I$89,3,0)*VLOOKUP('Données projet'!$B$13,Paramètres!$A$1:$I$89,5,0)</f>
        <v>58.989839999999965</v>
      </c>
      <c r="CV34" s="13">
        <f t="shared" si="41"/>
        <v>16.912617033556803</v>
      </c>
      <c r="CW34" s="20">
        <f t="shared" si="13"/>
        <v>132.19677933344471</v>
      </c>
      <c r="CX34" s="59">
        <f t="shared" si="14"/>
        <v>372.24490254626227</v>
      </c>
      <c r="CY34" s="59">
        <f ca="1">AVERAGE(OFFSET($CX$3,0,0,'Données projet'!$E$13+1,1))-AVERAGE(OFFSET($H$3,0,0,'Données projet'!$E$13+1,1))</f>
        <v>205.74526926885287</v>
      </c>
      <c r="CZ34" s="59">
        <f t="shared" si="42"/>
        <v>201.56217137928999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0.96949739055262962</v>
      </c>
      <c r="DH34" s="21">
        <f>EXP(-LN(2)/2)*DH33+(1-EXP(-LN(2)/2))/(LN(2)/2)*DB34*DE34*VLOOKUP('Données projet'!$B$13,Paramètres!$A$1:$I$89,3,0)*0.475*44/12</f>
        <v>2.2770775813760293</v>
      </c>
      <c r="DI34" s="22">
        <f t="shared" si="15"/>
        <v>3.2465749719286592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5.3369963369963358</v>
      </c>
      <c r="DO34" s="12">
        <f>IF('Données projet'!$A$166&gt;35,DO33+DN34-DW33,IF(A34&lt;'Données projet'!$A$166,$DL$205^A34,IF(A34='Données projet'!$A$166,'Données projet'!$B$166,DO33+DN34-DW33)))</f>
        <v>93.04212454212454</v>
      </c>
      <c r="DP34" s="17">
        <f>DO34*VLOOKUP('Données projet'!$B$14,Paramètres!$A$1:$I$89,3,0)*VLOOKUP('Données projet'!$B$14,Paramètres!$A$1:$I$89,5,0)</f>
        <v>88.538885714285712</v>
      </c>
      <c r="DQ34" s="13">
        <f t="shared" si="43"/>
        <v>24.212504429889805</v>
      </c>
      <c r="DR34" s="20">
        <f t="shared" si="16"/>
        <v>196.37533783443902</v>
      </c>
      <c r="DS34" s="59">
        <f t="shared" si="17"/>
        <v>436.42346104725658</v>
      </c>
      <c r="DT34" s="59">
        <f ca="1">AVERAGE(OFFSET($DS$3,0,0,'Données projet'!$E$14+1,1))-AVERAGE(OFFSET($H$3,0,0,'Données projet'!$E$14+1,1))</f>
        <v>403.89478276355294</v>
      </c>
      <c r="DU34" s="59">
        <f t="shared" si="44"/>
        <v>241.1593989733278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5.3369963369963358</v>
      </c>
      <c r="N35" s="13">
        <f>IF('Données projet'!$A$36&gt;35,N34+M35-V34,IF(A35&lt;'Données projet'!$A$36,$K$205^A35,IF(A35='Données projet'!$A$36,'Données projet'!$B$36,N34+M35-V34)))</f>
        <v>98.379120879120876</v>
      </c>
      <c r="O35" s="13">
        <f>N35*VLOOKUP('Données projet'!$B$9,Paramètres!$A$1:$I$89,3,0)*VLOOKUP('Données projet'!$B$9,Paramètres!$A$1:$I$89,5,0)</f>
        <v>89.013428571428562</v>
      </c>
      <c r="P35" s="13">
        <f t="shared" si="33"/>
        <v>24.327135299174682</v>
      </c>
      <c r="Q35" s="20">
        <f t="shared" ref="Q35:Q66" si="53">(O35+P35)*0.475*44/12</f>
        <v>197.40148207463395</v>
      </c>
      <c r="R35" s="59">
        <f t="shared" si="0"/>
        <v>438.37398455515927</v>
      </c>
      <c r="S35" s="59">
        <f ca="1">AVERAGE(OFFSET($R$3,0,0,'Données projet'!$E$9+1,1))-AVERAGE(OFFSET($H$3,0,0,'Données projet'!$E$9+1,1))</f>
        <v>388.1278150896951</v>
      </c>
      <c r="T35" s="59">
        <f t="shared" si="34"/>
        <v>232.26614607059227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5.3369963369963358</v>
      </c>
      <c r="AI35" s="13">
        <f>IF('Données projet'!$A$62&gt;35,AI34+AH35-AQ34,IF(A35&lt;'Données projet'!$A$62,$AF$205^A35,IF(A35='Données projet'!$A$62,'Données projet'!$B$62,AI34+AH35-AQ34)))</f>
        <v>98.379120879120876</v>
      </c>
      <c r="AJ35" s="13">
        <f>AI35*VLOOKUP('Données projet'!$B$10,Paramètres!$A$1:$I$89,3,0)*VLOOKUP('Données projet'!$B$10,Paramètres!$A$1:$I$89,5,0)</f>
        <v>99.756428571428572</v>
      </c>
      <c r="AK35" s="13">
        <f t="shared" si="35"/>
        <v>26.903961780895703</v>
      </c>
      <c r="AL35" s="20">
        <f t="shared" si="4"/>
        <v>220.60017986363141</v>
      </c>
      <c r="AM35" s="59">
        <f t="shared" si="5"/>
        <v>461.57268234415676</v>
      </c>
      <c r="AN35" s="59">
        <f ca="1">AVERAGE(OFFSET($AM$3,0,0,'Données projet'!$E$10+1,1))-AVERAGE(OFFSET($H$3,0,0,'Données projet'!$E$10+1,1))</f>
        <v>424.89201140676084</v>
      </c>
      <c r="AO35" s="59">
        <f t="shared" si="36"/>
        <v>253.0016648946303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6.6</v>
      </c>
      <c r="BD35" s="12">
        <f>IF('Données projet'!$A$88&gt;35,BD34+BC35-BL34,IF(A35&lt;'Données projet'!$A$88,$BA$205^A35,IF(A35='Données projet'!$A$88,'Données projet'!$B$88,BD34+BC35-BL34)))</f>
        <v>75.2</v>
      </c>
      <c r="BE35" s="13">
        <f>BD35*VLOOKUP('Données projet'!$B$11,Paramètres!$A$1:$I$89,3,0)*VLOOKUP('Données projet'!$B$11,Paramètres!$A$1:$I$89,5,0)</f>
        <v>65.694720000000018</v>
      </c>
      <c r="BF35" s="13">
        <f t="shared" si="37"/>
        <v>18.600387185619521</v>
      </c>
      <c r="BG35" s="20">
        <f t="shared" si="7"/>
        <v>146.81397834828735</v>
      </c>
      <c r="BH35" s="59">
        <f t="shared" si="8"/>
        <v>387.78648082881267</v>
      </c>
      <c r="BI35" s="59">
        <f ca="1">AVERAGE(OFFSET($BH$3,0,0,'Données projet'!$E$11+1,1))-AVERAGE(OFFSET($H$3,0,0,'Données projet'!$E$11+1,1))</f>
        <v>218.97952644043698</v>
      </c>
      <c r="BJ35" s="59">
        <f t="shared" si="38"/>
        <v>204.10961748628714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4.8</v>
      </c>
      <c r="BY35" s="12">
        <f>IF('Données projet'!$A$114&gt;35,BY34+BX35-CG34,IF(A35&lt;'Données projet'!$A$114,$BV$205^A35,IF(A35='Données projet'!$A$114,'Données projet'!$B$114,BY34+BX35-CG34)))</f>
        <v>84.59999999999998</v>
      </c>
      <c r="BZ35" s="13">
        <f>BY35*VLOOKUP('Données projet'!$B$12,Paramètres!$A$1:$I$89,3,0)*VLOOKUP('Données projet'!$B$12,Paramètres!$A$1:$I$89,5,0)</f>
        <v>68.62751999999999</v>
      </c>
      <c r="CA35" s="13">
        <f t="shared" si="39"/>
        <v>19.332230613997595</v>
      </c>
      <c r="CB35" s="20">
        <f t="shared" si="10"/>
        <v>153.19656565271245</v>
      </c>
      <c r="CC35" s="59">
        <f t="shared" si="11"/>
        <v>394.16906813323777</v>
      </c>
      <c r="CD35" s="59">
        <f ca="1">AVERAGE(OFFSET($CC$3,0,0,'Données projet'!$E$12+1,1))-AVERAGE(OFFSET($H$3,0,0,'Données projet'!$E$12+1,1))</f>
        <v>256.23994291192162</v>
      </c>
      <c r="CE35" s="59">
        <f t="shared" si="40"/>
        <v>207.9118653708222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0.32703200696874873</v>
      </c>
      <c r="CM35" s="21">
        <f>EXP(-LN(2)/2)*CM34+(1-EXP(-LN(2)/2))/(LN(2)/2)*CG35*CJ35*VLOOKUP('Données projet'!$B$12,Paramètres!$A$1:$I$89,3,0)*0.475*44/12</f>
        <v>1.2279285772288997</v>
      </c>
      <c r="CN35" s="22">
        <f t="shared" si="12"/>
        <v>1.5549605841976484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6.2</v>
      </c>
      <c r="CT35" s="12">
        <f>IF('Données projet'!$A$140&gt;35,CT34+CS35-DB34,IF(A35&lt;'Données projet'!$A$140,$CQ$205^A35,IF(A35='Données projet'!$A$140,'Données projet'!$B$140,CT34+CS35-DB34)))</f>
        <v>108.39999999999995</v>
      </c>
      <c r="CU35" s="17">
        <f>CT35*VLOOKUP('Données projet'!$B$13,Paramètres!$A$1:$I$89,3,0)*VLOOKUP('Données projet'!$B$13,Paramètres!$A$1:$I$89,5,0)</f>
        <v>62.568479999999973</v>
      </c>
      <c r="CV35" s="13">
        <f t="shared" si="41"/>
        <v>17.81606863502876</v>
      </c>
      <c r="CW35" s="20">
        <f t="shared" si="13"/>
        <v>140.00308887267502</v>
      </c>
      <c r="CX35" s="59">
        <f t="shared" si="14"/>
        <v>380.97559135320034</v>
      </c>
      <c r="CY35" s="59">
        <f ca="1">AVERAGE(OFFSET($CX$3,0,0,'Données projet'!$E$13+1,1))-AVERAGE(OFFSET($H$3,0,0,'Données projet'!$E$13+1,1))</f>
        <v>205.74526926885287</v>
      </c>
      <c r="CZ35" s="59">
        <f t="shared" si="42"/>
        <v>201.56217137928999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0.94298643342431598</v>
      </c>
      <c r="DH35" s="21">
        <f>EXP(-LN(2)/2)*DH34+(1-EXP(-LN(2)/2))/(LN(2)/2)*DB35*DE35*VLOOKUP('Données projet'!$B$13,Paramètres!$A$1:$I$89,3,0)*0.475*44/12</f>
        <v>1.610136999078853</v>
      </c>
      <c r="DI35" s="22">
        <f t="shared" si="15"/>
        <v>2.5531234325031691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5.3369963369963358</v>
      </c>
      <c r="DO35" s="12">
        <f>IF('Données projet'!$A$166&gt;35,DO34+DN35-DW34,IF(A35&lt;'Données projet'!$A$166,$DL$205^A35,IF(A35='Données projet'!$A$166,'Données projet'!$B$166,DO34+DN35-DW34)))</f>
        <v>98.379120879120876</v>
      </c>
      <c r="DP35" s="17">
        <f>DO35*VLOOKUP('Données projet'!$B$14,Paramètres!$A$1:$I$89,3,0)*VLOOKUP('Données projet'!$B$14,Paramètres!$A$1:$I$89,5,0)</f>
        <v>93.617571428571438</v>
      </c>
      <c r="DQ35" s="13">
        <f t="shared" si="43"/>
        <v>25.435684981217531</v>
      </c>
      <c r="DR35" s="20">
        <f t="shared" si="16"/>
        <v>207.35108824704912</v>
      </c>
      <c r="DS35" s="59">
        <f t="shared" si="17"/>
        <v>448.32359072757447</v>
      </c>
      <c r="DT35" s="59">
        <f ca="1">AVERAGE(OFFSET($DS$3,0,0,'Données projet'!$E$14+1,1))-AVERAGE(OFFSET($H$3,0,0,'Données projet'!$E$14+1,1))</f>
        <v>403.89478276355294</v>
      </c>
      <c r="DU35" s="59">
        <f t="shared" si="44"/>
        <v>241.1593989733278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5.3369963369963358</v>
      </c>
      <c r="N36" s="13">
        <f>IF('Données projet'!$A$36&gt;35,N35+M36-V35,IF(A36&lt;'Données projet'!$A$36,$K$205^A36,IF(A36='Données projet'!$A$36,'Données projet'!$B$36,N35+M36-V35)))</f>
        <v>103.71611721611721</v>
      </c>
      <c r="O36" s="13">
        <f>N36*VLOOKUP('Données projet'!$B$9,Paramètres!$A$1:$I$89,3,0)*VLOOKUP('Données projet'!$B$9,Paramètres!$A$1:$I$89,5,0)</f>
        <v>93.842342857142853</v>
      </c>
      <c r="P36" s="13">
        <f t="shared" si="33"/>
        <v>25.489638806781517</v>
      </c>
      <c r="Q36" s="20">
        <f t="shared" si="53"/>
        <v>207.83653473133492</v>
      </c>
      <c r="R36" s="59">
        <f t="shared" si="0"/>
        <v>449.71738056587566</v>
      </c>
      <c r="S36" s="59">
        <f ca="1">AVERAGE(OFFSET($R$3,0,0,'Données projet'!$E$9+1,1))-AVERAGE(OFFSET($H$3,0,0,'Données projet'!$E$9+1,1))</f>
        <v>388.1278150896951</v>
      </c>
      <c r="T36" s="59">
        <f t="shared" si="34"/>
        <v>232.26614607059227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5.3369963369963358</v>
      </c>
      <c r="AI36" s="13">
        <f>IF('Données projet'!$A$62&gt;35,AI35+AH36-AQ35,IF(A36&lt;'Données projet'!$A$62,$AF$205^A36,IF(A36='Données projet'!$A$62,'Données projet'!$B$62,AI35+AH36-AQ35)))</f>
        <v>103.71611721611721</v>
      </c>
      <c r="AJ36" s="13">
        <f>AI36*VLOOKUP('Données projet'!$B$10,Paramètres!$A$1:$I$89,3,0)*VLOOKUP('Données projet'!$B$10,Paramètres!$A$1:$I$89,5,0)</f>
        <v>105.16814285714285</v>
      </c>
      <c r="AK36" s="13">
        <f t="shared" si="35"/>
        <v>28.189602262365472</v>
      </c>
      <c r="AL36" s="20">
        <f t="shared" si="4"/>
        <v>232.264739416477</v>
      </c>
      <c r="AM36" s="59">
        <f t="shared" si="5"/>
        <v>474.14558525101774</v>
      </c>
      <c r="AN36" s="59">
        <f ca="1">AVERAGE(OFFSET($AM$3,0,0,'Données projet'!$E$10+1,1))-AVERAGE(OFFSET($H$3,0,0,'Données projet'!$E$10+1,1))</f>
        <v>424.89201140676084</v>
      </c>
      <c r="AO36" s="59">
        <f t="shared" si="36"/>
        <v>253.0016648946303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6.6</v>
      </c>
      <c r="BD36" s="12">
        <f>IF('Données projet'!$A$88&gt;35,BD35+BC36-BL35,IF(A36&lt;'Données projet'!$A$88,$BA$205^A36,IF(A36='Données projet'!$A$88,'Données projet'!$B$88,BD35+BC36-BL35)))</f>
        <v>81.8</v>
      </c>
      <c r="BE36" s="13">
        <f>BD36*VLOOKUP('Données projet'!$B$11,Paramètres!$A$1:$I$89,3,0)*VLOOKUP('Données projet'!$B$11,Paramètres!$A$1:$I$89,5,0)</f>
        <v>71.460480000000004</v>
      </c>
      <c r="BF36" s="13">
        <f t="shared" si="37"/>
        <v>20.035709203981977</v>
      </c>
      <c r="BG36" s="20">
        <f t="shared" si="7"/>
        <v>159.35586286360194</v>
      </c>
      <c r="BH36" s="59">
        <f t="shared" si="8"/>
        <v>401.23670869814271</v>
      </c>
      <c r="BI36" s="59">
        <f ca="1">AVERAGE(OFFSET($BH$3,0,0,'Données projet'!$E$11+1,1))-AVERAGE(OFFSET($H$3,0,0,'Données projet'!$E$11+1,1))</f>
        <v>218.97952644043698</v>
      </c>
      <c r="BJ36" s="59">
        <f t="shared" si="38"/>
        <v>204.10961748628714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4.8</v>
      </c>
      <c r="BY36" s="12">
        <f>IF('Données projet'!$A$114&gt;35,BY35+BX36-CG35,IF(A36&lt;'Données projet'!$A$114,$BV$205^A36,IF(A36='Données projet'!$A$114,'Données projet'!$B$114,BY35+BX36-CG35)))</f>
        <v>89.399999999999977</v>
      </c>
      <c r="BZ36" s="13">
        <f>BY36*VLOOKUP('Données projet'!$B$12,Paramètres!$A$1:$I$89,3,0)*VLOOKUP('Données projet'!$B$12,Paramètres!$A$1:$I$89,5,0)</f>
        <v>72.52127999999999</v>
      </c>
      <c r="CA36" s="13">
        <f t="shared" si="39"/>
        <v>20.298285002427914</v>
      </c>
      <c r="CB36" s="20">
        <f t="shared" si="10"/>
        <v>161.66074237922859</v>
      </c>
      <c r="CC36" s="59">
        <f t="shared" si="11"/>
        <v>403.54158821376933</v>
      </c>
      <c r="CD36" s="59">
        <f ca="1">AVERAGE(OFFSET($CC$3,0,0,'Données projet'!$E$12+1,1))-AVERAGE(OFFSET($H$3,0,0,'Données projet'!$E$12+1,1))</f>
        <v>256.23994291192162</v>
      </c>
      <c r="CE36" s="59">
        <f t="shared" si="40"/>
        <v>207.9118653708222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0.3180892995403225</v>
      </c>
      <c r="CM36" s="21">
        <f>EXP(-LN(2)/2)*CM35+(1-EXP(-LN(2)/2))/(LN(2)/2)*CG36*CJ36*VLOOKUP('Données projet'!$B$12,Paramètres!$A$1:$I$89,3,0)*0.475*44/12</f>
        <v>0.86827662377130421</v>
      </c>
      <c r="CN36" s="22">
        <f t="shared" si="12"/>
        <v>1.1863659233116266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6.2</v>
      </c>
      <c r="CT36" s="12">
        <f>IF('Données projet'!$A$140&gt;35,CT35+CS36-DB35,IF(A36&lt;'Données projet'!$A$140,$CQ$205^A36,IF(A36='Données projet'!$A$140,'Données projet'!$B$140,CT35+CS36-DB35)))</f>
        <v>114.59999999999995</v>
      </c>
      <c r="CU36" s="17">
        <f>CT36*VLOOKUP('Données projet'!$B$13,Paramètres!$A$1:$I$89,3,0)*VLOOKUP('Données projet'!$B$13,Paramètres!$A$1:$I$89,5,0)</f>
        <v>66.147119999999973</v>
      </c>
      <c r="CV36" s="13">
        <f t="shared" si="41"/>
        <v>18.713521974727925</v>
      </c>
      <c r="CW36" s="20">
        <f t="shared" si="13"/>
        <v>147.79895143931776</v>
      </c>
      <c r="CX36" s="59">
        <f t="shared" si="14"/>
        <v>389.67979727385853</v>
      </c>
      <c r="CY36" s="59">
        <f ca="1">AVERAGE(OFFSET($CX$3,0,0,'Données projet'!$E$13+1,1))-AVERAGE(OFFSET($H$3,0,0,'Données projet'!$E$13+1,1))</f>
        <v>205.74526926885287</v>
      </c>
      <c r="CZ36" s="59">
        <f t="shared" si="42"/>
        <v>201.56217137928999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0.91720041981282674</v>
      </c>
      <c r="DH36" s="21">
        <f>EXP(-LN(2)/2)*DH35+(1-EXP(-LN(2)/2))/(LN(2)/2)*DB36*DE36*VLOOKUP('Données projet'!$B$13,Paramètres!$A$1:$I$89,3,0)*0.475*44/12</f>
        <v>1.1385387906880149</v>
      </c>
      <c r="DI36" s="22">
        <f t="shared" si="15"/>
        <v>2.0557392105008416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5.3369963369963358</v>
      </c>
      <c r="DO36" s="12">
        <f>IF('Données projet'!$A$166&gt;35,DO35+DN36-DW35,IF(A36&lt;'Données projet'!$A$166,$DL$205^A36,IF(A36='Données projet'!$A$166,'Données projet'!$B$166,DO35+DN36-DW35)))</f>
        <v>103.71611721611721</v>
      </c>
      <c r="DP36" s="17">
        <f>DO36*VLOOKUP('Données projet'!$B$14,Paramètres!$A$1:$I$89,3,0)*VLOOKUP('Données projet'!$B$14,Paramètres!$A$1:$I$89,5,0)</f>
        <v>98.696257142857135</v>
      </c>
      <c r="DQ36" s="13">
        <f t="shared" si="43"/>
        <v>26.651161963830063</v>
      </c>
      <c r="DR36" s="20">
        <f t="shared" si="16"/>
        <v>218.31342161081352</v>
      </c>
      <c r="DS36" s="59">
        <f t="shared" si="17"/>
        <v>460.19426744535428</v>
      </c>
      <c r="DT36" s="59">
        <f ca="1">AVERAGE(OFFSET($DS$3,0,0,'Données projet'!$E$14+1,1))-AVERAGE(OFFSET($H$3,0,0,'Données projet'!$E$14+1,1))</f>
        <v>403.89478276355294</v>
      </c>
      <c r="DU36" s="59">
        <f t="shared" si="44"/>
        <v>241.1593989733278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5.3369963369963358</v>
      </c>
      <c r="N37" s="13">
        <f>IF('Données projet'!$A$36&gt;35,N36+M37-V36,IF(A37&lt;'Données projet'!$A$36,$K$205^A37,IF(A37='Données projet'!$A$36,'Données projet'!$B$36,N36+M37-V36)))</f>
        <v>109.05311355311355</v>
      </c>
      <c r="O37" s="13">
        <f>N37*VLOOKUP('Données projet'!$B$9,Paramètres!$A$1:$I$89,3,0)*VLOOKUP('Données projet'!$B$9,Paramètres!$A$1:$I$89,5,0)</f>
        <v>98.671257142857144</v>
      </c>
      <c r="P37" s="13">
        <f t="shared" si="33"/>
        <v>26.645196865813876</v>
      </c>
      <c r="Q37" s="20">
        <f t="shared" si="53"/>
        <v>218.25949073176866</v>
      </c>
      <c r="R37" s="59">
        <f t="shared" si="0"/>
        <v>461.03292219388425</v>
      </c>
      <c r="S37" s="59">
        <f ca="1">AVERAGE(OFFSET($R$3,0,0,'Données projet'!$E$9+1,1))-AVERAGE(OFFSET($H$3,0,0,'Données projet'!$E$9+1,1))</f>
        <v>388.1278150896951</v>
      </c>
      <c r="T37" s="59">
        <f t="shared" si="34"/>
        <v>232.26614607059227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5.3369963369963358</v>
      </c>
      <c r="AI37" s="13">
        <f>IF('Données projet'!$A$62&gt;35,AI36+AH37-AQ36,IF(A37&lt;'Données projet'!$A$62,$AF$205^A37,IF(A37='Données projet'!$A$62,'Données projet'!$B$62,AI36+AH37-AQ36)))</f>
        <v>109.05311355311355</v>
      </c>
      <c r="AJ37" s="13">
        <f>AI37*VLOOKUP('Données projet'!$B$10,Paramètres!$A$1:$I$89,3,0)*VLOOKUP('Données projet'!$B$10,Paramètres!$A$1:$I$89,5,0)</f>
        <v>110.57985714285715</v>
      </c>
      <c r="AK37" s="13">
        <f t="shared" si="35"/>
        <v>29.467561605850825</v>
      </c>
      <c r="AL37" s="20">
        <f t="shared" si="4"/>
        <v>243.91592098733301</v>
      </c>
      <c r="AM37" s="59">
        <f t="shared" si="5"/>
        <v>486.68935244944862</v>
      </c>
      <c r="AN37" s="59">
        <f ca="1">AVERAGE(OFFSET($AM$3,0,0,'Données projet'!$E$10+1,1))-AVERAGE(OFFSET($H$3,0,0,'Données projet'!$E$10+1,1))</f>
        <v>424.89201140676084</v>
      </c>
      <c r="AO37" s="59">
        <f t="shared" si="36"/>
        <v>253.0016648946303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6.6</v>
      </c>
      <c r="BD37" s="12">
        <f>IF('Données projet'!$A$88&gt;35,BD36+BC37-BL36,IF(A37&lt;'Données projet'!$A$88,$BA$205^A37,IF(A37='Données projet'!$A$88,'Données projet'!$B$88,BD36+BC37-BL36)))</f>
        <v>88.399999999999991</v>
      </c>
      <c r="BE37" s="13">
        <f>BD37*VLOOKUP('Données projet'!$B$11,Paramètres!$A$1:$I$89,3,0)*VLOOKUP('Données projet'!$B$11,Paramètres!$A$1:$I$89,5,0)</f>
        <v>77.226240000000004</v>
      </c>
      <c r="BF37" s="13">
        <f t="shared" si="37"/>
        <v>21.457598855530147</v>
      </c>
      <c r="BG37" s="20">
        <f t="shared" si="7"/>
        <v>171.87435267338171</v>
      </c>
      <c r="BH37" s="59">
        <f t="shared" si="8"/>
        <v>414.64778413549732</v>
      </c>
      <c r="BI37" s="59">
        <f ca="1">AVERAGE(OFFSET($BH$3,0,0,'Données projet'!$E$11+1,1))-AVERAGE(OFFSET($H$3,0,0,'Données projet'!$E$11+1,1))</f>
        <v>218.97952644043698</v>
      </c>
      <c r="BJ37" s="59">
        <f t="shared" si="38"/>
        <v>204.10961748628714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4.8</v>
      </c>
      <c r="BY37" s="12">
        <f>IF('Données projet'!$A$114&gt;35,BY36+BX37-CG36,IF(A37&lt;'Données projet'!$A$114,$BV$205^A37,IF(A37='Données projet'!$A$114,'Données projet'!$B$114,BY36+BX37-CG36)))</f>
        <v>94.199999999999974</v>
      </c>
      <c r="BZ37" s="13">
        <f>BY37*VLOOKUP('Données projet'!$B$12,Paramètres!$A$1:$I$89,3,0)*VLOOKUP('Données projet'!$B$12,Paramètres!$A$1:$I$89,5,0)</f>
        <v>76.415039999999976</v>
      </c>
      <c r="CA37" s="13">
        <f t="shared" si="39"/>
        <v>21.25831764793006</v>
      </c>
      <c r="CB37" s="20">
        <f t="shared" si="10"/>
        <v>170.11443123681147</v>
      </c>
      <c r="CC37" s="59">
        <f t="shared" si="11"/>
        <v>412.88786269892705</v>
      </c>
      <c r="CD37" s="59">
        <f ca="1">AVERAGE(OFFSET($CC$3,0,0,'Données projet'!$E$12+1,1))-AVERAGE(OFFSET($H$3,0,0,'Données projet'!$E$12+1,1))</f>
        <v>256.23994291192162</v>
      </c>
      <c r="CE37" s="59">
        <f t="shared" si="40"/>
        <v>207.9118653708222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0.30939113091680315</v>
      </c>
      <c r="CM37" s="21">
        <f>EXP(-LN(2)/2)*CM36+(1-EXP(-LN(2)/2))/(LN(2)/2)*CG37*CJ37*VLOOKUP('Données projet'!$B$12,Paramètres!$A$1:$I$89,3,0)*0.475*44/12</f>
        <v>0.61396428861444985</v>
      </c>
      <c r="CN37" s="22">
        <f t="shared" si="12"/>
        <v>0.923355419531253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6.2</v>
      </c>
      <c r="CT37" s="12">
        <f>IF('Données projet'!$A$140&gt;35,CT36+CS37-DB36,IF(A37&lt;'Données projet'!$A$140,$CQ$205^A37,IF(A37='Données projet'!$A$140,'Données projet'!$B$140,CT36+CS37-DB36)))</f>
        <v>120.79999999999995</v>
      </c>
      <c r="CU37" s="17">
        <f>CT37*VLOOKUP('Données projet'!$B$13,Paramètres!$A$1:$I$89,3,0)*VLOOKUP('Données projet'!$B$13,Paramètres!$A$1:$I$89,5,0)</f>
        <v>69.72575999999998</v>
      </c>
      <c r="CV37" s="13">
        <f t="shared" si="41"/>
        <v>19.605338562925169</v>
      </c>
      <c r="CW37" s="20">
        <f t="shared" si="13"/>
        <v>155.5849966637613</v>
      </c>
      <c r="CX37" s="59">
        <f t="shared" si="14"/>
        <v>398.35842812587691</v>
      </c>
      <c r="CY37" s="59">
        <f ca="1">AVERAGE(OFFSET($CX$3,0,0,'Données projet'!$E$13+1,1))-AVERAGE(OFFSET($H$3,0,0,'Données projet'!$E$13+1,1))</f>
        <v>205.74526926885287</v>
      </c>
      <c r="CZ37" s="59">
        <f t="shared" si="42"/>
        <v>201.56217137928999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0.89211952609957124</v>
      </c>
      <c r="DH37" s="21">
        <f>EXP(-LN(2)/2)*DH36+(1-EXP(-LN(2)/2))/(LN(2)/2)*DB37*DE37*VLOOKUP('Données projet'!$B$13,Paramètres!$A$1:$I$89,3,0)*0.475*44/12</f>
        <v>0.80506849953942661</v>
      </c>
      <c r="DI37" s="22">
        <f t="shared" si="15"/>
        <v>1.6971880256389977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5.3369963369963358</v>
      </c>
      <c r="DO37" s="12">
        <f>IF('Données projet'!$A$166&gt;35,DO36+DN37-DW36,IF(A37&lt;'Données projet'!$A$166,$DL$205^A37,IF(A37='Données projet'!$A$166,'Données projet'!$B$166,DO36+DN37-DW36)))</f>
        <v>109.05311355311355</v>
      </c>
      <c r="DP37" s="17">
        <f>DO37*VLOOKUP('Données projet'!$B$14,Paramètres!$A$1:$I$89,3,0)*VLOOKUP('Données projet'!$B$14,Paramètres!$A$1:$I$89,5,0)</f>
        <v>103.77494285714286</v>
      </c>
      <c r="DQ37" s="13">
        <f t="shared" si="43"/>
        <v>27.859377004589561</v>
      </c>
      <c r="DR37" s="20">
        <f t="shared" si="16"/>
        <v>229.26310709251729</v>
      </c>
      <c r="DS37" s="59">
        <f t="shared" si="17"/>
        <v>472.0365385546329</v>
      </c>
      <c r="DT37" s="59">
        <f ca="1">AVERAGE(OFFSET($DS$3,0,0,'Données projet'!$E$14+1,1))-AVERAGE(OFFSET($H$3,0,0,'Données projet'!$E$14+1,1))</f>
        <v>403.89478276355294</v>
      </c>
      <c r="DU37" s="59">
        <f t="shared" si="44"/>
        <v>241.1593989733278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5.3369963369963358</v>
      </c>
      <c r="N38" s="13">
        <f>IF('Données projet'!$A$36&gt;35,N37+M38-V37,IF(A38&lt;'Données projet'!$A$36,$K$205^A38,IF(A38='Données projet'!$A$36,'Données projet'!$B$36,N37+M38-V37)))</f>
        <v>114.39010989010988</v>
      </c>
      <c r="O38" s="13">
        <f>N38*VLOOKUP('Données projet'!$B$9,Paramètres!$A$1:$I$89,3,0)*VLOOKUP('Données projet'!$B$9,Paramètres!$A$1:$I$89,5,0)</f>
        <v>103.50017142857141</v>
      </c>
      <c r="P38" s="13">
        <f t="shared" si="33"/>
        <v>27.794188178262466</v>
      </c>
      <c r="Q38" s="20">
        <f t="shared" si="53"/>
        <v>228.67100964856897</v>
      </c>
      <c r="R38" s="59">
        <f t="shared" si="0"/>
        <v>472.32154237314347</v>
      </c>
      <c r="S38" s="59">
        <f ca="1">AVERAGE(OFFSET($R$3,0,0,'Données projet'!$E$9+1,1))-AVERAGE(OFFSET($H$3,0,0,'Données projet'!$E$9+1,1))</f>
        <v>388.1278150896951</v>
      </c>
      <c r="T38" s="59">
        <f t="shared" si="34"/>
        <v>232.26614607059227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5.3369963369963358</v>
      </c>
      <c r="AI38" s="13">
        <f>IF('Données projet'!$A$62&gt;35,AI37+AH38-AQ37,IF(A38&lt;'Données projet'!$A$62,$AF$205^A38,IF(A38='Données projet'!$A$62,'Données projet'!$B$62,AI37+AH38-AQ37)))</f>
        <v>114.39010989010988</v>
      </c>
      <c r="AJ38" s="13">
        <f>AI38*VLOOKUP('Données projet'!$B$10,Paramètres!$A$1:$I$89,3,0)*VLOOKUP('Données projet'!$B$10,Paramètres!$A$1:$I$89,5,0)</f>
        <v>115.99157142857143</v>
      </c>
      <c r="AK38" s="13">
        <f t="shared" si="35"/>
        <v>30.738258626956586</v>
      </c>
      <c r="AL38" s="20">
        <f t="shared" si="4"/>
        <v>255.55445401337798</v>
      </c>
      <c r="AM38" s="59">
        <f t="shared" si="5"/>
        <v>499.20498673795248</v>
      </c>
      <c r="AN38" s="59">
        <f ca="1">AVERAGE(OFFSET($AM$3,0,0,'Données projet'!$E$10+1,1))-AVERAGE(OFFSET($H$3,0,0,'Données projet'!$E$10+1,1))</f>
        <v>424.89201140676084</v>
      </c>
      <c r="AO38" s="59">
        <f t="shared" si="36"/>
        <v>253.0016648946303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95</v>
      </c>
      <c r="BB38" s="12">
        <f>VLOOKUP(A38,'Données projet'!$A$87:$I$107,9,0)</f>
        <v>6.6</v>
      </c>
      <c r="BC38" s="12">
        <f t="array" ref="BC38">INDEX(BB:BB,MIN(IF(ISNUMBER(BB38:BB234),ROW(BB38:BB234),"")))</f>
        <v>6.6</v>
      </c>
      <c r="BD38" s="12">
        <f>IF('Données projet'!$A$88&gt;35,BD37+BC38-BL37,IF(A38&lt;'Données projet'!$A$88,$BA$205^A38,IF(A38='Données projet'!$A$88,'Données projet'!$B$88,BD37+BC38-BL37)))</f>
        <v>94.999999999999986</v>
      </c>
      <c r="BE38" s="13">
        <f>BD38*VLOOKUP('Données projet'!$B$11,Paramètres!$A$1:$I$89,3,0)*VLOOKUP('Données projet'!$B$11,Paramètres!$A$1:$I$89,5,0)</f>
        <v>82.99199999999999</v>
      </c>
      <c r="BF38" s="13">
        <f t="shared" si="37"/>
        <v>22.867173045817303</v>
      </c>
      <c r="BG38" s="20">
        <f t="shared" si="7"/>
        <v>184.37139305479846</v>
      </c>
      <c r="BH38" s="59">
        <f t="shared" si="8"/>
        <v>428.02192577937296</v>
      </c>
      <c r="BI38" s="59">
        <f ca="1">AVERAGE(OFFSET($BH$3,0,0,'Données projet'!$E$11+1,1))-AVERAGE(OFFSET($H$3,0,0,'Données projet'!$E$11+1,1))</f>
        <v>218.97952644043698</v>
      </c>
      <c r="BJ38" s="59">
        <f t="shared" si="38"/>
        <v>204.10961748628714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14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99</v>
      </c>
      <c r="BW38" s="12">
        <f>VLOOKUP(A38,'Données projet'!$A$113:$I$133,9,0)</f>
        <v>4.8</v>
      </c>
      <c r="BX38" s="12">
        <f t="array" ref="BX38">INDEX(BW:BW,MIN(IF(ISNUMBER(BW38:BW234),ROW(BW38:BW234),"")))</f>
        <v>4.8</v>
      </c>
      <c r="BY38" s="12">
        <f>IF('Données projet'!$A$114&gt;35,BY37+BX38-CG37,IF(A38&lt;'Données projet'!$A$114,$BV$205^A38,IF(A38='Données projet'!$A$114,'Données projet'!$B$114,BY37+BX38-CG37)))</f>
        <v>98.999999999999972</v>
      </c>
      <c r="BZ38" s="13">
        <f>BY38*VLOOKUP('Données projet'!$B$12,Paramètres!$A$1:$I$89,3,0)*VLOOKUP('Données projet'!$B$12,Paramètres!$A$1:$I$89,5,0)</f>
        <v>80.308799999999991</v>
      </c>
      <c r="CA38" s="13">
        <f t="shared" si="39"/>
        <v>22.212670396389218</v>
      </c>
      <c r="CB38" s="20">
        <f t="shared" si="10"/>
        <v>178.5582276070445</v>
      </c>
      <c r="CC38" s="59">
        <f t="shared" si="11"/>
        <v>422.20876033161903</v>
      </c>
      <c r="CD38" s="59">
        <f ca="1">AVERAGE(OFFSET($CC$3,0,0,'Données projet'!$E$12+1,1))-AVERAGE(OFFSET($H$3,0,0,'Données projet'!$E$12+1,1))</f>
        <v>256.23994291192162</v>
      </c>
      <c r="CE38" s="59">
        <f t="shared" si="40"/>
        <v>207.9118653708222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10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4.3000000000000003E-2</v>
      </c>
      <c r="CJ38" s="16">
        <f>IF(ISNA(VLOOKUP(A38,'Données projet'!$A$113:$I$133,7,0)),0%,VLOOKUP(A38,'Données projet'!$A$113:$I$133,7,0))</f>
        <v>0.3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0.68501829329055786</v>
      </c>
      <c r="CM38" s="21">
        <f>EXP(-LN(2)/2)*CM37+(1-EXP(-LN(2)/2))/(LN(2)/2)*CG38*CJ38*VLOOKUP('Données projet'!$B$12,Paramètres!$A$1:$I$89,3,0)*0.475*44/12</f>
        <v>2.7303054112693248</v>
      </c>
      <c r="CN38" s="22">
        <f t="shared" si="12"/>
        <v>3.4153237045598828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127</v>
      </c>
      <c r="CR38" s="12">
        <f>VLOOKUP(A38,'Données projet'!$A$139:$I$159,9,0)</f>
        <v>6.2</v>
      </c>
      <c r="CS38" s="12">
        <f t="array" ref="CS38">INDEX(CR:CR,MIN(IF(ISNUMBER(CR38:CR234),ROW(CR38:CR234),"")))</f>
        <v>6.2</v>
      </c>
      <c r="CT38" s="12">
        <f>IF('Données projet'!$A$140&gt;35,CT37+CS38-DB37,IF(A38&lt;'Données projet'!$A$140,$CQ$205^A38,IF(A38='Données projet'!$A$140,'Données projet'!$B$140,CT37+CS38-DB37)))</f>
        <v>126.99999999999996</v>
      </c>
      <c r="CU38" s="17">
        <f>CT38*VLOOKUP('Données projet'!$B$13,Paramètres!$A$1:$I$89,3,0)*VLOOKUP('Données projet'!$B$13,Paramètres!$A$1:$I$89,5,0)</f>
        <v>73.304399999999973</v>
      </c>
      <c r="CV38" s="13">
        <f t="shared" si="41"/>
        <v>20.491840705192942</v>
      </c>
      <c r="CW38" s="20">
        <f t="shared" si="13"/>
        <v>163.36178589487767</v>
      </c>
      <c r="CX38" s="59">
        <f t="shared" si="14"/>
        <v>407.01231861945217</v>
      </c>
      <c r="CY38" s="59">
        <f ca="1">AVERAGE(OFFSET($CX$3,0,0,'Données projet'!$E$13+1,1))-AVERAGE(OFFSET($H$3,0,0,'Données projet'!$E$13+1,1))</f>
        <v>205.74526926885287</v>
      </c>
      <c r="CZ38" s="59">
        <f t="shared" si="42"/>
        <v>201.56217137928999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18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4.3000000000000003E-2</v>
      </c>
      <c r="DE38" s="16">
        <f>IF(ISNA(VLOOKUP(A38,'Données projet'!$A$139:$I$159,7,0)),0%,VLOOKUP(A38,'Données projet'!$A$139:$I$159,7,0))</f>
        <v>0.3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1.3596518959229904</v>
      </c>
      <c r="DH38" s="21">
        <f>EXP(-LN(2)/2)*DH37+(1-EXP(-LN(2)/2))/(LN(2)/2)*DB38*DE38*VLOOKUP('Données projet'!$B$13,Paramètres!$A$1:$I$89,3,0)*0.475*44/12</f>
        <v>3.5101295649392497</v>
      </c>
      <c r="DI38" s="22">
        <f t="shared" si="15"/>
        <v>4.8697814608622405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5.3369963369963358</v>
      </c>
      <c r="DO38" s="12">
        <f>IF('Données projet'!$A$166&gt;35,DO37+DN38-DW37,IF(A38&lt;'Données projet'!$A$166,$DL$205^A38,IF(A38='Données projet'!$A$166,'Données projet'!$B$166,DO37+DN38-DW37)))</f>
        <v>114.39010989010988</v>
      </c>
      <c r="DP38" s="17">
        <f>DO38*VLOOKUP('Données projet'!$B$14,Paramètres!$A$1:$I$89,3,0)*VLOOKUP('Données projet'!$B$14,Paramètres!$A$1:$I$89,5,0)</f>
        <v>108.85362857142857</v>
      </c>
      <c r="DQ38" s="13">
        <f t="shared" si="43"/>
        <v>29.060726062346895</v>
      </c>
      <c r="DR38" s="20">
        <f t="shared" si="16"/>
        <v>240.20083432049225</v>
      </c>
      <c r="DS38" s="59">
        <f t="shared" si="17"/>
        <v>483.85136704506675</v>
      </c>
      <c r="DT38" s="59">
        <f ca="1">AVERAGE(OFFSET($DS$3,0,0,'Données projet'!$E$14+1,1))-AVERAGE(OFFSET($H$3,0,0,'Données projet'!$E$14+1,1))</f>
        <v>403.89478276355294</v>
      </c>
      <c r="DU38" s="59">
        <f t="shared" si="44"/>
        <v>241.1593989733278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5.3369963369963358</v>
      </c>
      <c r="N39" s="13">
        <f>IF('Données projet'!$A$36&gt;35,N38+M39-V38,IF(A39&lt;'Données projet'!$A$36,$K$205^A39,IF(A39='Données projet'!$A$36,'Données projet'!$B$36,N38+M39-V38)))</f>
        <v>119.72710622710622</v>
      </c>
      <c r="O39" s="13">
        <f>N39*VLOOKUP('Données projet'!$B$9,Paramètres!$A$1:$I$89,3,0)*VLOOKUP('Données projet'!$B$9,Paramètres!$A$1:$I$89,5,0)</f>
        <v>108.32908571428571</v>
      </c>
      <c r="P39" s="13">
        <f t="shared" si="33"/>
        <v>28.936954111534238</v>
      </c>
      <c r="Q39" s="20">
        <f t="shared" si="53"/>
        <v>239.07168602996975</v>
      </c>
      <c r="R39" s="59">
        <f t="shared" si="0"/>
        <v>483.58410427100421</v>
      </c>
      <c r="S39" s="59">
        <f ca="1">AVERAGE(OFFSET($R$3,0,0,'Données projet'!$E$9+1,1))-AVERAGE(OFFSET($H$3,0,0,'Données projet'!$E$9+1,1))</f>
        <v>388.1278150896951</v>
      </c>
      <c r="T39" s="59">
        <f t="shared" si="34"/>
        <v>232.26614607059227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5.3369963369963358</v>
      </c>
      <c r="AI39" s="13">
        <f>IF('Données projet'!$A$62&gt;35,AI38+AH39-AQ38,IF(A39&lt;'Données projet'!$A$62,$AF$205^A39,IF(A39='Données projet'!$A$62,'Données projet'!$B$62,AI38+AH39-AQ38)))</f>
        <v>119.72710622710622</v>
      </c>
      <c r="AJ39" s="13">
        <f>AI39*VLOOKUP('Données projet'!$B$10,Paramètres!$A$1:$I$89,3,0)*VLOOKUP('Données projet'!$B$10,Paramètres!$A$1:$I$89,5,0)</f>
        <v>121.40328571428572</v>
      </c>
      <c r="AK39" s="13">
        <f t="shared" si="35"/>
        <v>32.002070852076919</v>
      </c>
      <c r="AL39" s="20">
        <f t="shared" si="4"/>
        <v>267.18099601974819</v>
      </c>
      <c r="AM39" s="59">
        <f t="shared" si="5"/>
        <v>511.69341426078262</v>
      </c>
      <c r="AN39" s="59">
        <f ca="1">AVERAGE(OFFSET($AM$3,0,0,'Données projet'!$E$10+1,1))-AVERAGE(OFFSET($H$3,0,0,'Données projet'!$E$10+1,1))</f>
        <v>424.89201140676084</v>
      </c>
      <c r="AO39" s="59">
        <f t="shared" si="36"/>
        <v>253.0016648946303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5.6</v>
      </c>
      <c r="BD39" s="12">
        <f>IF('Données projet'!$A$88&gt;35,BD38+BC39-BL38,IF(A39&lt;'Données projet'!$A$88,$BA$205^A39,IF(A39='Données projet'!$A$88,'Données projet'!$B$88,BD38+BC39-BL38)))</f>
        <v>86.59999999999998</v>
      </c>
      <c r="BE39" s="13">
        <f>BD39*VLOOKUP('Données projet'!$B$11,Paramètres!$A$1:$I$89,3,0)*VLOOKUP('Données projet'!$B$11,Paramètres!$A$1:$I$89,5,0)</f>
        <v>75.653759999999991</v>
      </c>
      <c r="BF39" s="13">
        <f t="shared" si="37"/>
        <v>21.071075829664714</v>
      </c>
      <c r="BG39" s="20">
        <f t="shared" si="7"/>
        <v>168.46242240333265</v>
      </c>
      <c r="BH39" s="59">
        <f t="shared" si="8"/>
        <v>412.97484064436708</v>
      </c>
      <c r="BI39" s="59">
        <f ca="1">AVERAGE(OFFSET($BH$3,0,0,'Données projet'!$E$11+1,1))-AVERAGE(OFFSET($H$3,0,0,'Données projet'!$E$11+1,1))</f>
        <v>218.97952644043698</v>
      </c>
      <c r="BJ39" s="59">
        <f t="shared" si="38"/>
        <v>204.10961748628714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4.8</v>
      </c>
      <c r="BY39" s="12">
        <f>IF('Données projet'!$A$114&gt;35,BY38+BX39-CG38,IF(A39&lt;'Données projet'!$A$114,$BV$205^A39,IF(A39='Données projet'!$A$114,'Données projet'!$B$114,BY38+BX39-CG38)))</f>
        <v>93.799999999999969</v>
      </c>
      <c r="BZ39" s="13">
        <f>BY39*VLOOKUP('Données projet'!$B$12,Paramètres!$A$1:$I$89,3,0)*VLOOKUP('Données projet'!$B$12,Paramètres!$A$1:$I$89,5,0)</f>
        <v>76.090559999999968</v>
      </c>
      <c r="CA39" s="13">
        <f t="shared" si="39"/>
        <v>21.178536336044907</v>
      </c>
      <c r="CB39" s="20">
        <f t="shared" si="10"/>
        <v>169.41034278527815</v>
      </c>
      <c r="CC39" s="59">
        <f t="shared" si="11"/>
        <v>413.92276102631257</v>
      </c>
      <c r="CD39" s="59">
        <f ca="1">AVERAGE(OFFSET($CC$3,0,0,'Données projet'!$E$12+1,1))-AVERAGE(OFFSET($H$3,0,0,'Données projet'!$E$12+1,1))</f>
        <v>256.23994291192162</v>
      </c>
      <c r="CE39" s="59">
        <f t="shared" si="40"/>
        <v>207.9118653708222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0.66628643203698112</v>
      </c>
      <c r="CM39" s="21">
        <f>EXP(-LN(2)/2)*CM38+(1-EXP(-LN(2)/2))/(LN(2)/2)*CG39*CJ39*VLOOKUP('Données projet'!$B$12,Paramètres!$A$1:$I$89,3,0)*0.475*44/12</f>
        <v>1.9306174710188653</v>
      </c>
      <c r="CN39" s="22">
        <f t="shared" si="12"/>
        <v>2.5969039030558463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6</v>
      </c>
      <c r="CT39" s="12">
        <f>IF('Données projet'!$A$140&gt;35,CT38+CS39-DB38,IF(A39&lt;'Données projet'!$A$140,$CQ$205^A39,IF(A39='Données projet'!$A$140,'Données projet'!$B$140,CT38+CS39-DB38)))</f>
        <v>114.99999999999994</v>
      </c>
      <c r="CU39" s="17">
        <f>CT39*VLOOKUP('Données projet'!$B$13,Paramètres!$A$1:$I$89,3,0)*VLOOKUP('Données projet'!$B$13,Paramètres!$A$1:$I$89,5,0)</f>
        <v>66.377999999999957</v>
      </c>
      <c r="CV39" s="13">
        <f t="shared" si="41"/>
        <v>18.771224988253085</v>
      </c>
      <c r="CW39" s="20">
        <f t="shared" si="13"/>
        <v>148.30156685454071</v>
      </c>
      <c r="CX39" s="59">
        <f t="shared" si="14"/>
        <v>392.81398509557516</v>
      </c>
      <c r="CY39" s="59">
        <f ca="1">AVERAGE(OFFSET($CX$3,0,0,'Données projet'!$E$13+1,1))-AVERAGE(OFFSET($H$3,0,0,'Données projet'!$E$13+1,1))</f>
        <v>205.74526926885287</v>
      </c>
      <c r="CZ39" s="59">
        <f t="shared" si="42"/>
        <v>201.56217137928999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1.3224721433279905</v>
      </c>
      <c r="DH39" s="21">
        <f>EXP(-LN(2)/2)*DH38+(1-EXP(-LN(2)/2))/(LN(2)/2)*DB39*DE39*VLOOKUP('Données projet'!$B$13,Paramètres!$A$1:$I$89,3,0)*0.475*44/12</f>
        <v>2.4820364182119294</v>
      </c>
      <c r="DI39" s="22">
        <f t="shared" si="15"/>
        <v>3.8045085615399197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5.3369963369963358</v>
      </c>
      <c r="DO39" s="12">
        <f>IF('Données projet'!$A$166&gt;35,DO38+DN39-DW38,IF(A39&lt;'Données projet'!$A$166,$DL$205^A39,IF(A39='Données projet'!$A$166,'Données projet'!$B$166,DO38+DN39-DW38)))</f>
        <v>119.72710622710622</v>
      </c>
      <c r="DP39" s="17">
        <f>DO39*VLOOKUP('Données projet'!$B$14,Paramètres!$A$1:$I$89,3,0)*VLOOKUP('Données projet'!$B$14,Paramètres!$A$1:$I$89,5,0)</f>
        <v>113.93231428571427</v>
      </c>
      <c r="DQ39" s="13">
        <f t="shared" si="43"/>
        <v>30.25556606009021</v>
      </c>
      <c r="DR39" s="20">
        <f t="shared" si="16"/>
        <v>251.12722493560943</v>
      </c>
      <c r="DS39" s="59">
        <f t="shared" si="17"/>
        <v>495.63964317664386</v>
      </c>
      <c r="DT39" s="59">
        <f ca="1">AVERAGE(OFFSET($DS$3,0,0,'Données projet'!$E$14+1,1))-AVERAGE(OFFSET($H$3,0,0,'Données projet'!$E$14+1,1))</f>
        <v>403.89478276355294</v>
      </c>
      <c r="DU39" s="59">
        <f t="shared" si="44"/>
        <v>241.1593989733278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5.3369963369963358</v>
      </c>
      <c r="N40" s="13">
        <f>IF('Données projet'!$A$36&gt;35,N39+M40-V39,IF(A40&lt;'Données projet'!$A$36,$K$205^A40,IF(A40='Données projet'!$A$36,'Données projet'!$B$36,N39+M40-V39)))</f>
        <v>125.06410256410255</v>
      </c>
      <c r="O40" s="13">
        <f>N40*VLOOKUP('Données projet'!$B$9,Paramètres!$A$1:$I$89,3,0)*VLOOKUP('Données projet'!$B$9,Paramètres!$A$1:$I$89,5,0)</f>
        <v>113.15799999999999</v>
      </c>
      <c r="P40" s="13">
        <f t="shared" si="33"/>
        <v>30.073803878601733</v>
      </c>
      <c r="Q40" s="20">
        <f t="shared" si="53"/>
        <v>249.46205842189795</v>
      </c>
      <c r="R40" s="59">
        <f t="shared" si="0"/>
        <v>494.82141039256908</v>
      </c>
      <c r="S40" s="59">
        <f ca="1">AVERAGE(OFFSET($R$3,0,0,'Données projet'!$E$9+1,1))-AVERAGE(OFFSET($H$3,0,0,'Données projet'!$E$9+1,1))</f>
        <v>388.1278150896951</v>
      </c>
      <c r="T40" s="59">
        <f t="shared" si="34"/>
        <v>232.26614607059227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5.3369963369963358</v>
      </c>
      <c r="AI40" s="13">
        <f>IF('Données projet'!$A$62&gt;35,AI39+AH40-AQ39,IF(A40&lt;'Données projet'!$A$62,$AF$205^A40,IF(A40='Données projet'!$A$62,'Données projet'!$B$62,AI39+AH40-AQ39)))</f>
        <v>125.06410256410255</v>
      </c>
      <c r="AJ40" s="13">
        <f>AI40*VLOOKUP('Données projet'!$B$10,Paramètres!$A$1:$I$89,3,0)*VLOOKUP('Données projet'!$B$10,Paramètres!$A$1:$I$89,5,0)</f>
        <v>126.81499999999998</v>
      </c>
      <c r="AK40" s="13">
        <f t="shared" si="35"/>
        <v>33.259340247246584</v>
      </c>
      <c r="AL40" s="20">
        <f t="shared" si="4"/>
        <v>278.79614259728777</v>
      </c>
      <c r="AM40" s="59">
        <f t="shared" si="5"/>
        <v>524.15549456795884</v>
      </c>
      <c r="AN40" s="59">
        <f ca="1">AVERAGE(OFFSET($AM$3,0,0,'Données projet'!$E$10+1,1))-AVERAGE(OFFSET($H$3,0,0,'Données projet'!$E$10+1,1))</f>
        <v>424.89201140676084</v>
      </c>
      <c r="AO40" s="59">
        <f t="shared" si="36"/>
        <v>253.0016648946303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5.6</v>
      </c>
      <c r="BD40" s="12">
        <f>IF('Données projet'!$A$88&gt;35,BD39+BC40-BL39,IF(A40&lt;'Données projet'!$A$88,$BA$205^A40,IF(A40='Données projet'!$A$88,'Données projet'!$B$88,BD39+BC40-BL39)))</f>
        <v>92.199999999999974</v>
      </c>
      <c r="BE40" s="13">
        <f>BD40*VLOOKUP('Données projet'!$B$11,Paramètres!$A$1:$I$89,3,0)*VLOOKUP('Données projet'!$B$11,Paramètres!$A$1:$I$89,5,0)</f>
        <v>80.545919999999995</v>
      </c>
      <c r="BF40" s="13">
        <f t="shared" si="37"/>
        <v>22.270611528274312</v>
      </c>
      <c r="BG40" s="20">
        <f t="shared" si="7"/>
        <v>179.07212574507776</v>
      </c>
      <c r="BH40" s="59">
        <f t="shared" si="8"/>
        <v>424.43147771574888</v>
      </c>
      <c r="BI40" s="59">
        <f ca="1">AVERAGE(OFFSET($BH$3,0,0,'Données projet'!$E$11+1,1))-AVERAGE(OFFSET($H$3,0,0,'Données projet'!$E$11+1,1))</f>
        <v>218.97952644043698</v>
      </c>
      <c r="BJ40" s="59">
        <f t="shared" si="38"/>
        <v>204.10961748628714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4.8</v>
      </c>
      <c r="BY40" s="12">
        <f>IF('Données projet'!$A$114&gt;35,BY39+BX40-CG39,IF(A40&lt;'Données projet'!$A$114,$BV$205^A40,IF(A40='Données projet'!$A$114,'Données projet'!$B$114,BY39+BX40-CG39)))</f>
        <v>98.599999999999966</v>
      </c>
      <c r="BZ40" s="13">
        <f>BY40*VLOOKUP('Données projet'!$B$12,Paramètres!$A$1:$I$89,3,0)*VLOOKUP('Données projet'!$B$12,Paramètres!$A$1:$I$89,5,0)</f>
        <v>79.984319999999983</v>
      </c>
      <c r="CA40" s="13">
        <f t="shared" si="39"/>
        <v>22.133350243409112</v>
      </c>
      <c r="CB40" s="20">
        <f t="shared" si="10"/>
        <v>177.85494234060414</v>
      </c>
      <c r="CC40" s="59">
        <f t="shared" si="11"/>
        <v>423.21429431127524</v>
      </c>
      <c r="CD40" s="59">
        <f ca="1">AVERAGE(OFFSET($CC$3,0,0,'Données projet'!$E$12+1,1))-AVERAGE(OFFSET($H$3,0,0,'Données projet'!$E$12+1,1))</f>
        <v>256.23994291192162</v>
      </c>
      <c r="CE40" s="59">
        <f t="shared" si="40"/>
        <v>207.9118653708222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0.64806679451444926</v>
      </c>
      <c r="CM40" s="21">
        <f>EXP(-LN(2)/2)*CM39+(1-EXP(-LN(2)/2))/(LN(2)/2)*CG40*CJ40*VLOOKUP('Données projet'!$B$12,Paramètres!$A$1:$I$89,3,0)*0.475*44/12</f>
        <v>1.3651527056346626</v>
      </c>
      <c r="CN40" s="22">
        <f t="shared" si="12"/>
        <v>2.0132195001491118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6</v>
      </c>
      <c r="CT40" s="12">
        <f>IF('Données projet'!$A$140&gt;35,CT39+CS40-DB39,IF(A40&lt;'Données projet'!$A$140,$CQ$205^A40,IF(A40='Données projet'!$A$140,'Données projet'!$B$140,CT39+CS40-DB39)))</f>
        <v>120.99999999999994</v>
      </c>
      <c r="CU40" s="17">
        <f>CT40*VLOOKUP('Données projet'!$B$13,Paramètres!$A$1:$I$89,3,0)*VLOOKUP('Données projet'!$B$13,Paramètres!$A$1:$I$89,5,0)</f>
        <v>69.841199999999972</v>
      </c>
      <c r="CV40" s="13">
        <f t="shared" si="41"/>
        <v>19.634016723441825</v>
      </c>
      <c r="CW40" s="20">
        <f t="shared" si="13"/>
        <v>155.83600245999449</v>
      </c>
      <c r="CX40" s="59">
        <f t="shared" si="14"/>
        <v>401.19535443066559</v>
      </c>
      <c r="CY40" s="59">
        <f ca="1">AVERAGE(OFFSET($CX$3,0,0,'Données projet'!$E$13+1,1))-AVERAGE(OFFSET($H$3,0,0,'Données projet'!$E$13+1,1))</f>
        <v>205.74526926885287</v>
      </c>
      <c r="CZ40" s="59">
        <f t="shared" si="42"/>
        <v>201.56217137928999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1.286309073022899</v>
      </c>
      <c r="DH40" s="21">
        <f>EXP(-LN(2)/2)*DH39+(1-EXP(-LN(2)/2))/(LN(2)/2)*DB40*DE40*VLOOKUP('Données projet'!$B$13,Paramètres!$A$1:$I$89,3,0)*0.475*44/12</f>
        <v>1.7550647824696251</v>
      </c>
      <c r="DI40" s="22">
        <f t="shared" si="15"/>
        <v>3.041373855492524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5.3369963369963358</v>
      </c>
      <c r="DO40" s="12">
        <f>IF('Données projet'!$A$166&gt;35,DO39+DN40-DW39,IF(A40&lt;'Données projet'!$A$166,$DL$205^A40,IF(A40='Données projet'!$A$166,'Données projet'!$B$166,DO39+DN40-DW39)))</f>
        <v>125.06410256410255</v>
      </c>
      <c r="DP40" s="17">
        <f>DO40*VLOOKUP('Données projet'!$B$14,Paramètres!$A$1:$I$89,3,0)*VLOOKUP('Données projet'!$B$14,Paramètres!$A$1:$I$89,5,0)</f>
        <v>119.01100000000001</v>
      </c>
      <c r="DQ40" s="13">
        <f t="shared" si="43"/>
        <v>31.44422030114589</v>
      </c>
      <c r="DR40" s="20">
        <f t="shared" si="16"/>
        <v>262.04284202449577</v>
      </c>
      <c r="DS40" s="59">
        <f t="shared" si="17"/>
        <v>507.40219399516684</v>
      </c>
      <c r="DT40" s="59">
        <f ca="1">AVERAGE(OFFSET($DS$3,0,0,'Données projet'!$E$14+1,1))-AVERAGE(OFFSET($H$3,0,0,'Données projet'!$E$14+1,1))</f>
        <v>403.89478276355294</v>
      </c>
      <c r="DU40" s="59">
        <f t="shared" si="44"/>
        <v>241.1593989733278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5.3369963369963358</v>
      </c>
      <c r="N41" s="13">
        <f>IF('Données projet'!$A$36&gt;35,N40+M41-V40,IF(A41&lt;'Données projet'!$A$36,$K$205^A41,IF(A41='Données projet'!$A$36,'Données projet'!$B$36,N40+M41-V40)))</f>
        <v>130.40109890109889</v>
      </c>
      <c r="O41" s="13">
        <f>N41*VLOOKUP('Données projet'!$B$9,Paramètres!$A$1:$I$89,3,0)*VLOOKUP('Données projet'!$B$9,Paramètres!$A$1:$I$89,5,0)</f>
        <v>117.98691428571428</v>
      </c>
      <c r="P41" s="13">
        <f t="shared" si="33"/>
        <v>31.205018808985951</v>
      </c>
      <c r="Q41" s="20">
        <f t="shared" si="53"/>
        <v>259.8426168066029</v>
      </c>
      <c r="R41" s="59">
        <f t="shared" si="0"/>
        <v>506.03421010016166</v>
      </c>
      <c r="S41" s="59">
        <f ca="1">AVERAGE(OFFSET($R$3,0,0,'Données projet'!$E$9+1,1))-AVERAGE(OFFSET($H$3,0,0,'Données projet'!$E$9+1,1))</f>
        <v>388.1278150896951</v>
      </c>
      <c r="T41" s="59">
        <f t="shared" si="34"/>
        <v>232.26614607059227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5.3369963369963358</v>
      </c>
      <c r="AI41" s="13">
        <f>IF('Données projet'!$A$62&gt;35,AI40+AH41-AQ40,IF(A41&lt;'Données projet'!$A$62,$AF$205^A41,IF(A41='Données projet'!$A$62,'Données projet'!$B$62,AI40+AH41-AQ40)))</f>
        <v>130.40109890109889</v>
      </c>
      <c r="AJ41" s="13">
        <f>AI41*VLOOKUP('Données projet'!$B$10,Paramètres!$A$1:$I$89,3,0)*VLOOKUP('Données projet'!$B$10,Paramètres!$A$1:$I$89,5,0)</f>
        <v>132.22671428571428</v>
      </c>
      <c r="AK41" s="13">
        <f t="shared" si="35"/>
        <v>34.510377941523238</v>
      </c>
      <c r="AL41" s="20">
        <f t="shared" si="4"/>
        <v>290.4004356291054</v>
      </c>
      <c r="AM41" s="59">
        <f t="shared" si="5"/>
        <v>536.5920289226641</v>
      </c>
      <c r="AN41" s="59">
        <f ca="1">AVERAGE(OFFSET($AM$3,0,0,'Données projet'!$E$10+1,1))-AVERAGE(OFFSET($H$3,0,0,'Données projet'!$E$10+1,1))</f>
        <v>424.89201140676084</v>
      </c>
      <c r="AO41" s="59">
        <f t="shared" si="36"/>
        <v>253.0016648946303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5.6</v>
      </c>
      <c r="BD41" s="12">
        <f>IF('Données projet'!$A$88&gt;35,BD40+BC41-BL40,IF(A41&lt;'Données projet'!$A$88,$BA$205^A41,IF(A41='Données projet'!$A$88,'Données projet'!$B$88,BD40+BC41-BL40)))</f>
        <v>97.799999999999969</v>
      </c>
      <c r="BE41" s="13">
        <f>BD41*VLOOKUP('Données projet'!$B$11,Paramètres!$A$1:$I$89,3,0)*VLOOKUP('Données projet'!$B$11,Paramètres!$A$1:$I$89,5,0)</f>
        <v>85.438079999999985</v>
      </c>
      <c r="BF41" s="13">
        <f t="shared" si="37"/>
        <v>23.46169111191827</v>
      </c>
      <c r="BG41" s="20">
        <f t="shared" si="7"/>
        <v>189.66710135325764</v>
      </c>
      <c r="BH41" s="59">
        <f t="shared" si="8"/>
        <v>435.85869464681639</v>
      </c>
      <c r="BI41" s="59">
        <f ca="1">AVERAGE(OFFSET($BH$3,0,0,'Données projet'!$E$11+1,1))-AVERAGE(OFFSET($H$3,0,0,'Données projet'!$E$11+1,1))</f>
        <v>218.97952644043698</v>
      </c>
      <c r="BJ41" s="59">
        <f t="shared" si="38"/>
        <v>204.10961748628714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4.8</v>
      </c>
      <c r="BY41" s="12">
        <f>IF('Données projet'!$A$114&gt;35,BY40+BX41-CG40,IF(A41&lt;'Données projet'!$A$114,$BV$205^A41,IF(A41='Données projet'!$A$114,'Données projet'!$B$114,BY40+BX41-CG40)))</f>
        <v>103.39999999999996</v>
      </c>
      <c r="BZ41" s="13">
        <f>BY41*VLOOKUP('Données projet'!$B$12,Paramètres!$A$1:$I$89,3,0)*VLOOKUP('Données projet'!$B$12,Paramètres!$A$1:$I$89,5,0)</f>
        <v>83.878079999999969</v>
      </c>
      <c r="CA41" s="13">
        <f t="shared" si="39"/>
        <v>23.082766717296661</v>
      </c>
      <c r="CB41" s="20">
        <f t="shared" si="10"/>
        <v>186.29014136595831</v>
      </c>
      <c r="CC41" s="59">
        <f t="shared" si="11"/>
        <v>432.48173465951703</v>
      </c>
      <c r="CD41" s="59">
        <f ca="1">AVERAGE(OFFSET($CC$3,0,0,'Données projet'!$E$12+1,1))-AVERAGE(OFFSET($H$3,0,0,'Données projet'!$E$12+1,1))</f>
        <v>256.23994291192162</v>
      </c>
      <c r="CE41" s="59">
        <f t="shared" si="40"/>
        <v>207.9118653708222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0.63034537393810008</v>
      </c>
      <c r="CM41" s="21">
        <f>EXP(-LN(2)/2)*CM40+(1-EXP(-LN(2)/2))/(LN(2)/2)*CG41*CJ41*VLOOKUP('Données projet'!$B$12,Paramètres!$A$1:$I$89,3,0)*0.475*44/12</f>
        <v>0.96530873550943275</v>
      </c>
      <c r="CN41" s="22">
        <f t="shared" si="12"/>
        <v>1.5956541094475329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6</v>
      </c>
      <c r="CT41" s="12">
        <f>IF('Données projet'!$A$140&gt;35,CT40+CS41-DB40,IF(A41&lt;'Données projet'!$A$140,$CQ$205^A41,IF(A41='Données projet'!$A$140,'Données projet'!$B$140,CT40+CS41-DB40)))</f>
        <v>126.99999999999994</v>
      </c>
      <c r="CU41" s="17">
        <f>CT41*VLOOKUP('Données projet'!$B$13,Paramètres!$A$1:$I$89,3,0)*VLOOKUP('Données projet'!$B$13,Paramètres!$A$1:$I$89,5,0)</f>
        <v>73.304399999999973</v>
      </c>
      <c r="CV41" s="13">
        <f t="shared" si="41"/>
        <v>20.491840705192942</v>
      </c>
      <c r="CW41" s="20">
        <f t="shared" si="13"/>
        <v>163.36178589487767</v>
      </c>
      <c r="CX41" s="59">
        <f t="shared" si="14"/>
        <v>409.55337918843639</v>
      </c>
      <c r="CY41" s="59">
        <f ca="1">AVERAGE(OFFSET($CX$3,0,0,'Données projet'!$E$13+1,1))-AVERAGE(OFFSET($H$3,0,0,'Données projet'!$E$13+1,1))</f>
        <v>205.74526926885287</v>
      </c>
      <c r="CZ41" s="59">
        <f t="shared" si="42"/>
        <v>201.56217137928999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1.2511348837770335</v>
      </c>
      <c r="DH41" s="21">
        <f>EXP(-LN(2)/2)*DH40+(1-EXP(-LN(2)/2))/(LN(2)/2)*DB41*DE41*VLOOKUP('Données projet'!$B$13,Paramètres!$A$1:$I$89,3,0)*0.475*44/12</f>
        <v>1.2410182091059649</v>
      </c>
      <c r="DI41" s="22">
        <f t="shared" si="15"/>
        <v>2.4921530928829982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5.3369963369963358</v>
      </c>
      <c r="DO41" s="12">
        <f>IF('Données projet'!$A$166&gt;35,DO40+DN41-DW40,IF(A41&lt;'Données projet'!$A$166,$DL$205^A41,IF(A41='Données projet'!$A$166,'Données projet'!$B$166,DO40+DN41-DW40)))</f>
        <v>130.40109890109889</v>
      </c>
      <c r="DP41" s="17">
        <f>DO41*VLOOKUP('Données projet'!$B$14,Paramètres!$A$1:$I$89,3,0)*VLOOKUP('Données projet'!$B$14,Paramètres!$A$1:$I$89,5,0)</f>
        <v>124.08968571428571</v>
      </c>
      <c r="DQ41" s="13">
        <f t="shared" si="43"/>
        <v>32.626982934783221</v>
      </c>
      <c r="DR41" s="20">
        <f t="shared" si="16"/>
        <v>272.94819789712841</v>
      </c>
      <c r="DS41" s="59">
        <f t="shared" si="17"/>
        <v>519.13979119068711</v>
      </c>
      <c r="DT41" s="59">
        <f ca="1">AVERAGE(OFFSET($DS$3,0,0,'Données projet'!$E$14+1,1))-AVERAGE(OFFSET($H$3,0,0,'Données projet'!$E$14+1,1))</f>
        <v>403.89478276355294</v>
      </c>
      <c r="DU41" s="59">
        <f t="shared" si="44"/>
        <v>241.1593989733278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5.3369963369963358</v>
      </c>
      <c r="N42" s="13">
        <f>IF('Données projet'!$A$36&gt;35,N41+M42-V41,IF(A42&lt;'Données projet'!$A$36,$K$205^A42,IF(A42='Données projet'!$A$36,'Données projet'!$B$36,N41+M42-V41)))</f>
        <v>135.73809523809524</v>
      </c>
      <c r="O42" s="13">
        <f>N42*VLOOKUP('Données projet'!$B$9,Paramètres!$A$1:$I$89,3,0)*VLOOKUP('Données projet'!$B$9,Paramètres!$A$1:$I$89,5,0)</f>
        <v>122.81582857142857</v>
      </c>
      <c r="P42" s="13">
        <f t="shared" si="33"/>
        <v>32.330855900842984</v>
      </c>
      <c r="Q42" s="20">
        <f t="shared" si="53"/>
        <v>270.21380878920627</v>
      </c>
      <c r="R42" s="59">
        <f t="shared" si="0"/>
        <v>517.22320587931335</v>
      </c>
      <c r="S42" s="59">
        <f ca="1">AVERAGE(OFFSET($R$3,0,0,'Données projet'!$E$9+1,1))-AVERAGE(OFFSET($H$3,0,0,'Données projet'!$E$9+1,1))</f>
        <v>388.1278150896951</v>
      </c>
      <c r="T42" s="59">
        <f t="shared" si="34"/>
        <v>232.26614607059227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5.3369963369963358</v>
      </c>
      <c r="AI42" s="13">
        <f>IF('Données projet'!$A$62&gt;35,AI41+AH42-AQ41,IF(A42&lt;'Données projet'!$A$62,$AF$205^A42,IF(A42='Données projet'!$A$62,'Données projet'!$B$62,AI41+AH42-AQ41)))</f>
        <v>135.73809523809524</v>
      </c>
      <c r="AJ42" s="13">
        <f>AI42*VLOOKUP('Données projet'!$B$10,Paramètres!$A$1:$I$89,3,0)*VLOOKUP('Données projet'!$B$10,Paramètres!$A$1:$I$89,5,0)</f>
        <v>137.63842857142859</v>
      </c>
      <c r="AK42" s="13">
        <f t="shared" si="35"/>
        <v>35.755468155325104</v>
      </c>
      <c r="AL42" s="20">
        <f t="shared" si="4"/>
        <v>301.99437013242931</v>
      </c>
      <c r="AM42" s="59">
        <f t="shared" si="5"/>
        <v>549.00376722253645</v>
      </c>
      <c r="AN42" s="59">
        <f ca="1">AVERAGE(OFFSET($AM$3,0,0,'Données projet'!$E$10+1,1))-AVERAGE(OFFSET($H$3,0,0,'Données projet'!$E$10+1,1))</f>
        <v>424.89201140676084</v>
      </c>
      <c r="AO42" s="59">
        <f t="shared" si="36"/>
        <v>253.0016648946303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5.6</v>
      </c>
      <c r="BD42" s="12">
        <f>IF('Données projet'!$A$88&gt;35,BD41+BC42-BL41,IF(A42&lt;'Données projet'!$A$88,$BA$205^A42,IF(A42='Données projet'!$A$88,'Données projet'!$B$88,BD41+BC42-BL41)))</f>
        <v>103.39999999999996</v>
      </c>
      <c r="BE42" s="13">
        <f>BD42*VLOOKUP('Données projet'!$B$11,Paramètres!$A$1:$I$89,3,0)*VLOOKUP('Données projet'!$B$11,Paramètres!$A$1:$I$89,5,0)</f>
        <v>90.330239999999975</v>
      </c>
      <c r="BF42" s="13">
        <f t="shared" si="37"/>
        <v>24.644853944123636</v>
      </c>
      <c r="BG42" s="20">
        <f t="shared" si="7"/>
        <v>200.24828861934861</v>
      </c>
      <c r="BH42" s="59">
        <f t="shared" si="8"/>
        <v>447.2576857094557</v>
      </c>
      <c r="BI42" s="59">
        <f ca="1">AVERAGE(OFFSET($BH$3,0,0,'Données projet'!$E$11+1,1))-AVERAGE(OFFSET($H$3,0,0,'Données projet'!$E$11+1,1))</f>
        <v>218.97952644043698</v>
      </c>
      <c r="BJ42" s="59">
        <f t="shared" si="38"/>
        <v>204.10961748628714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4.8</v>
      </c>
      <c r="BY42" s="12">
        <f>IF('Données projet'!$A$114&gt;35,BY41+BX42-CG41,IF(A42&lt;'Données projet'!$A$114,$BV$205^A42,IF(A42='Données projet'!$A$114,'Données projet'!$B$114,BY41+BX42-CG41)))</f>
        <v>108.19999999999996</v>
      </c>
      <c r="BZ42" s="13">
        <f>BY42*VLOOKUP('Données projet'!$B$12,Paramètres!$A$1:$I$89,3,0)*VLOOKUP('Données projet'!$B$12,Paramètres!$A$1:$I$89,5,0)</f>
        <v>87.771839999999969</v>
      </c>
      <c r="CA42" s="13">
        <f t="shared" si="39"/>
        <v>24.027064931094866</v>
      </c>
      <c r="CB42" s="20">
        <f t="shared" si="10"/>
        <v>194.71642608832349</v>
      </c>
      <c r="CC42" s="59">
        <f t="shared" si="11"/>
        <v>441.72582317843057</v>
      </c>
      <c r="CD42" s="59">
        <f ca="1">AVERAGE(OFFSET($CC$3,0,0,'Données projet'!$E$12+1,1))-AVERAGE(OFFSET($H$3,0,0,'Données projet'!$E$12+1,1))</f>
        <v>256.23994291192162</v>
      </c>
      <c r="CE42" s="59">
        <f t="shared" si="40"/>
        <v>207.9118653708222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0.61310854653934022</v>
      </c>
      <c r="CM42" s="21">
        <f>EXP(-LN(2)/2)*CM41+(1-EXP(-LN(2)/2))/(LN(2)/2)*CG42*CJ42*VLOOKUP('Données projet'!$B$12,Paramètres!$A$1:$I$89,3,0)*0.475*44/12</f>
        <v>0.68257635281733142</v>
      </c>
      <c r="CN42" s="22">
        <f t="shared" si="12"/>
        <v>1.2956848993566716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6</v>
      </c>
      <c r="CT42" s="12">
        <f>IF('Données projet'!$A$140&gt;35,CT41+CS42-DB41,IF(A42&lt;'Données projet'!$A$140,$CQ$205^A42,IF(A42='Données projet'!$A$140,'Données projet'!$B$140,CT41+CS42-DB41)))</f>
        <v>132.99999999999994</v>
      </c>
      <c r="CU42" s="17">
        <f>CT42*VLOOKUP('Données projet'!$B$13,Paramètres!$A$1:$I$89,3,0)*VLOOKUP('Données projet'!$B$13,Paramètres!$A$1:$I$89,5,0)</f>
        <v>76.767599999999973</v>
      </c>
      <c r="CV42" s="13">
        <f t="shared" si="41"/>
        <v>21.344958429090283</v>
      </c>
      <c r="CW42" s="20">
        <f t="shared" si="13"/>
        <v>170.87937259733215</v>
      </c>
      <c r="CX42" s="59">
        <f t="shared" si="14"/>
        <v>417.88876968743926</v>
      </c>
      <c r="CY42" s="59">
        <f ca="1">AVERAGE(OFFSET($CX$3,0,0,'Données projet'!$E$13+1,1))-AVERAGE(OFFSET($H$3,0,0,'Données projet'!$E$13+1,1))</f>
        <v>205.74526926885287</v>
      </c>
      <c r="CZ42" s="59">
        <f t="shared" si="42"/>
        <v>201.56217137928999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1.2169225345858266</v>
      </c>
      <c r="DH42" s="21">
        <f>EXP(-LN(2)/2)*DH41+(1-EXP(-LN(2)/2))/(LN(2)/2)*DB42*DE42*VLOOKUP('Données projet'!$B$13,Paramètres!$A$1:$I$89,3,0)*0.475*44/12</f>
        <v>0.87753239123481275</v>
      </c>
      <c r="DI42" s="22">
        <f t="shared" si="15"/>
        <v>2.0944549258206395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5.3369963369963358</v>
      </c>
      <c r="DO42" s="12">
        <f>IF('Données projet'!$A$166&gt;35,DO41+DN42-DW41,IF(A42&lt;'Données projet'!$A$166,$DL$205^A42,IF(A42='Données projet'!$A$166,'Données projet'!$B$166,DO41+DN42-DW41)))</f>
        <v>135.73809523809524</v>
      </c>
      <c r="DP42" s="17">
        <f>DO42*VLOOKUP('Données projet'!$B$14,Paramètres!$A$1:$I$89,3,0)*VLOOKUP('Données projet'!$B$14,Paramètres!$A$1:$I$89,5,0)</f>
        <v>129.16837142857145</v>
      </c>
      <c r="DQ42" s="13">
        <f t="shared" si="43"/>
        <v>33.804122670164084</v>
      </c>
      <c r="DR42" s="20">
        <f t="shared" si="16"/>
        <v>283.84376055529771</v>
      </c>
      <c r="DS42" s="59">
        <f t="shared" si="17"/>
        <v>530.85315764540485</v>
      </c>
      <c r="DT42" s="59">
        <f ca="1">AVERAGE(OFFSET($DS$3,0,0,'Données projet'!$E$14+1,1))-AVERAGE(OFFSET($H$3,0,0,'Données projet'!$E$14+1,1))</f>
        <v>403.89478276355294</v>
      </c>
      <c r="DU42" s="59">
        <f t="shared" si="44"/>
        <v>241.1593989733278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5.3369963369963358</v>
      </c>
      <c r="N43" s="13">
        <f>IF('Données projet'!$A$36&gt;35,N42+M43-V42,IF(A43&lt;'Données projet'!$A$36,$K$205^A43,IF(A43='Données projet'!$A$36,'Données projet'!$B$36,N42+M43-V42)))</f>
        <v>141.07509157509156</v>
      </c>
      <c r="O43" s="13">
        <f>N43*VLOOKUP('Données projet'!$B$9,Paramètres!$A$1:$I$89,3,0)*VLOOKUP('Données projet'!$B$9,Paramètres!$A$1:$I$89,5,0)</f>
        <v>127.64474285714284</v>
      </c>
      <c r="P43" s="13">
        <f t="shared" si="33"/>
        <v>33.451550798682433</v>
      </c>
      <c r="Q43" s="20">
        <f t="shared" si="53"/>
        <v>280.57604478389567</v>
      </c>
      <c r="R43" s="59">
        <f t="shared" si="0"/>
        <v>528.38905860301645</v>
      </c>
      <c r="S43" s="59">
        <f ca="1">AVERAGE(OFFSET($R$3,0,0,'Données projet'!$E$9+1,1))-AVERAGE(OFFSET($H$3,0,0,'Données projet'!$E$9+1,1))</f>
        <v>388.1278150896951</v>
      </c>
      <c r="T43" s="59">
        <f t="shared" si="34"/>
        <v>232.26614607059227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5.3369963369963358</v>
      </c>
      <c r="AI43" s="13">
        <f>IF('Données projet'!$A$62&gt;35,AI42+AH43-AQ42,IF(A43&lt;'Données projet'!$A$62,$AF$205^A43,IF(A43='Données projet'!$A$62,'Données projet'!$B$62,AI42+AH43-AQ42)))</f>
        <v>141.07509157509156</v>
      </c>
      <c r="AJ43" s="13">
        <f>AI43*VLOOKUP('Données projet'!$B$10,Paramètres!$A$1:$I$89,3,0)*VLOOKUP('Données projet'!$B$10,Paramètres!$A$1:$I$89,5,0)</f>
        <v>143.05014285714284</v>
      </c>
      <c r="AK43" s="13">
        <f t="shared" si="35"/>
        <v>36.994871493561163</v>
      </c>
      <c r="AL43" s="20">
        <f t="shared" si="4"/>
        <v>313.57839999414279</v>
      </c>
      <c r="AM43" s="59">
        <f t="shared" si="5"/>
        <v>561.39141381326363</v>
      </c>
      <c r="AN43" s="59">
        <f ca="1">AVERAGE(OFFSET($AM$3,0,0,'Données projet'!$E$10+1,1))-AVERAGE(OFFSET($H$3,0,0,'Données projet'!$E$10+1,1))</f>
        <v>424.89201140676084</v>
      </c>
      <c r="AO43" s="59">
        <f t="shared" si="36"/>
        <v>253.0016648946303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109</v>
      </c>
      <c r="BB43" s="12">
        <f>VLOOKUP(A43,'Données projet'!$A$87:$I$107,9,0)</f>
        <v>5.6</v>
      </c>
      <c r="BC43" s="12">
        <f t="array" ref="BC43">INDEX(BB:BB,MIN(IF(ISNUMBER(BB43:BB239),ROW(BB43:BB239),"")))</f>
        <v>5.6</v>
      </c>
      <c r="BD43" s="12">
        <f>IF('Données projet'!$A$88&gt;35,BD42+BC43-BL42,IF(A43&lt;'Données projet'!$A$88,$BA$205^A43,IF(A43='Données projet'!$A$88,'Données projet'!$B$88,BD42+BC43-BL42)))</f>
        <v>108.99999999999996</v>
      </c>
      <c r="BE43" s="13">
        <f>BD43*VLOOKUP('Données projet'!$B$11,Paramètres!$A$1:$I$89,3,0)*VLOOKUP('Données projet'!$B$11,Paramètres!$A$1:$I$89,5,0)</f>
        <v>95.222399999999979</v>
      </c>
      <c r="BF43" s="13">
        <f t="shared" si="37"/>
        <v>25.820577666484969</v>
      </c>
      <c r="BG43" s="20">
        <f t="shared" si="7"/>
        <v>210.81651943579459</v>
      </c>
      <c r="BH43" s="59">
        <f t="shared" si="8"/>
        <v>458.62953325491537</v>
      </c>
      <c r="BI43" s="59">
        <f ca="1">AVERAGE(OFFSET($BH$3,0,0,'Données projet'!$E$11+1,1))-AVERAGE(OFFSET($H$3,0,0,'Données projet'!$E$11+1,1))</f>
        <v>218.97952644043698</v>
      </c>
      <c r="BJ43" s="59">
        <f t="shared" si="38"/>
        <v>204.10961748628714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14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3.7100000000000008E-2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0.49962978768526112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0.49962978768526112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113</v>
      </c>
      <c r="BW43" s="12">
        <f>VLOOKUP(A43,'Données projet'!$A$113:$I$133,9,0)</f>
        <v>4.8</v>
      </c>
      <c r="BX43" s="12">
        <f t="array" ref="BX43">INDEX(BW:BW,MIN(IF(ISNUMBER(BW43:BW239),ROW(BW43:BW239),"")))</f>
        <v>4.8</v>
      </c>
      <c r="BY43" s="12">
        <f>IF('Données projet'!$A$114&gt;35,BY42+BX43-CG42,IF(A43&lt;'Données projet'!$A$114,$BV$205^A43,IF(A43='Données projet'!$A$114,'Données projet'!$B$114,BY42+BX43-CG42)))</f>
        <v>112.99999999999996</v>
      </c>
      <c r="BZ43" s="13">
        <f>BY43*VLOOKUP('Données projet'!$B$12,Paramètres!$A$1:$I$89,3,0)*VLOOKUP('Données projet'!$B$12,Paramètres!$A$1:$I$89,5,0)</f>
        <v>91.665599999999969</v>
      </c>
      <c r="CA43" s="13">
        <f t="shared" si="39"/>
        <v>24.966497888207439</v>
      </c>
      <c r="CB43" s="20">
        <f t="shared" si="10"/>
        <v>203.13423715529458</v>
      </c>
      <c r="CC43" s="59">
        <f t="shared" si="11"/>
        <v>450.9472509744154</v>
      </c>
      <c r="CD43" s="59">
        <f ca="1">AVERAGE(OFFSET($CC$3,0,0,'Données projet'!$E$12+1,1))-AVERAGE(OFFSET($H$3,0,0,'Données projet'!$E$12+1,1))</f>
        <v>256.23994291192162</v>
      </c>
      <c r="CE43" s="59">
        <f t="shared" si="40"/>
        <v>207.9118653708222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10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4.3000000000000003E-2</v>
      </c>
      <c r="CJ43" s="16">
        <f>IF(ISNA(VLOOKUP(A43,'Données projet'!$A$113:$I$133,7,0)),0%,VLOOKUP(A43,'Données projet'!$A$113:$I$133,7,0))</f>
        <v>0.3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0.98043054021109199</v>
      </c>
      <c r="CM43" s="21">
        <f>EXP(-LN(2)/2)*CM42+(1-EXP(-LN(2)/2))/(LN(2)/2)*CG43*CJ43*VLOOKUP('Données projet'!$B$12,Paramètres!$A$1:$I$89,3,0)*0.475*44/12</f>
        <v>2.7788214671383895</v>
      </c>
      <c r="CN43" s="22">
        <f t="shared" si="12"/>
        <v>3.7592520073494815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139</v>
      </c>
      <c r="CR43" s="12">
        <f>VLOOKUP(A43,'Données projet'!$A$139:$I$159,9,0)</f>
        <v>6</v>
      </c>
      <c r="CS43" s="12">
        <f t="array" ref="CS43">INDEX(CR:CR,MIN(IF(ISNUMBER(CR43:CR239),ROW(CR43:CR239),"")))</f>
        <v>6</v>
      </c>
      <c r="CT43" s="12">
        <f>IF('Données projet'!$A$140&gt;35,CT42+CS43-DB42,IF(A43&lt;'Données projet'!$A$140,$CQ$205^A43,IF(A43='Données projet'!$A$140,'Données projet'!$B$140,CT42+CS43-DB42)))</f>
        <v>138.99999999999994</v>
      </c>
      <c r="CU43" s="17">
        <f>CT43*VLOOKUP('Données projet'!$B$13,Paramètres!$A$1:$I$89,3,0)*VLOOKUP('Données projet'!$B$13,Paramètres!$A$1:$I$89,5,0)</f>
        <v>80.230799999999974</v>
      </c>
      <c r="CV43" s="13">
        <f t="shared" si="41"/>
        <v>22.193606463384537</v>
      </c>
      <c r="CW43" s="20">
        <f t="shared" si="13"/>
        <v>178.38917459039467</v>
      </c>
      <c r="CX43" s="59">
        <f t="shared" si="14"/>
        <v>426.20218840951549</v>
      </c>
      <c r="CY43" s="59">
        <f ca="1">AVERAGE(OFFSET($CX$3,0,0,'Données projet'!$E$13+1,1))-AVERAGE(OFFSET($H$3,0,0,'Données projet'!$E$13+1,1))</f>
        <v>205.74526926885287</v>
      </c>
      <c r="CZ43" s="59">
        <f t="shared" si="42"/>
        <v>201.56217137928999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19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4.3000000000000003E-2</v>
      </c>
      <c r="DE43" s="16">
        <f>IF(ISNA(VLOOKUP(A43,'Données projet'!$A$139:$I$159,7,0)),0%,VLOOKUP(A43,'Données projet'!$A$139:$I$159,7,0))</f>
        <v>0.3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1.7029024504603822</v>
      </c>
      <c r="DH43" s="21">
        <f>EXP(-LN(2)/2)*DH42+(1-EXP(-LN(2)/2))/(LN(2)/2)*DB43*DE43*VLOOKUP('Données projet'!$B$13,Paramètres!$A$1:$I$89,3,0)*0.475*44/12</f>
        <v>3.7247503946812937</v>
      </c>
      <c r="DI43" s="22">
        <f t="shared" si="15"/>
        <v>5.4276528451416759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5.3369963369963358</v>
      </c>
      <c r="DO43" s="12">
        <f>IF('Données projet'!$A$166&gt;35,DO42+DN43-DW42,IF(A43&lt;'Données projet'!$A$166,$DL$205^A43,IF(A43='Données projet'!$A$166,'Données projet'!$B$166,DO42+DN43-DW42)))</f>
        <v>141.07509157509156</v>
      </c>
      <c r="DP43" s="17">
        <f>DO43*VLOOKUP('Données projet'!$B$14,Paramètres!$A$1:$I$89,3,0)*VLOOKUP('Données projet'!$B$14,Paramètres!$A$1:$I$89,5,0)</f>
        <v>134.24705714285713</v>
      </c>
      <c r="DQ43" s="13">
        <f t="shared" si="43"/>
        <v>34.97588588975163</v>
      </c>
      <c r="DR43" s="20">
        <f t="shared" si="16"/>
        <v>294.72995911512686</v>
      </c>
      <c r="DS43" s="59">
        <f t="shared" si="17"/>
        <v>542.5429729342477</v>
      </c>
      <c r="DT43" s="59">
        <f ca="1">AVERAGE(OFFSET($DS$3,0,0,'Données projet'!$E$14+1,1))-AVERAGE(OFFSET($H$3,0,0,'Données projet'!$E$14+1,1))</f>
        <v>403.89478276355294</v>
      </c>
      <c r="DU43" s="59">
        <f t="shared" si="44"/>
        <v>241.1593989733278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5.3369963369963358</v>
      </c>
      <c r="N44" s="13">
        <f>IF('Données projet'!$A$36&gt;35,N43+M44-V43,IF(A44&lt;'Données projet'!$A$36,$K$205^A44,IF(A44='Données projet'!$A$36,'Données projet'!$B$36,N43+M44-V43)))</f>
        <v>146.41208791208788</v>
      </c>
      <c r="O44" s="13">
        <f>N44*VLOOKUP('Données projet'!$B$9,Paramètres!$A$1:$I$89,3,0)*VLOOKUP('Données projet'!$B$9,Paramètres!$A$1:$I$89,5,0)</f>
        <v>132.47365714285712</v>
      </c>
      <c r="P44" s="13">
        <f t="shared" si="33"/>
        <v>34.567320307816402</v>
      </c>
      <c r="Q44" s="20">
        <f t="shared" si="53"/>
        <v>290.92970239325638</v>
      </c>
      <c r="R44" s="59">
        <f t="shared" si="0"/>
        <v>539.53239198776032</v>
      </c>
      <c r="S44" s="59">
        <f ca="1">AVERAGE(OFFSET($R$3,0,0,'Données projet'!$E$9+1,1))-AVERAGE(OFFSET($H$3,0,0,'Données projet'!$E$9+1,1))</f>
        <v>388.1278150896951</v>
      </c>
      <c r="T44" s="59">
        <f t="shared" si="34"/>
        <v>232.26614607059227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5.3369963369963358</v>
      </c>
      <c r="AI44" s="13">
        <f>IF('Données projet'!$A$62&gt;35,AI43+AH44-AQ43,IF(A44&lt;'Données projet'!$A$62,$AF$205^A44,IF(A44='Données projet'!$A$62,'Données projet'!$B$62,AI43+AH44-AQ43)))</f>
        <v>146.41208791208788</v>
      </c>
      <c r="AJ44" s="13">
        <f>AI44*VLOOKUP('Données projet'!$B$10,Paramètres!$A$1:$I$89,3,0)*VLOOKUP('Données projet'!$B$10,Paramètres!$A$1:$I$89,5,0)</f>
        <v>148.46185714285713</v>
      </c>
      <c r="AK44" s="13">
        <f t="shared" si="35"/>
        <v>38.228827726420505</v>
      </c>
      <c r="AL44" s="20">
        <f t="shared" si="4"/>
        <v>325.15294281399184</v>
      </c>
      <c r="AM44" s="59">
        <f t="shared" si="5"/>
        <v>573.75563240849579</v>
      </c>
      <c r="AN44" s="59">
        <f ca="1">AVERAGE(OFFSET($AM$3,0,0,'Données projet'!$E$10+1,1))-AVERAGE(OFFSET($H$3,0,0,'Données projet'!$E$10+1,1))</f>
        <v>424.89201140676084</v>
      </c>
      <c r="AO44" s="59">
        <f t="shared" si="36"/>
        <v>253.0016648946303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</v>
      </c>
      <c r="BD44" s="12">
        <f>IF('Données projet'!$A$88&gt;35,BD43+BC44-BL43,IF(A44&lt;'Données projet'!$A$88,$BA$205^A44,IF(A44='Données projet'!$A$88,'Données projet'!$B$88,BD43+BC44-BL43)))</f>
        <v>99.999999999999957</v>
      </c>
      <c r="BE44" s="13">
        <f>BD44*VLOOKUP('Données projet'!$B$11,Paramètres!$A$1:$I$89,3,0)*VLOOKUP('Données projet'!$B$11,Paramètres!$A$1:$I$89,5,0)</f>
        <v>87.359999999999971</v>
      </c>
      <c r="BF44" s="13">
        <f t="shared" si="37"/>
        <v>23.927421530185931</v>
      </c>
      <c r="BG44" s="20">
        <f t="shared" si="7"/>
        <v>193.8255924984071</v>
      </c>
      <c r="BH44" s="59">
        <f t="shared" si="8"/>
        <v>442.4282820929111</v>
      </c>
      <c r="BI44" s="59">
        <f ca="1">AVERAGE(OFFSET($BH$3,0,0,'Données projet'!$E$11+1,1))-AVERAGE(OFFSET($H$3,0,0,'Données projet'!$E$11+1,1))</f>
        <v>218.97952644043698</v>
      </c>
      <c r="BJ44" s="59">
        <f t="shared" si="38"/>
        <v>204.10961748628714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0.48596738486661906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0.48596738486661906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4.8</v>
      </c>
      <c r="BY44" s="12">
        <f>IF('Données projet'!$A$114&gt;35,BY43+BX44-CG43,IF(A44&lt;'Données projet'!$A$114,$BV$205^A44,IF(A44='Données projet'!$A$114,'Données projet'!$B$114,BY43+BX44-CG43)))</f>
        <v>107.79999999999995</v>
      </c>
      <c r="BZ44" s="13">
        <f>BY44*VLOOKUP('Données projet'!$B$12,Paramètres!$A$1:$I$89,3,0)*VLOOKUP('Données projet'!$B$12,Paramètres!$A$1:$I$89,5,0)</f>
        <v>87.447359999999961</v>
      </c>
      <c r="CA44" s="13">
        <f t="shared" si="39"/>
        <v>23.948562569827555</v>
      </c>
      <c r="CB44" s="20">
        <f t="shared" si="10"/>
        <v>194.01456514244958</v>
      </c>
      <c r="CC44" s="59">
        <f t="shared" si="11"/>
        <v>442.61725473695356</v>
      </c>
      <c r="CD44" s="59">
        <f ca="1">AVERAGE(OFFSET($CC$3,0,0,'Données projet'!$E$12+1,1))-AVERAGE(OFFSET($H$3,0,0,'Données projet'!$E$12+1,1))</f>
        <v>256.23994291192162</v>
      </c>
      <c r="CE44" s="59">
        <f t="shared" si="40"/>
        <v>207.9118653708222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0.95362061553041833</v>
      </c>
      <c r="CM44" s="21">
        <f>EXP(-LN(2)/2)*CM43+(1-EXP(-LN(2)/2))/(LN(2)/2)*CG44*CJ44*VLOOKUP('Données projet'!$B$12,Paramètres!$A$1:$I$89,3,0)*0.475*44/12</f>
        <v>1.9649235031203063</v>
      </c>
      <c r="CN44" s="22">
        <f t="shared" si="12"/>
        <v>2.9185441186507246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5.6</v>
      </c>
      <c r="CT44" s="12">
        <f>IF('Données projet'!$A$140&gt;35,CT43+CS44-DB43,IF(A44&lt;'Données projet'!$A$140,$CQ$205^A44,IF(A44='Données projet'!$A$140,'Données projet'!$B$140,CT43+CS44-DB43)))</f>
        <v>125.59999999999994</v>
      </c>
      <c r="CU44" s="17">
        <f>CT44*VLOOKUP('Données projet'!$B$13,Paramètres!$A$1:$I$89,3,0)*VLOOKUP('Données projet'!$B$13,Paramètres!$A$1:$I$89,5,0)</f>
        <v>72.496319999999955</v>
      </c>
      <c r="CV44" s="13">
        <f t="shared" si="41"/>
        <v>20.292111908660555</v>
      </c>
      <c r="CW44" s="20">
        <f t="shared" si="13"/>
        <v>161.60651890758371</v>
      </c>
      <c r="CX44" s="59">
        <f t="shared" si="14"/>
        <v>410.20920850208768</v>
      </c>
      <c r="CY44" s="59">
        <f ca="1">AVERAGE(OFFSET($CX$3,0,0,'Données projet'!$E$13+1,1))-AVERAGE(OFFSET($H$3,0,0,'Données projet'!$E$13+1,1))</f>
        <v>205.74526926885287</v>
      </c>
      <c r="CZ44" s="59">
        <f t="shared" si="42"/>
        <v>201.56217137928999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1.6563364934007954</v>
      </c>
      <c r="DH44" s="21">
        <f>EXP(-LN(2)/2)*DH43+(1-EXP(-LN(2)/2))/(LN(2)/2)*DB44*DE44*VLOOKUP('Données projet'!$B$13,Paramètres!$A$1:$I$89,3,0)*0.475*44/12</f>
        <v>2.6337962623064124</v>
      </c>
      <c r="DI44" s="22">
        <f t="shared" si="15"/>
        <v>4.2901327557072078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5.3369963369963358</v>
      </c>
      <c r="DO44" s="12">
        <f>IF('Données projet'!$A$166&gt;35,DO43+DN44-DW43,IF(A44&lt;'Données projet'!$A$166,$DL$205^A44,IF(A44='Données projet'!$A$166,'Données projet'!$B$166,DO43+DN44-DW43)))</f>
        <v>146.41208791208788</v>
      </c>
      <c r="DP44" s="17">
        <f>DO44*VLOOKUP('Données projet'!$B$14,Paramètres!$A$1:$I$89,3,0)*VLOOKUP('Données projet'!$B$14,Paramètres!$A$1:$I$89,5,0)</f>
        <v>139.32574285714284</v>
      </c>
      <c r="DQ44" s="13">
        <f t="shared" si="43"/>
        <v>36.142499278338384</v>
      </c>
      <c r="DR44" s="20">
        <f t="shared" si="16"/>
        <v>305.60718838596318</v>
      </c>
      <c r="DS44" s="59">
        <f t="shared" si="17"/>
        <v>554.20987798046713</v>
      </c>
      <c r="DT44" s="59">
        <f ca="1">AVERAGE(OFFSET($DS$3,0,0,'Données projet'!$E$14+1,1))-AVERAGE(OFFSET($H$3,0,0,'Données projet'!$E$14+1,1))</f>
        <v>403.89478276355294</v>
      </c>
      <c r="DU44" s="59">
        <f t="shared" si="44"/>
        <v>241.1593989733278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5.3369963369963358</v>
      </c>
      <c r="N45" s="13">
        <f>IF('Données projet'!$A$36&gt;35,N44+M45-V44,IF(A45&lt;'Données projet'!$A$36,$K$205^A45,IF(A45='Données projet'!$A$36,'Données projet'!$B$36,N44+M45-V44)))</f>
        <v>151.74908424908421</v>
      </c>
      <c r="O45" s="13">
        <f>N45*VLOOKUP('Données projet'!$B$9,Paramètres!$A$1:$I$89,3,0)*VLOOKUP('Données projet'!$B$9,Paramètres!$A$1:$I$89,5,0)</f>
        <v>137.30257142857138</v>
      </c>
      <c r="P45" s="13">
        <f t="shared" si="33"/>
        <v>35.678364531877897</v>
      </c>
      <c r="Q45" s="20">
        <f t="shared" si="53"/>
        <v>301.27513013111576</v>
      </c>
      <c r="R45" s="59">
        <f t="shared" si="0"/>
        <v>550.65379639175046</v>
      </c>
      <c r="S45" s="59">
        <f ca="1">AVERAGE(OFFSET($R$3,0,0,'Données projet'!$E$9+1,1))-AVERAGE(OFFSET($H$3,0,0,'Données projet'!$E$9+1,1))</f>
        <v>388.1278150896951</v>
      </c>
      <c r="T45" s="59">
        <f t="shared" si="34"/>
        <v>232.26614607059227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5.3369963369963358</v>
      </c>
      <c r="AI45" s="13">
        <f>IF('Données projet'!$A$62&gt;35,AI44+AH45-AQ44,IF(A45&lt;'Données projet'!$A$62,$AF$205^A45,IF(A45='Données projet'!$A$62,'Données projet'!$B$62,AI44+AH45-AQ44)))</f>
        <v>151.74908424908421</v>
      </c>
      <c r="AJ45" s="13">
        <f>AI45*VLOOKUP('Données projet'!$B$10,Paramètres!$A$1:$I$89,3,0)*VLOOKUP('Données projet'!$B$10,Paramètres!$A$1:$I$89,5,0)</f>
        <v>153.87357142857138</v>
      </c>
      <c r="AK45" s="13">
        <f t="shared" si="35"/>
        <v>39.457558153305143</v>
      </c>
      <c r="AL45" s="20">
        <f t="shared" si="4"/>
        <v>336.71838402176826</v>
      </c>
      <c r="AM45" s="59">
        <f t="shared" si="5"/>
        <v>586.09705028240296</v>
      </c>
      <c r="AN45" s="59">
        <f ca="1">AVERAGE(OFFSET($AM$3,0,0,'Données projet'!$E$10+1,1))-AVERAGE(OFFSET($H$3,0,0,'Données projet'!$E$10+1,1))</f>
        <v>424.89201140676084</v>
      </c>
      <c r="AO45" s="59">
        <f t="shared" si="36"/>
        <v>253.0016648946303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</v>
      </c>
      <c r="BD45" s="12">
        <f>IF('Données projet'!$A$88&gt;35,BD44+BC45-BL44,IF(A45&lt;'Données projet'!$A$88,$BA$205^A45,IF(A45='Données projet'!$A$88,'Données projet'!$B$88,BD44+BC45-BL44)))</f>
        <v>104.99999999999996</v>
      </c>
      <c r="BE45" s="13">
        <f>BD45*VLOOKUP('Données projet'!$B$11,Paramètres!$A$1:$I$89,3,0)*VLOOKUP('Données projet'!$B$11,Paramètres!$A$1:$I$89,5,0)</f>
        <v>91.72799999999998</v>
      </c>
      <c r="BF45" s="13">
        <f t="shared" si="37"/>
        <v>24.981514582386563</v>
      </c>
      <c r="BG45" s="20">
        <f t="shared" si="7"/>
        <v>203.26907123098988</v>
      </c>
      <c r="BH45" s="59">
        <f t="shared" si="8"/>
        <v>452.64773749162464</v>
      </c>
      <c r="BI45" s="59">
        <f ca="1">AVERAGE(OFFSET($BH$3,0,0,'Données projet'!$E$11+1,1))-AVERAGE(OFFSET($H$3,0,0,'Données projet'!$E$11+1,1))</f>
        <v>218.97952644043698</v>
      </c>
      <c r="BJ45" s="59">
        <f t="shared" si="38"/>
        <v>204.10961748628714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0.47267858117152728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0.47267858117152728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4.8</v>
      </c>
      <c r="BY45" s="12">
        <f>IF('Données projet'!$A$114&gt;35,BY44+BX45-CG44,IF(A45&lt;'Données projet'!$A$114,$BV$205^A45,IF(A45='Données projet'!$A$114,'Données projet'!$B$114,BY44+BX45-CG44)))</f>
        <v>112.59999999999995</v>
      </c>
      <c r="BZ45" s="13">
        <f>BY45*VLOOKUP('Données projet'!$B$12,Paramètres!$A$1:$I$89,3,0)*VLOOKUP('Données projet'!$B$12,Paramètres!$A$1:$I$89,5,0)</f>
        <v>91.341119999999975</v>
      </c>
      <c r="CA45" s="13">
        <f t="shared" si="39"/>
        <v>24.888391876297902</v>
      </c>
      <c r="CB45" s="20">
        <f t="shared" si="10"/>
        <v>202.43306651788544</v>
      </c>
      <c r="CC45" s="59">
        <f t="shared" si="11"/>
        <v>451.8117327785202</v>
      </c>
      <c r="CD45" s="59">
        <f ca="1">AVERAGE(OFFSET($CC$3,0,0,'Données projet'!$E$12+1,1))-AVERAGE(OFFSET($H$3,0,0,'Données projet'!$E$12+1,1))</f>
        <v>256.23994291192162</v>
      </c>
      <c r="CE45" s="59">
        <f t="shared" si="40"/>
        <v>207.9118653708222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0.92754380965001038</v>
      </c>
      <c r="CM45" s="21">
        <f>EXP(-LN(2)/2)*CM44+(1-EXP(-LN(2)/2))/(LN(2)/2)*CG45*CJ45*VLOOKUP('Données projet'!$B$12,Paramètres!$A$1:$I$89,3,0)*0.475*44/12</f>
        <v>1.389410733569195</v>
      </c>
      <c r="CN45" s="22">
        <f t="shared" si="12"/>
        <v>2.3169545432192056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5.6</v>
      </c>
      <c r="CT45" s="12">
        <f>IF('Données projet'!$A$140&gt;35,CT44+CS45-DB44,IF(A45&lt;'Données projet'!$A$140,$CQ$205^A45,IF(A45='Données projet'!$A$140,'Données projet'!$B$140,CT44+CS45-DB44)))</f>
        <v>131.19999999999993</v>
      </c>
      <c r="CU45" s="17">
        <f>CT45*VLOOKUP('Données projet'!$B$13,Paramètres!$A$1:$I$89,3,0)*VLOOKUP('Données projet'!$B$13,Paramètres!$A$1:$I$89,5,0)</f>
        <v>75.72863999999997</v>
      </c>
      <c r="CV45" s="13">
        <f t="shared" si="41"/>
        <v>21.089502748657928</v>
      </c>
      <c r="CW45" s="20">
        <f t="shared" si="13"/>
        <v>168.62493195391249</v>
      </c>
      <c r="CX45" s="59">
        <f t="shared" si="14"/>
        <v>418.0035982145472</v>
      </c>
      <c r="CY45" s="59">
        <f ca="1">AVERAGE(OFFSET($CX$3,0,0,'Données projet'!$E$13+1,1))-AVERAGE(OFFSET($H$3,0,0,'Données projet'!$E$13+1,1))</f>
        <v>205.74526926885287</v>
      </c>
      <c r="CZ45" s="59">
        <f t="shared" si="42"/>
        <v>201.56217137928999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1.6110438848858</v>
      </c>
      <c r="DH45" s="21">
        <f>EXP(-LN(2)/2)*DH44+(1-EXP(-LN(2)/2))/(LN(2)/2)*DB45*DE45*VLOOKUP('Données projet'!$B$13,Paramètres!$A$1:$I$89,3,0)*0.475*44/12</f>
        <v>1.8623751973406473</v>
      </c>
      <c r="DI45" s="22">
        <f t="shared" si="15"/>
        <v>3.4734190822264472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5.3369963369963358</v>
      </c>
      <c r="DO45" s="12">
        <f>IF('Données projet'!$A$166&gt;35,DO44+DN45-DW44,IF(A45&lt;'Données projet'!$A$166,$DL$205^A45,IF(A45='Données projet'!$A$166,'Données projet'!$B$166,DO44+DN45-DW44)))</f>
        <v>151.74908424908421</v>
      </c>
      <c r="DP45" s="17">
        <f>DO45*VLOOKUP('Données projet'!$B$14,Paramètres!$A$1:$I$89,3,0)*VLOOKUP('Données projet'!$B$14,Paramètres!$A$1:$I$89,5,0)</f>
        <v>144.40442857142855</v>
      </c>
      <c r="DQ45" s="13">
        <f t="shared" si="43"/>
        <v>37.304172057968501</v>
      </c>
      <c r="DR45" s="20">
        <f t="shared" si="16"/>
        <v>316.4758127628665</v>
      </c>
      <c r="DS45" s="59">
        <f t="shared" si="17"/>
        <v>565.8544790235012</v>
      </c>
      <c r="DT45" s="59">
        <f ca="1">AVERAGE(OFFSET($DS$3,0,0,'Données projet'!$E$14+1,1))-AVERAGE(OFFSET($H$3,0,0,'Données projet'!$E$14+1,1))</f>
        <v>403.89478276355294</v>
      </c>
      <c r="DU45" s="59">
        <f t="shared" si="44"/>
        <v>241.1593989733278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5.3369963369963358</v>
      </c>
      <c r="N46" s="13">
        <f>IF('Données projet'!$A$36&gt;35,N45+M46-V45,IF(A46&lt;'Données projet'!$A$36,$K$205^A46,IF(A46='Données projet'!$A$36,'Données projet'!$B$36,N45+M46-V45)))</f>
        <v>157.08608058608053</v>
      </c>
      <c r="O46" s="13">
        <f>N46*VLOOKUP('Données projet'!$B$9,Paramètres!$A$1:$I$89,3,0)*VLOOKUP('Données projet'!$B$9,Paramètres!$A$1:$I$89,5,0)</f>
        <v>142.13148571428567</v>
      </c>
      <c r="P46" s="13">
        <f t="shared" si="33"/>
        <v>36.784868701185438</v>
      </c>
      <c r="Q46" s="20">
        <f t="shared" si="53"/>
        <v>311.61265060694552</v>
      </c>
      <c r="R46" s="59">
        <f t="shared" si="0"/>
        <v>561.75383207337757</v>
      </c>
      <c r="S46" s="59">
        <f ca="1">AVERAGE(OFFSET($R$3,0,0,'Données projet'!$E$9+1,1))-AVERAGE(OFFSET($H$3,0,0,'Données projet'!$E$9+1,1))</f>
        <v>388.1278150896951</v>
      </c>
      <c r="T46" s="59">
        <f t="shared" si="34"/>
        <v>232.26614607059227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5.3369963369963358</v>
      </c>
      <c r="AI46" s="13">
        <f>IF('Données projet'!$A$62&gt;35,AI45+AH46-AQ45,IF(A46&lt;'Données projet'!$A$62,$AF$205^A46,IF(A46='Données projet'!$A$62,'Données projet'!$B$62,AI45+AH46-AQ45)))</f>
        <v>157.08608058608053</v>
      </c>
      <c r="AJ46" s="13">
        <f>AI46*VLOOKUP('Données projet'!$B$10,Paramètres!$A$1:$I$89,3,0)*VLOOKUP('Données projet'!$B$10,Paramètres!$A$1:$I$89,5,0)</f>
        <v>159.28528571428566</v>
      </c>
      <c r="AK46" s="13">
        <f t="shared" si="35"/>
        <v>40.681267624862308</v>
      </c>
      <c r="AL46" s="20">
        <f t="shared" si="4"/>
        <v>348.27508039901596</v>
      </c>
      <c r="AM46" s="59">
        <f t="shared" si="5"/>
        <v>598.41626186544795</v>
      </c>
      <c r="AN46" s="59">
        <f ca="1">AVERAGE(OFFSET($AM$3,0,0,'Données projet'!$E$10+1,1))-AVERAGE(OFFSET($H$3,0,0,'Données projet'!$E$10+1,1))</f>
        <v>424.89201140676084</v>
      </c>
      <c r="AO46" s="59">
        <f t="shared" si="36"/>
        <v>253.0016648946303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</v>
      </c>
      <c r="BD46" s="12">
        <f>IF('Données projet'!$A$88&gt;35,BD45+BC46-BL45,IF(A46&lt;'Données projet'!$A$88,$BA$205^A46,IF(A46='Données projet'!$A$88,'Données projet'!$B$88,BD45+BC46-BL45)))</f>
        <v>109.99999999999996</v>
      </c>
      <c r="BE46" s="13">
        <f>BD46*VLOOKUP('Données projet'!$B$11,Paramètres!$A$1:$I$89,3,0)*VLOOKUP('Données projet'!$B$11,Paramètres!$A$1:$I$89,5,0)</f>
        <v>96.095999999999975</v>
      </c>
      <c r="BF46" s="13">
        <f t="shared" si="37"/>
        <v>26.029778784173352</v>
      </c>
      <c r="BG46" s="20">
        <f t="shared" si="7"/>
        <v>212.70239804910184</v>
      </c>
      <c r="BH46" s="59">
        <f t="shared" si="8"/>
        <v>462.84357951553386</v>
      </c>
      <c r="BI46" s="59">
        <f ca="1">AVERAGE(OFFSET($BH$3,0,0,'Données projet'!$E$11+1,1))-AVERAGE(OFFSET($H$3,0,0,'Données projet'!$E$11+1,1))</f>
        <v>218.97952644043698</v>
      </c>
      <c r="BJ46" s="59">
        <f t="shared" si="38"/>
        <v>204.10961748628714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0.45975316051230558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0.45975316051230558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4.8</v>
      </c>
      <c r="BY46" s="12">
        <f>IF('Données projet'!$A$114&gt;35,BY45+BX46-CG45,IF(A46&lt;'Données projet'!$A$114,$BV$205^A46,IF(A46='Données projet'!$A$114,'Données projet'!$B$114,BY45+BX46-CG45)))</f>
        <v>117.39999999999995</v>
      </c>
      <c r="BZ46" s="13">
        <f>BY46*VLOOKUP('Données projet'!$B$12,Paramètres!$A$1:$I$89,3,0)*VLOOKUP('Données projet'!$B$12,Paramètres!$A$1:$I$89,5,0)</f>
        <v>95.234879999999961</v>
      </c>
      <c r="CA46" s="13">
        <f t="shared" si="39"/>
        <v>25.823567822239401</v>
      </c>
      <c r="CB46" s="20">
        <f t="shared" si="10"/>
        <v>210.84346329040019</v>
      </c>
      <c r="CC46" s="59">
        <f t="shared" si="11"/>
        <v>460.98464475683227</v>
      </c>
      <c r="CD46" s="59">
        <f ca="1">AVERAGE(OFFSET($CC$3,0,0,'Données projet'!$E$12+1,1))-AVERAGE(OFFSET($H$3,0,0,'Données projet'!$E$12+1,1))</f>
        <v>256.23994291192162</v>
      </c>
      <c r="CE46" s="59">
        <f t="shared" si="40"/>
        <v>207.9118653708222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0.90218007539772183</v>
      </c>
      <c r="CM46" s="21">
        <f>EXP(-LN(2)/2)*CM45+(1-EXP(-LN(2)/2))/(LN(2)/2)*CG46*CJ46*VLOOKUP('Données projet'!$B$12,Paramètres!$A$1:$I$89,3,0)*0.475*44/12</f>
        <v>0.98246175156015325</v>
      </c>
      <c r="CN46" s="22">
        <f t="shared" si="12"/>
        <v>1.8846418269578751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5.6</v>
      </c>
      <c r="CT46" s="12">
        <f>IF('Données projet'!$A$140&gt;35,CT45+CS46-DB45,IF(A46&lt;'Données projet'!$A$140,$CQ$205^A46,IF(A46='Données projet'!$A$140,'Données projet'!$B$140,CT45+CS46-DB45)))</f>
        <v>136.79999999999993</v>
      </c>
      <c r="CU46" s="17">
        <f>CT46*VLOOKUP('Données projet'!$B$13,Paramètres!$A$1:$I$89,3,0)*VLOOKUP('Données projet'!$B$13,Paramètres!$A$1:$I$89,5,0)</f>
        <v>78.960959999999957</v>
      </c>
      <c r="CV46" s="13">
        <f t="shared" si="41"/>
        <v>21.882940475088038</v>
      </c>
      <c r="CW46" s="20">
        <f t="shared" si="13"/>
        <v>175.63645999411156</v>
      </c>
      <c r="CX46" s="59">
        <f t="shared" si="14"/>
        <v>425.77764146054358</v>
      </c>
      <c r="CY46" s="59">
        <f ca="1">AVERAGE(OFFSET($CX$3,0,0,'Données projet'!$E$13+1,1))-AVERAGE(OFFSET($H$3,0,0,'Données projet'!$E$13+1,1))</f>
        <v>205.74526926885287</v>
      </c>
      <c r="CZ46" s="59">
        <f t="shared" si="42"/>
        <v>201.56217137928999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1.566989805132482</v>
      </c>
      <c r="DH46" s="21">
        <f>EXP(-LN(2)/2)*DH45+(1-EXP(-LN(2)/2))/(LN(2)/2)*DB46*DE46*VLOOKUP('Données projet'!$B$13,Paramètres!$A$1:$I$89,3,0)*0.475*44/12</f>
        <v>1.3168981311532064</v>
      </c>
      <c r="DI46" s="22">
        <f t="shared" si="15"/>
        <v>2.8838879362856886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5.3369963369963358</v>
      </c>
      <c r="DO46" s="12">
        <f>IF('Données projet'!$A$166&gt;35,DO45+DN46-DW45,IF(A46&lt;'Données projet'!$A$166,$DL$205^A46,IF(A46='Données projet'!$A$166,'Données projet'!$B$166,DO45+DN46-DW45)))</f>
        <v>157.08608058608053</v>
      </c>
      <c r="DP46" s="17">
        <f>DO46*VLOOKUP('Données projet'!$B$14,Paramètres!$A$1:$I$89,3,0)*VLOOKUP('Données projet'!$B$14,Paramètres!$A$1:$I$89,5,0)</f>
        <v>149.48311428571424</v>
      </c>
      <c r="DQ46" s="13">
        <f t="shared" si="43"/>
        <v>38.461097899617613</v>
      </c>
      <c r="DR46" s="20">
        <f t="shared" si="16"/>
        <v>327.33616955611961</v>
      </c>
      <c r="DS46" s="59">
        <f t="shared" si="17"/>
        <v>577.4773510225516</v>
      </c>
      <c r="DT46" s="59">
        <f ca="1">AVERAGE(OFFSET($DS$3,0,0,'Données projet'!$E$14+1,1))-AVERAGE(OFFSET($H$3,0,0,'Données projet'!$E$14+1,1))</f>
        <v>403.89478276355294</v>
      </c>
      <c r="DU46" s="59">
        <f t="shared" si="44"/>
        <v>241.1593989733278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162.42307692307691</v>
      </c>
      <c r="L47" s="12">
        <f>VLOOKUP(A47,'Données projet'!$A$35:$I$55,9,0)</f>
        <v>5.3369963369963358</v>
      </c>
      <c r="M47" s="12">
        <f t="array" ref="M47">INDEX(L:L,MIN(IF(ISNUMBER(L47:L243),ROW(L47:L243),"")))</f>
        <v>5.3369963369963358</v>
      </c>
      <c r="N47" s="13">
        <f>IF('Données projet'!$A$36&gt;35,N46+M47-V46,IF(A47&lt;'Données projet'!$A$36,$K$205^A47,IF(A47='Données projet'!$A$36,'Données projet'!$B$36,N46+M47-V46)))</f>
        <v>162.42307692307685</v>
      </c>
      <c r="O47" s="13">
        <f>N47*VLOOKUP('Données projet'!$B$9,Paramètres!$A$1:$I$89,3,0)*VLOOKUP('Données projet'!$B$9,Paramètres!$A$1:$I$89,5,0)</f>
        <v>146.96039999999991</v>
      </c>
      <c r="P47" s="13">
        <f t="shared" si="33"/>
        <v>37.887004745652405</v>
      </c>
      <c r="Q47" s="20">
        <f t="shared" si="53"/>
        <v>321.94256326534446</v>
      </c>
      <c r="R47" s="59">
        <f t="shared" si="0"/>
        <v>572.83303200348189</v>
      </c>
      <c r="S47" s="59">
        <f ca="1">AVERAGE(OFFSET($R$3,0,0,'Données projet'!$E$9+1,1))-AVERAGE(OFFSET($H$3,0,0,'Données projet'!$E$9+1,1))</f>
        <v>388.1278150896951</v>
      </c>
      <c r="T47" s="59">
        <f t="shared" si="34"/>
        <v>232.26614607059227</v>
      </c>
      <c r="U47" s="15">
        <f>IF(ISNA(VLOOKUP(A47,'Données projet'!$A$35:$I$55,3,0)),0,VLOOKUP(A47,'Données projet'!$A$35:$I$55,3,0))</f>
        <v>1</v>
      </c>
      <c r="V47" s="15">
        <f>IF(ISNA(VLOOKUP(A47,'Données projet'!$A$35:$I$55,4,0)),0,VLOOKUP(A47,'Données projet'!$A$35:$I$55,4,0))</f>
        <v>64.416666666666657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162.42307692307691</v>
      </c>
      <c r="AG47" s="12">
        <f>VLOOKUP(A47,'Données projet'!$A$61:$I$81,9,0)</f>
        <v>5.3369963369963358</v>
      </c>
      <c r="AH47" s="12">
        <f t="array" ref="AH47">INDEX(AG:AG,MIN(IF(ISNUMBER(AG47:AG243),ROW(AG47:AG243),"")))</f>
        <v>5.3369963369963358</v>
      </c>
      <c r="AI47" s="13">
        <f>IF('Données projet'!$A$62&gt;35,AI46+AH47-AQ46,IF(A47&lt;'Données projet'!$A$62,$AF$205^A47,IF(A47='Données projet'!$A$62,'Données projet'!$B$62,AI46+AH47-AQ46)))</f>
        <v>162.42307692307685</v>
      </c>
      <c r="AJ47" s="13">
        <f>AI47*VLOOKUP('Données projet'!$B$10,Paramètres!$A$1:$I$89,3,0)*VLOOKUP('Données projet'!$B$10,Paramètres!$A$1:$I$89,5,0)</f>
        <v>164.69699999999995</v>
      </c>
      <c r="AK47" s="13">
        <f t="shared" si="35"/>
        <v>41.900146282502362</v>
      </c>
      <c r="AL47" s="20">
        <f t="shared" si="4"/>
        <v>359.82336310869147</v>
      </c>
      <c r="AM47" s="59">
        <f t="shared" si="5"/>
        <v>610.71383184682895</v>
      </c>
      <c r="AN47" s="59">
        <f ca="1">AVERAGE(OFFSET($AM$3,0,0,'Données projet'!$E$10+1,1))-AVERAGE(OFFSET($H$3,0,0,'Données projet'!$E$10+1,1))</f>
        <v>424.89201140676084</v>
      </c>
      <c r="AO47" s="59">
        <f t="shared" si="36"/>
        <v>253.0016648946303</v>
      </c>
      <c r="AP47" s="15">
        <f>IF(ISNA(VLOOKUP(A47,'Données projet'!$A$61:$I$81,3,0)),0,VLOOKUP(A47,'Données projet'!$A$61:$I$81,3,0))</f>
        <v>1</v>
      </c>
      <c r="AQ47" s="15">
        <f>IF(ISNA(VLOOKUP(A47,'Données projet'!$A$61:$I$81,4,0)),0,VLOOKUP(A47,'Données projet'!$A$61:$I$81,4,0))</f>
        <v>64.416666666666657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</v>
      </c>
      <c r="BD47" s="12">
        <f>IF('Données projet'!$A$88&gt;35,BD46+BC47-BL46,IF(A47&lt;'Données projet'!$A$88,$BA$205^A47,IF(A47='Données projet'!$A$88,'Données projet'!$B$88,BD46+BC47-BL46)))</f>
        <v>114.99999999999996</v>
      </c>
      <c r="BE47" s="13">
        <f>BD47*VLOOKUP('Données projet'!$B$11,Paramètres!$A$1:$I$89,3,0)*VLOOKUP('Données projet'!$B$11,Paramètres!$A$1:$I$89,5,0)</f>
        <v>100.46399999999997</v>
      </c>
      <c r="BF47" s="13">
        <f t="shared" si="37"/>
        <v>27.072509349827456</v>
      </c>
      <c r="BG47" s="20">
        <f t="shared" si="7"/>
        <v>222.12608711761609</v>
      </c>
      <c r="BH47" s="59">
        <f t="shared" si="8"/>
        <v>473.0165558557535</v>
      </c>
      <c r="BI47" s="59">
        <f ca="1">AVERAGE(OFFSET($BH$3,0,0,'Données projet'!$E$11+1,1))-AVERAGE(OFFSET($H$3,0,0,'Données projet'!$E$11+1,1))</f>
        <v>218.97952644043698</v>
      </c>
      <c r="BJ47" s="59">
        <f t="shared" si="38"/>
        <v>204.10961748628714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0.44718118616072866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0.44718118616072866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4.8</v>
      </c>
      <c r="BY47" s="12">
        <f>IF('Données projet'!$A$114&gt;35,BY46+BX47-CG46,IF(A47&lt;'Données projet'!$A$114,$BV$205^A47,IF(A47='Données projet'!$A$114,'Données projet'!$B$114,BY46+BX47-CG46)))</f>
        <v>122.19999999999995</v>
      </c>
      <c r="BZ47" s="13">
        <f>BY47*VLOOKUP('Données projet'!$B$12,Paramètres!$A$1:$I$89,3,0)*VLOOKUP('Données projet'!$B$12,Paramètres!$A$1:$I$89,5,0)</f>
        <v>99.128639999999962</v>
      </c>
      <c r="CA47" s="13">
        <f t="shared" si="39"/>
        <v>26.754302425980779</v>
      </c>
      <c r="CB47" s="20">
        <f t="shared" si="10"/>
        <v>219.24612472524976</v>
      </c>
      <c r="CC47" s="59">
        <f t="shared" si="11"/>
        <v>470.13659346338716</v>
      </c>
      <c r="CD47" s="59">
        <f ca="1">AVERAGE(OFFSET($CC$3,0,0,'Données projet'!$E$12+1,1))-AVERAGE(OFFSET($H$3,0,0,'Données projet'!$E$12+1,1))</f>
        <v>256.23994291192162</v>
      </c>
      <c r="CE47" s="59">
        <f t="shared" si="40"/>
        <v>207.9118653708222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0.87750991379238297</v>
      </c>
      <c r="CM47" s="21">
        <f>EXP(-LN(2)/2)*CM46+(1-EXP(-LN(2)/2))/(LN(2)/2)*CG47*CJ47*VLOOKUP('Données projet'!$B$12,Paramètres!$A$1:$I$89,3,0)*0.475*44/12</f>
        <v>0.6947053667845976</v>
      </c>
      <c r="CN47" s="22">
        <f t="shared" si="12"/>
        <v>1.5722152805769807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5.6</v>
      </c>
      <c r="CT47" s="12">
        <f>IF('Données projet'!$A$140&gt;35,CT46+CS47-DB46,IF(A47&lt;'Données projet'!$A$140,$CQ$205^A47,IF(A47='Données projet'!$A$140,'Données projet'!$B$140,CT46+CS47-DB46)))</f>
        <v>142.39999999999992</v>
      </c>
      <c r="CU47" s="17">
        <f>CT47*VLOOKUP('Données projet'!$B$13,Paramètres!$A$1:$I$89,3,0)*VLOOKUP('Données projet'!$B$13,Paramètres!$A$1:$I$89,5,0)</f>
        <v>82.193279999999945</v>
      </c>
      <c r="CV47" s="13">
        <f t="shared" si="41"/>
        <v>22.67260542050569</v>
      </c>
      <c r="CW47" s="20">
        <f t="shared" si="13"/>
        <v>182.64141710738065</v>
      </c>
      <c r="CX47" s="59">
        <f t="shared" si="14"/>
        <v>433.5318858455181</v>
      </c>
      <c r="CY47" s="59">
        <f ca="1">AVERAGE(OFFSET($CX$3,0,0,'Données projet'!$E$13+1,1))-AVERAGE(OFFSET($H$3,0,0,'Données projet'!$E$13+1,1))</f>
        <v>205.74526926885287</v>
      </c>
      <c r="CZ47" s="59">
        <f t="shared" si="42"/>
        <v>201.56217137928999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1.5241403865067218</v>
      </c>
      <c r="DH47" s="21">
        <f>EXP(-LN(2)/2)*DH46+(1-EXP(-LN(2)/2))/(LN(2)/2)*DB47*DE47*VLOOKUP('Données projet'!$B$13,Paramètres!$A$1:$I$89,3,0)*0.475*44/12</f>
        <v>0.93118759867032375</v>
      </c>
      <c r="DI47" s="22">
        <f t="shared" si="15"/>
        <v>2.4553279851770453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162.42307692307691</v>
      </c>
      <c r="DM47" s="12">
        <f>VLOOKUP(A47,'Données projet'!$A$165:$I$185,9,0)</f>
        <v>5.3369963369963358</v>
      </c>
      <c r="DN47" s="12">
        <f t="array" ref="DN47">INDEX(DM:DM,MIN(IF(ISNUMBER(DM47:DM243),ROW(DM47:DM243),"")))</f>
        <v>5.3369963369963358</v>
      </c>
      <c r="DO47" s="12">
        <f>IF('Données projet'!$A$166&gt;35,DO46+DN47-DW46,IF(A47&lt;'Données projet'!$A$166,$DL$205^A47,IF(A47='Données projet'!$A$166,'Données projet'!$B$166,DO46+DN47-DW46)))</f>
        <v>162.42307692307685</v>
      </c>
      <c r="DP47" s="17">
        <f>DO47*VLOOKUP('Données projet'!$B$14,Paramètres!$A$1:$I$89,3,0)*VLOOKUP('Données projet'!$B$14,Paramètres!$A$1:$I$89,5,0)</f>
        <v>154.56179999999995</v>
      </c>
      <c r="DQ47" s="13">
        <f t="shared" si="43"/>
        <v>39.613456567777732</v>
      </c>
      <c r="DR47" s="20">
        <f t="shared" si="16"/>
        <v>338.18857185554612</v>
      </c>
      <c r="DS47" s="59">
        <f t="shared" si="17"/>
        <v>589.07904059368354</v>
      </c>
      <c r="DT47" s="59">
        <f ca="1">AVERAGE(OFFSET($DS$3,0,0,'Données projet'!$E$14+1,1))-AVERAGE(OFFSET($H$3,0,0,'Données projet'!$E$14+1,1))</f>
        <v>403.89478276355294</v>
      </c>
      <c r="DU47" s="59">
        <f t="shared" si="44"/>
        <v>241.1593989733278</v>
      </c>
      <c r="DV47" s="15">
        <f>IF(ISNA(VLOOKUP(A47,'Données projet'!$A$165:$I$185,3,0)),0,VLOOKUP(A47,'Données projet'!$A$165:$I$185,3,0))</f>
        <v>1</v>
      </c>
      <c r="DW47" s="15">
        <f>IF(ISNA(VLOOKUP(A47,'Données projet'!$A$165:$I$185,4,0)),0,VLOOKUP(A47,'Données projet'!$A$165:$I$185,4,0))</f>
        <v>64.416666666666657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6.826007326007324</v>
      </c>
      <c r="N48" s="13">
        <f>IF('Données projet'!$A$36&gt;35,N47+M48-V47,IF(A48&lt;'Données projet'!$A$36,$K$205^A48,IF(A48='Données projet'!$A$36,'Données projet'!$B$36,N47+M48-V47)))</f>
        <v>104.83241758241752</v>
      </c>
      <c r="O48" s="13">
        <f>N48*VLOOKUP('Données projet'!$B$9,Paramètres!$A$1:$I$89,3,0)*VLOOKUP('Données projet'!$B$9,Paramètres!$A$1:$I$89,5,0)</f>
        <v>94.852371428571374</v>
      </c>
      <c r="P48" s="13">
        <f t="shared" si="33"/>
        <v>25.731899613510901</v>
      </c>
      <c r="Q48" s="20">
        <f t="shared" si="53"/>
        <v>210.01760539829328</v>
      </c>
      <c r="R48" s="59">
        <f t="shared" si="0"/>
        <v>461.64436294912741</v>
      </c>
      <c r="S48" s="59">
        <f ca="1">AVERAGE(OFFSET($R$3,0,0,'Données projet'!$E$9+1,1))-AVERAGE(OFFSET($H$3,0,0,'Données projet'!$E$9+1,1))</f>
        <v>388.1278150896951</v>
      </c>
      <c r="T48" s="59">
        <f t="shared" si="34"/>
        <v>232.26614607059227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6.826007326007324</v>
      </c>
      <c r="AI48" s="13">
        <f>IF('Données projet'!$A$62&gt;35,AI47+AH48-AQ47,IF(A48&lt;'Données projet'!$A$62,$AF$205^A48,IF(A48='Données projet'!$A$62,'Données projet'!$B$62,AI47+AH48-AQ47)))</f>
        <v>104.83241758241752</v>
      </c>
      <c r="AJ48" s="13">
        <f>AI48*VLOOKUP('Données projet'!$B$10,Paramètres!$A$1:$I$89,3,0)*VLOOKUP('Données projet'!$B$10,Paramètres!$A$1:$I$89,5,0)</f>
        <v>106.30007142857137</v>
      </c>
      <c r="AK48" s="13">
        <f t="shared" si="35"/>
        <v>28.457524292851215</v>
      </c>
      <c r="AL48" s="20">
        <f t="shared" si="4"/>
        <v>234.70281254814427</v>
      </c>
      <c r="AM48" s="59">
        <f t="shared" si="5"/>
        <v>486.32957009897837</v>
      </c>
      <c r="AN48" s="59">
        <f ca="1">AVERAGE(OFFSET($AM$3,0,0,'Données projet'!$E$10+1,1))-AVERAGE(OFFSET($H$3,0,0,'Données projet'!$E$10+1,1))</f>
        <v>424.89201140676084</v>
      </c>
      <c r="AO48" s="59">
        <f t="shared" si="36"/>
        <v>253.0016648946303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120</v>
      </c>
      <c r="BB48" s="12">
        <f>VLOOKUP(A48,'Données projet'!$A$87:$I$107,9,0)</f>
        <v>5</v>
      </c>
      <c r="BC48" s="12">
        <f t="array" ref="BC48">INDEX(BB:BB,MIN(IF(ISNUMBER(BB48:BB244),ROW(BB48:BB244),"")))</f>
        <v>5</v>
      </c>
      <c r="BD48" s="12">
        <f>IF('Données projet'!$A$88&gt;35,BD47+BC48-BL47,IF(A48&lt;'Données projet'!$A$88,$BA$205^A48,IF(A48='Données projet'!$A$88,'Données projet'!$B$88,BD47+BC48-BL47)))</f>
        <v>119.99999999999996</v>
      </c>
      <c r="BE48" s="13">
        <f>BD48*VLOOKUP('Données projet'!$B$11,Paramètres!$A$1:$I$89,3,0)*VLOOKUP('Données projet'!$B$11,Paramètres!$A$1:$I$89,5,0)</f>
        <v>104.83199999999998</v>
      </c>
      <c r="BF48" s="13">
        <f t="shared" si="37"/>
        <v>28.109974371137692</v>
      </c>
      <c r="BG48" s="20">
        <f t="shared" si="7"/>
        <v>231.54060536306474</v>
      </c>
      <c r="BH48" s="59">
        <f t="shared" si="8"/>
        <v>483.16736291389884</v>
      </c>
      <c r="BI48" s="59">
        <f ca="1">AVERAGE(OFFSET($BH$3,0,0,'Données projet'!$E$11+1,1))-AVERAGE(OFFSET($H$3,0,0,'Données projet'!$E$11+1,1))</f>
        <v>218.97952644043698</v>
      </c>
      <c r="BJ48" s="59">
        <f t="shared" si="38"/>
        <v>204.10961748628714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14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7.4200000000000016E-2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1.4342125684794493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1.4342125684794493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127</v>
      </c>
      <c r="BW48" s="12">
        <f>VLOOKUP(A48,'Données projet'!$A$113:$I$133,9,0)</f>
        <v>4.8</v>
      </c>
      <c r="BX48" s="12">
        <f t="array" ref="BX48">INDEX(BW:BW,MIN(IF(ISNUMBER(BW48:BW244),ROW(BW48:BW244),"")))</f>
        <v>4.8</v>
      </c>
      <c r="BY48" s="12">
        <f>IF('Données projet'!$A$114&gt;35,BY47+BX48-CG47,IF(A48&lt;'Données projet'!$A$114,$BV$205^A48,IF(A48='Données projet'!$A$114,'Données projet'!$B$114,BY47+BX48-CG47)))</f>
        <v>126.99999999999994</v>
      </c>
      <c r="BZ48" s="13">
        <f>BY48*VLOOKUP('Données projet'!$B$12,Paramètres!$A$1:$I$89,3,0)*VLOOKUP('Données projet'!$B$12,Paramètres!$A$1:$I$89,5,0)</f>
        <v>103.02239999999996</v>
      </c>
      <c r="CA48" s="13">
        <f t="shared" si="39"/>
        <v>27.680790106744631</v>
      </c>
      <c r="CB48" s="20">
        <f t="shared" si="10"/>
        <v>227.64138943591345</v>
      </c>
      <c r="CC48" s="59">
        <f t="shared" si="11"/>
        <v>479.26814698674758</v>
      </c>
      <c r="CD48" s="59">
        <f ca="1">AVERAGE(OFFSET($CC$3,0,0,'Données projet'!$E$12+1,1))-AVERAGE(OFFSET($H$3,0,0,'Données projet'!$E$12+1,1))</f>
        <v>256.23994291192162</v>
      </c>
      <c r="CE48" s="59">
        <f t="shared" si="40"/>
        <v>207.9118653708222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11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0.129</v>
      </c>
      <c r="CJ48" s="16">
        <f>IF(ISNA(VLOOKUP(A48,'Données projet'!$A$113:$I$133,7,0)),0%,VLOOKUP(A48,'Données projet'!$A$113:$I$133,7,0))</f>
        <v>0.3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2.121003040145685</v>
      </c>
      <c r="CM48" s="21">
        <f>EXP(-LN(2)/2)*CM47+(1-EXP(-LN(2)/2))/(LN(2)/2)*CG48*CJ48*VLOOKUP('Données projet'!$B$12,Paramètres!$A$1:$I$89,3,0)*0.475*44/12</f>
        <v>3.0170146851021169</v>
      </c>
      <c r="CN48" s="22">
        <f t="shared" si="12"/>
        <v>5.1380177252478019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148</v>
      </c>
      <c r="CR48" s="12">
        <f>VLOOKUP(A48,'Données projet'!$A$139:$I$159,9,0)</f>
        <v>5.6</v>
      </c>
      <c r="CS48" s="12">
        <f t="array" ref="CS48">INDEX(CR:CR,MIN(IF(ISNUMBER(CR48:CR244),ROW(CR48:CR244),"")))</f>
        <v>5.6</v>
      </c>
      <c r="CT48" s="12">
        <f>IF('Données projet'!$A$140&gt;35,CT47+CS48-DB47,IF(A48&lt;'Données projet'!$A$140,$CQ$205^A48,IF(A48='Données projet'!$A$140,'Données projet'!$B$140,CT47+CS48-DB47)))</f>
        <v>147.99999999999991</v>
      </c>
      <c r="CU48" s="17">
        <f>CT48*VLOOKUP('Données projet'!$B$13,Paramètres!$A$1:$I$89,3,0)*VLOOKUP('Données projet'!$B$13,Paramètres!$A$1:$I$89,5,0)</f>
        <v>85.42559999999996</v>
      </c>
      <c r="CV48" s="13">
        <f t="shared" si="41"/>
        <v>23.458662931007545</v>
      </c>
      <c r="CW48" s="20">
        <f t="shared" si="13"/>
        <v>189.64009127150473</v>
      </c>
      <c r="CX48" s="59">
        <f t="shared" si="14"/>
        <v>441.26684882233883</v>
      </c>
      <c r="CY48" s="59">
        <f ca="1">AVERAGE(OFFSET($CX$3,0,0,'Données projet'!$E$13+1,1))-AVERAGE(OFFSET($H$3,0,0,'Données projet'!$E$13+1,1))</f>
        <v>205.74526926885287</v>
      </c>
      <c r="CZ48" s="59">
        <f t="shared" si="42"/>
        <v>201.56217137928999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19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4.3000000000000003E-2</v>
      </c>
      <c r="DE48" s="16">
        <f>IF(ISNA(VLOOKUP(A48,'Données projet'!$A$139:$I$159,7,0)),0%,VLOOKUP(A48,'Données projet'!$A$139:$I$159,7,0))</f>
        <v>0.3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2.001719414064616</v>
      </c>
      <c r="DH48" s="21">
        <f>EXP(-LN(2)/2)*DH47+(1-EXP(-LN(2)/2))/(LN(2)/2)*DB48*DE48*VLOOKUP('Données projet'!$B$13,Paramètres!$A$1:$I$89,3,0)*0.475*44/12</f>
        <v>3.7626903557049145</v>
      </c>
      <c r="DI48" s="22">
        <f t="shared" si="15"/>
        <v>5.7644097697695305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6.826007326007324</v>
      </c>
      <c r="DO48" s="12">
        <f>IF('Données projet'!$A$166&gt;35,DO47+DN48-DW47,IF(A48&lt;'Données projet'!$A$166,$DL$205^A48,IF(A48='Données projet'!$A$166,'Données projet'!$B$166,DO47+DN48-DW47)))</f>
        <v>104.83241758241752</v>
      </c>
      <c r="DP48" s="17">
        <f>DO48*VLOOKUP('Données projet'!$B$14,Paramètres!$A$1:$I$89,3,0)*VLOOKUP('Données projet'!$B$14,Paramètres!$A$1:$I$89,5,0)</f>
        <v>99.758528571428513</v>
      </c>
      <c r="DQ48" s="13">
        <f t="shared" si="43"/>
        <v>26.90446221835996</v>
      </c>
      <c r="DR48" s="20">
        <f t="shared" si="16"/>
        <v>220.60470895888159</v>
      </c>
      <c r="DS48" s="59">
        <f t="shared" si="17"/>
        <v>472.23146650971569</v>
      </c>
      <c r="DT48" s="59">
        <f ca="1">AVERAGE(OFFSET($DS$3,0,0,'Données projet'!$E$14+1,1))-AVERAGE(OFFSET($H$3,0,0,'Données projet'!$E$14+1,1))</f>
        <v>403.89478276355294</v>
      </c>
      <c r="DU48" s="59">
        <f t="shared" si="44"/>
        <v>241.1593989733278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6.826007326007324</v>
      </c>
      <c r="N49" s="13">
        <f>IF('Données projet'!$A$36&gt;35,N48+M49-V48,IF(A49&lt;'Données projet'!$A$36,$K$205^A49,IF(A49='Données projet'!$A$36,'Données projet'!$B$36,N48+M49-V48)))</f>
        <v>111.65842490842485</v>
      </c>
      <c r="O49" s="13">
        <f>N49*VLOOKUP('Données projet'!$B$9,Paramètres!$A$1:$I$89,3,0)*VLOOKUP('Données projet'!$B$9,Paramètres!$A$1:$I$89,5,0)</f>
        <v>101.0285428571428</v>
      </c>
      <c r="P49" s="13">
        <f t="shared" si="33"/>
        <v>27.206887577634099</v>
      </c>
      <c r="Q49" s="20">
        <f t="shared" si="53"/>
        <v>223.3433746739031</v>
      </c>
      <c r="R49" s="59">
        <f t="shared" si="0"/>
        <v>475.69364807262878</v>
      </c>
      <c r="S49" s="59">
        <f ca="1">AVERAGE(OFFSET($R$3,0,0,'Données projet'!$E$9+1,1))-AVERAGE(OFFSET($H$3,0,0,'Données projet'!$E$9+1,1))</f>
        <v>388.1278150896951</v>
      </c>
      <c r="T49" s="59">
        <f t="shared" si="34"/>
        <v>232.26614607059227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6.826007326007324</v>
      </c>
      <c r="AI49" s="13">
        <f>IF('Données projet'!$A$62&gt;35,AI48+AH49-AQ48,IF(A49&lt;'Données projet'!$A$62,$AF$205^A49,IF(A49='Données projet'!$A$62,'Données projet'!$B$62,AI48+AH49-AQ48)))</f>
        <v>111.65842490842485</v>
      </c>
      <c r="AJ49" s="13">
        <f>AI49*VLOOKUP('Données projet'!$B$10,Paramètres!$A$1:$I$89,3,0)*VLOOKUP('Données projet'!$B$10,Paramètres!$A$1:$I$89,5,0)</f>
        <v>113.2216428571428</v>
      </c>
      <c r="AK49" s="13">
        <f t="shared" si="35"/>
        <v>30.088748821593761</v>
      </c>
      <c r="AL49" s="20">
        <f t="shared" si="4"/>
        <v>249.59893217379951</v>
      </c>
      <c r="AM49" s="59">
        <f t="shared" si="5"/>
        <v>501.94920557252516</v>
      </c>
      <c r="AN49" s="59">
        <f ca="1">AVERAGE(OFFSET($AM$3,0,0,'Données projet'!$E$10+1,1))-AVERAGE(OFFSET($H$3,0,0,'Données projet'!$E$10+1,1))</f>
        <v>424.89201140676084</v>
      </c>
      <c r="AO49" s="59">
        <f t="shared" si="36"/>
        <v>253.0016648946303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4</v>
      </c>
      <c r="BD49" s="12">
        <f>IF('Données projet'!$A$88&gt;35,BD48+BC49-BL48,IF(A49&lt;'Données projet'!$A$88,$BA$205^A49,IF(A49='Données projet'!$A$88,'Données projet'!$B$88,BD48+BC49-BL48)))</f>
        <v>109.99999999999996</v>
      </c>
      <c r="BE49" s="13">
        <f>BD49*VLOOKUP('Données projet'!$B$11,Paramètres!$A$1:$I$89,3,0)*VLOOKUP('Données projet'!$B$11,Paramètres!$A$1:$I$89,5,0)</f>
        <v>96.095999999999975</v>
      </c>
      <c r="BF49" s="13">
        <f t="shared" si="37"/>
        <v>26.029778784173352</v>
      </c>
      <c r="BG49" s="20">
        <f t="shared" si="7"/>
        <v>212.70239804910184</v>
      </c>
      <c r="BH49" s="59">
        <f t="shared" si="8"/>
        <v>465.05267144782749</v>
      </c>
      <c r="BI49" s="59">
        <f ca="1">AVERAGE(OFFSET($BH$3,0,0,'Données projet'!$E$11+1,1))-AVERAGE(OFFSET($H$3,0,0,'Données projet'!$E$11+1,1))</f>
        <v>218.97952644043698</v>
      </c>
      <c r="BJ49" s="59">
        <f t="shared" si="38"/>
        <v>204.10961748628714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1.3949939503724178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1.3949939503724178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4.5999999999999996</v>
      </c>
      <c r="BY49" s="12">
        <f>IF('Données projet'!$A$114&gt;35,BY48+BX49-CG48,IF(A49&lt;'Données projet'!$A$114,$BV$205^A49,IF(A49='Données projet'!$A$114,'Données projet'!$B$114,BY48+BX49-CG48)))</f>
        <v>120.59999999999994</v>
      </c>
      <c r="BZ49" s="13">
        <f>BY49*VLOOKUP('Données projet'!$B$12,Paramètres!$A$1:$I$89,3,0)*VLOOKUP('Données projet'!$B$12,Paramètres!$A$1:$I$89,5,0)</f>
        <v>97.830719999999957</v>
      </c>
      <c r="CA49" s="13">
        <f t="shared" si="39"/>
        <v>26.444538701397263</v>
      </c>
      <c r="CB49" s="20">
        <f t="shared" si="10"/>
        <v>216.44607557160018</v>
      </c>
      <c r="CC49" s="59">
        <f t="shared" si="11"/>
        <v>468.79634897032582</v>
      </c>
      <c r="CD49" s="59">
        <f ca="1">AVERAGE(OFFSET($CC$3,0,0,'Données projet'!$E$12+1,1))-AVERAGE(OFFSET($H$3,0,0,'Données projet'!$E$12+1,1))</f>
        <v>256.23994291192162</v>
      </c>
      <c r="CE49" s="59">
        <f t="shared" si="40"/>
        <v>207.9118653708222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2.063004100474199</v>
      </c>
      <c r="CM49" s="21">
        <f>EXP(-LN(2)/2)*CM48+(1-EXP(-LN(2)/2))/(LN(2)/2)*CG49*CJ49*VLOOKUP('Données projet'!$B$12,Paramètres!$A$1:$I$89,3,0)*0.475*44/12</f>
        <v>2.1333515427751033</v>
      </c>
      <c r="CN49" s="22">
        <f t="shared" si="12"/>
        <v>4.1963556432493023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</v>
      </c>
      <c r="CT49" s="12">
        <f>IF('Données projet'!$A$140&gt;35,CT48+CS49-DB48,IF(A49&lt;'Données projet'!$A$140,$CQ$205^A49,IF(A49='Données projet'!$A$140,'Données projet'!$B$140,CT48+CS49-DB48)))</f>
        <v>133.99999999999991</v>
      </c>
      <c r="CU49" s="17">
        <f>CT49*VLOOKUP('Données projet'!$B$13,Paramètres!$A$1:$I$89,3,0)*VLOOKUP('Données projet'!$B$13,Paramètres!$A$1:$I$89,5,0)</f>
        <v>77.34479999999995</v>
      </c>
      <c r="CV49" s="13">
        <f t="shared" si="41"/>
        <v>21.486704106300945</v>
      </c>
      <c r="CW49" s="20">
        <f t="shared" si="13"/>
        <v>172.13153631847408</v>
      </c>
      <c r="CX49" s="59">
        <f t="shared" si="14"/>
        <v>424.48180971719972</v>
      </c>
      <c r="CY49" s="59">
        <f ca="1">AVERAGE(OFFSET($CX$3,0,0,'Données projet'!$E$13+1,1))-AVERAGE(OFFSET($H$3,0,0,'Données projet'!$E$13+1,1))</f>
        <v>205.74526926885287</v>
      </c>
      <c r="CZ49" s="59">
        <f t="shared" si="42"/>
        <v>201.56217137928999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1.9469822914211701</v>
      </c>
      <c r="DH49" s="21">
        <f>EXP(-LN(2)/2)*DH48+(1-EXP(-LN(2)/2))/(LN(2)/2)*DB49*DE49*VLOOKUP('Données projet'!$B$13,Paramètres!$A$1:$I$89,3,0)*0.475*44/12</f>
        <v>2.6606238660241677</v>
      </c>
      <c r="DI49" s="22">
        <f t="shared" si="15"/>
        <v>4.6076061574453373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6.826007326007324</v>
      </c>
      <c r="DO49" s="12">
        <f>IF('Données projet'!$A$166&gt;35,DO48+DN49-DW48,IF(A49&lt;'Données projet'!$A$166,$DL$205^A49,IF(A49='Données projet'!$A$166,'Données projet'!$B$166,DO48+DN49-DW48)))</f>
        <v>111.65842490842485</v>
      </c>
      <c r="DP49" s="17">
        <f>DO49*VLOOKUP('Données projet'!$B$14,Paramètres!$A$1:$I$89,3,0)*VLOOKUP('Données projet'!$B$14,Paramètres!$A$1:$I$89,5,0)</f>
        <v>106.2541571428571</v>
      </c>
      <c r="DQ49" s="13">
        <f t="shared" si="43"/>
        <v>28.446663087682943</v>
      </c>
      <c r="DR49" s="20">
        <f t="shared" si="16"/>
        <v>234.60392856819058</v>
      </c>
      <c r="DS49" s="59">
        <f t="shared" si="17"/>
        <v>486.95420196691623</v>
      </c>
      <c r="DT49" s="59">
        <f ca="1">AVERAGE(OFFSET($DS$3,0,0,'Données projet'!$E$14+1,1))-AVERAGE(OFFSET($H$3,0,0,'Données projet'!$E$14+1,1))</f>
        <v>403.89478276355294</v>
      </c>
      <c r="DU49" s="59">
        <f t="shared" si="44"/>
        <v>241.1593989733278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6.826007326007324</v>
      </c>
      <c r="N50" s="13">
        <f>IF('Données projet'!$A$36&gt;35,N49+M50-V49,IF(A50&lt;'Données projet'!$A$36,$K$205^A50,IF(A50='Données projet'!$A$36,'Données projet'!$B$36,N49+M50-V49)))</f>
        <v>118.48443223443218</v>
      </c>
      <c r="O50" s="13">
        <f>N50*VLOOKUP('Données projet'!$B$9,Paramètres!$A$1:$I$89,3,0)*VLOOKUP('Données projet'!$B$9,Paramètres!$A$1:$I$89,5,0)</f>
        <v>107.20471428571423</v>
      </c>
      <c r="P50" s="13">
        <f t="shared" si="33"/>
        <v>28.671410088969473</v>
      </c>
      <c r="Q50" s="20">
        <f t="shared" si="53"/>
        <v>236.65091661924077</v>
      </c>
      <c r="R50" s="59">
        <f t="shared" si="0"/>
        <v>489.71215448343617</v>
      </c>
      <c r="S50" s="59">
        <f ca="1">AVERAGE(OFFSET($R$3,0,0,'Données projet'!$E$9+1,1))-AVERAGE(OFFSET($H$3,0,0,'Données projet'!$E$9+1,1))</f>
        <v>388.1278150896951</v>
      </c>
      <c r="T50" s="59">
        <f t="shared" si="34"/>
        <v>232.26614607059227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6.826007326007324</v>
      </c>
      <c r="AI50" s="13">
        <f>IF('Données projet'!$A$62&gt;35,AI49+AH50-AQ49,IF(A50&lt;'Données projet'!$A$62,$AF$205^A50,IF(A50='Données projet'!$A$62,'Données projet'!$B$62,AI49+AH50-AQ49)))</f>
        <v>118.48443223443218</v>
      </c>
      <c r="AJ50" s="13">
        <f>AI50*VLOOKUP('Données projet'!$B$10,Paramètres!$A$1:$I$89,3,0)*VLOOKUP('Données projet'!$B$10,Paramètres!$A$1:$I$89,5,0)</f>
        <v>120.14321428571424</v>
      </c>
      <c r="AK50" s="13">
        <f t="shared" si="35"/>
        <v>31.708399355356544</v>
      </c>
      <c r="AL50" s="20">
        <f t="shared" si="4"/>
        <v>264.47489375819822</v>
      </c>
      <c r="AM50" s="59">
        <f t="shared" si="5"/>
        <v>517.53613162239367</v>
      </c>
      <c r="AN50" s="59">
        <f ca="1">AVERAGE(OFFSET($AM$3,0,0,'Données projet'!$E$10+1,1))-AVERAGE(OFFSET($H$3,0,0,'Données projet'!$E$10+1,1))</f>
        <v>424.89201140676084</v>
      </c>
      <c r="AO50" s="59">
        <f t="shared" si="36"/>
        <v>253.0016648946303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4</v>
      </c>
      <c r="BD50" s="12">
        <f>IF('Données projet'!$A$88&gt;35,BD49+BC50-BL49,IF(A50&lt;'Données projet'!$A$88,$BA$205^A50,IF(A50='Données projet'!$A$88,'Données projet'!$B$88,BD49+BC50-BL49)))</f>
        <v>113.99999999999996</v>
      </c>
      <c r="BE50" s="13">
        <f>BD50*VLOOKUP('Données projet'!$B$11,Paramètres!$A$1:$I$89,3,0)*VLOOKUP('Données projet'!$B$11,Paramètres!$A$1:$I$89,5,0)</f>
        <v>99.590399999999974</v>
      </c>
      <c r="BF50" s="13">
        <f t="shared" si="37"/>
        <v>26.864392698869324</v>
      </c>
      <c r="BG50" s="20">
        <f t="shared" si="7"/>
        <v>220.24209728386401</v>
      </c>
      <c r="BH50" s="59">
        <f t="shared" si="8"/>
        <v>473.30333514805943</v>
      </c>
      <c r="BI50" s="59">
        <f ca="1">AVERAGE(OFFSET($BH$3,0,0,'Données projet'!$E$11+1,1))-AVERAGE(OFFSET($H$3,0,0,'Données projet'!$E$11+1,1))</f>
        <v>218.97952644043698</v>
      </c>
      <c r="BJ50" s="59">
        <f t="shared" si="38"/>
        <v>204.10961748628714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1.3568477674399404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1.3568477674399404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4.5999999999999996</v>
      </c>
      <c r="BY50" s="12">
        <f>IF('Données projet'!$A$114&gt;35,BY49+BX50-CG49,IF(A50&lt;'Données projet'!$A$114,$BV$205^A50,IF(A50='Données projet'!$A$114,'Données projet'!$B$114,BY49+BX50-CG49)))</f>
        <v>125.19999999999993</v>
      </c>
      <c r="BZ50" s="13">
        <f>BY50*VLOOKUP('Données projet'!$B$12,Paramètres!$A$1:$I$89,3,0)*VLOOKUP('Données projet'!$B$12,Paramètres!$A$1:$I$89,5,0)</f>
        <v>101.56223999999996</v>
      </c>
      <c r="CA50" s="13">
        <f t="shared" si="39"/>
        <v>27.333843239980062</v>
      </c>
      <c r="CB50" s="20">
        <f t="shared" si="10"/>
        <v>224.49401164296521</v>
      </c>
      <c r="CC50" s="59">
        <f t="shared" si="11"/>
        <v>477.55524950716062</v>
      </c>
      <c r="CD50" s="59">
        <f ca="1">AVERAGE(OFFSET($CC$3,0,0,'Données projet'!$E$12+1,1))-AVERAGE(OFFSET($H$3,0,0,'Données projet'!$E$12+1,1))</f>
        <v>256.23994291192162</v>
      </c>
      <c r="CE50" s="59">
        <f t="shared" si="40"/>
        <v>207.9118653708222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2.0065911448580613</v>
      </c>
      <c r="CM50" s="21">
        <f>EXP(-LN(2)/2)*CM49+(1-EXP(-LN(2)/2))/(LN(2)/2)*CG50*CJ50*VLOOKUP('Données projet'!$B$12,Paramètres!$A$1:$I$89,3,0)*0.475*44/12</f>
        <v>1.5085073425510587</v>
      </c>
      <c r="CN50" s="22">
        <f t="shared" si="12"/>
        <v>3.5150984874091202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</v>
      </c>
      <c r="CT50" s="12">
        <f>IF('Données projet'!$A$140&gt;35,CT49+CS50-DB49,IF(A50&lt;'Données projet'!$A$140,$CQ$205^A50,IF(A50='Données projet'!$A$140,'Données projet'!$B$140,CT49+CS50-DB49)))</f>
        <v>138.99999999999991</v>
      </c>
      <c r="CU50" s="17">
        <f>CT50*VLOOKUP('Données projet'!$B$13,Paramètres!$A$1:$I$89,3,0)*VLOOKUP('Données projet'!$B$13,Paramètres!$A$1:$I$89,5,0)</f>
        <v>80.230799999999959</v>
      </c>
      <c r="CV50" s="13">
        <f t="shared" si="41"/>
        <v>22.193606463384537</v>
      </c>
      <c r="CW50" s="20">
        <f t="shared" si="13"/>
        <v>178.38917459039467</v>
      </c>
      <c r="CX50" s="59">
        <f t="shared" si="14"/>
        <v>431.45041245459004</v>
      </c>
      <c r="CY50" s="59">
        <f ca="1">AVERAGE(OFFSET($CX$3,0,0,'Données projet'!$E$13+1,1))-AVERAGE(OFFSET($H$3,0,0,'Données projet'!$E$13+1,1))</f>
        <v>205.74526926885287</v>
      </c>
      <c r="CZ50" s="59">
        <f t="shared" si="42"/>
        <v>201.56217137928999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1.8937419582749093</v>
      </c>
      <c r="DH50" s="21">
        <f>EXP(-LN(2)/2)*DH49+(1-EXP(-LN(2)/2))/(LN(2)/2)*DB50*DE50*VLOOKUP('Données projet'!$B$13,Paramètres!$A$1:$I$89,3,0)*0.475*44/12</f>
        <v>1.8813451778524575</v>
      </c>
      <c r="DI50" s="22">
        <f t="shared" si="15"/>
        <v>3.7750871361273668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6.826007326007324</v>
      </c>
      <c r="DO50" s="12">
        <f>IF('Données projet'!$A$166&gt;35,DO49+DN50-DW49,IF(A50&lt;'Données projet'!$A$166,$DL$205^A50,IF(A50='Données projet'!$A$166,'Données projet'!$B$166,DO49+DN50-DW49)))</f>
        <v>118.48443223443218</v>
      </c>
      <c r="DP50" s="17">
        <f>DO50*VLOOKUP('Données projet'!$B$14,Paramètres!$A$1:$I$89,3,0)*VLOOKUP('Données projet'!$B$14,Paramètres!$A$1:$I$89,5,0)</f>
        <v>112.74978571428566</v>
      </c>
      <c r="DQ50" s="13">
        <f t="shared" si="43"/>
        <v>29.977921609827636</v>
      </c>
      <c r="DR50" s="20">
        <f t="shared" si="16"/>
        <v>248.58409025616402</v>
      </c>
      <c r="DS50" s="59">
        <f t="shared" si="17"/>
        <v>501.64532812035941</v>
      </c>
      <c r="DT50" s="59">
        <f ca="1">AVERAGE(OFFSET($DS$3,0,0,'Données projet'!$E$14+1,1))-AVERAGE(OFFSET($H$3,0,0,'Données projet'!$E$14+1,1))</f>
        <v>403.89478276355294</v>
      </c>
      <c r="DU50" s="59">
        <f t="shared" si="44"/>
        <v>241.1593989733278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6.826007326007324</v>
      </c>
      <c r="N51" s="13">
        <f>IF('Données projet'!$A$36&gt;35,N50+M51-V50,IF(A51&lt;'Données projet'!$A$36,$K$205^A51,IF(A51='Données projet'!$A$36,'Données projet'!$B$36,N50+M51-V50)))</f>
        <v>125.31043956043951</v>
      </c>
      <c r="O51" s="13">
        <f>N51*VLOOKUP('Données projet'!$B$9,Paramètres!$A$1:$I$89,3,0)*VLOOKUP('Données projet'!$B$9,Paramètres!$A$1:$I$89,5,0)</f>
        <v>113.38088571428565</v>
      </c>
      <c r="P51" s="13">
        <f t="shared" si="33"/>
        <v>30.126138765380961</v>
      </c>
      <c r="Q51" s="20">
        <f t="shared" si="53"/>
        <v>249.94140096875267</v>
      </c>
      <c r="R51" s="59">
        <f t="shared" si="0"/>
        <v>503.70126965442034</v>
      </c>
      <c r="S51" s="59">
        <f ca="1">AVERAGE(OFFSET($R$3,0,0,'Données projet'!$E$9+1,1))-AVERAGE(OFFSET($H$3,0,0,'Données projet'!$E$9+1,1))</f>
        <v>388.1278150896951</v>
      </c>
      <c r="T51" s="59">
        <f t="shared" si="34"/>
        <v>232.26614607059227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6.826007326007324</v>
      </c>
      <c r="AI51" s="13">
        <f>IF('Données projet'!$A$62&gt;35,AI50+AH51-AQ50,IF(A51&lt;'Données projet'!$A$62,$AF$205^A51,IF(A51='Données projet'!$A$62,'Données projet'!$B$62,AI50+AH51-AQ50)))</f>
        <v>125.31043956043951</v>
      </c>
      <c r="AJ51" s="13">
        <f>AI51*VLOOKUP('Données projet'!$B$10,Paramètres!$A$1:$I$89,3,0)*VLOOKUP('Données projet'!$B$10,Paramètres!$A$1:$I$89,5,0)</f>
        <v>127.06478571428566</v>
      </c>
      <c r="AK51" s="13">
        <f t="shared" si="35"/>
        <v>33.317218652426654</v>
      </c>
      <c r="AL51" s="20">
        <f t="shared" si="4"/>
        <v>279.33199093869058</v>
      </c>
      <c r="AM51" s="59">
        <f t="shared" si="5"/>
        <v>533.09185962435822</v>
      </c>
      <c r="AN51" s="59">
        <f ca="1">AVERAGE(OFFSET($AM$3,0,0,'Données projet'!$E$10+1,1))-AVERAGE(OFFSET($H$3,0,0,'Données projet'!$E$10+1,1))</f>
        <v>424.89201140676084</v>
      </c>
      <c r="AO51" s="59">
        <f t="shared" si="36"/>
        <v>253.0016648946303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4</v>
      </c>
      <c r="BD51" s="12">
        <f>IF('Données projet'!$A$88&gt;35,BD50+BC51-BL50,IF(A51&lt;'Données projet'!$A$88,$BA$205^A51,IF(A51='Données projet'!$A$88,'Données projet'!$B$88,BD50+BC51-BL50)))</f>
        <v>117.99999999999996</v>
      </c>
      <c r="BE51" s="13">
        <f>BD51*VLOOKUP('Données projet'!$B$11,Paramètres!$A$1:$I$89,3,0)*VLOOKUP('Données projet'!$B$11,Paramètres!$A$1:$I$89,5,0)</f>
        <v>103.08479999999997</v>
      </c>
      <c r="BF51" s="13">
        <f t="shared" si="37"/>
        <v>27.695604088651635</v>
      </c>
      <c r="BG51" s="20">
        <f t="shared" si="7"/>
        <v>227.77587045440154</v>
      </c>
      <c r="BH51" s="59">
        <f t="shared" si="8"/>
        <v>481.53573914006927</v>
      </c>
      <c r="BI51" s="59">
        <f ca="1">AVERAGE(OFFSET($BH$3,0,0,'Données projet'!$E$11+1,1))-AVERAGE(OFFSET($H$3,0,0,'Données projet'!$E$11+1,1))</f>
        <v>218.97952644043698</v>
      </c>
      <c r="BJ51" s="59">
        <f t="shared" si="38"/>
        <v>204.10961748628714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1.3197446938857722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1.3197446938857722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4.5999999999999996</v>
      </c>
      <c r="BY51" s="12">
        <f>IF('Données projet'!$A$114&gt;35,BY50+BX51-CG50,IF(A51&lt;'Données projet'!$A$114,$BV$205^A51,IF(A51='Données projet'!$A$114,'Données projet'!$B$114,BY50+BX51-CG50)))</f>
        <v>129.79999999999993</v>
      </c>
      <c r="BZ51" s="13">
        <f>BY51*VLOOKUP('Données projet'!$B$12,Paramètres!$A$1:$I$89,3,0)*VLOOKUP('Données projet'!$B$12,Paramètres!$A$1:$I$89,5,0)</f>
        <v>105.29375999999995</v>
      </c>
      <c r="CA51" s="13">
        <f t="shared" si="39"/>
        <v>28.219351728981561</v>
      </c>
      <c r="CB51" s="20">
        <f t="shared" si="10"/>
        <v>232.53533626130942</v>
      </c>
      <c r="CC51" s="59">
        <f t="shared" si="11"/>
        <v>486.29520494697715</v>
      </c>
      <c r="CD51" s="59">
        <f ca="1">AVERAGE(OFFSET($CC$3,0,0,'Données projet'!$E$12+1,1))-AVERAGE(OFFSET($H$3,0,0,'Données projet'!$E$12+1,1))</f>
        <v>256.23994291192162</v>
      </c>
      <c r="CE51" s="59">
        <f t="shared" si="40"/>
        <v>207.9118653708222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1.9517208044798755</v>
      </c>
      <c r="CM51" s="21">
        <f>EXP(-LN(2)/2)*CM50+(1-EXP(-LN(2)/2))/(LN(2)/2)*CG51*CJ51*VLOOKUP('Données projet'!$B$12,Paramètres!$A$1:$I$89,3,0)*0.475*44/12</f>
        <v>1.0666757713875519</v>
      </c>
      <c r="CN51" s="22">
        <f t="shared" si="12"/>
        <v>3.0183965758674276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</v>
      </c>
      <c r="CT51" s="12">
        <f>IF('Données projet'!$A$140&gt;35,CT50+CS51-DB50,IF(A51&lt;'Données projet'!$A$140,$CQ$205^A51,IF(A51='Données projet'!$A$140,'Données projet'!$B$140,CT50+CS51-DB50)))</f>
        <v>143.99999999999991</v>
      </c>
      <c r="CU51" s="17">
        <f>CT51*VLOOKUP('Données projet'!$B$13,Paramètres!$A$1:$I$89,3,0)*VLOOKUP('Données projet'!$B$13,Paramètres!$A$1:$I$89,5,0)</f>
        <v>83.116799999999955</v>
      </c>
      <c r="CV51" s="13">
        <f t="shared" si="41"/>
        <v>22.897554499556833</v>
      </c>
      <c r="CW51" s="20">
        <f t="shared" si="13"/>
        <v>184.6416674200614</v>
      </c>
      <c r="CX51" s="59">
        <f t="shared" si="14"/>
        <v>438.40153610572906</v>
      </c>
      <c r="CY51" s="59">
        <f ca="1">AVERAGE(OFFSET($CX$3,0,0,'Données projet'!$E$13+1,1))-AVERAGE(OFFSET($H$3,0,0,'Données projet'!$E$13+1,1))</f>
        <v>205.74526926885287</v>
      </c>
      <c r="CZ51" s="59">
        <f t="shared" si="42"/>
        <v>201.56217137928999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1.8419574848383204</v>
      </c>
      <c r="DH51" s="21">
        <f>EXP(-LN(2)/2)*DH50+(1-EXP(-LN(2)/2))/(LN(2)/2)*DB51*DE51*VLOOKUP('Données projet'!$B$13,Paramètres!$A$1:$I$89,3,0)*0.475*44/12</f>
        <v>1.3303119330120841</v>
      </c>
      <c r="DI51" s="22">
        <f t="shared" si="15"/>
        <v>3.1722694178504045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6.826007326007324</v>
      </c>
      <c r="DO51" s="12">
        <f>IF('Données projet'!$A$166&gt;35,DO50+DN51-DW50,IF(A51&lt;'Données projet'!$A$166,$DL$205^A51,IF(A51='Données projet'!$A$166,'Données projet'!$B$166,DO50+DN51-DW50)))</f>
        <v>125.31043956043951</v>
      </c>
      <c r="DP51" s="17">
        <f>DO51*VLOOKUP('Données projet'!$B$14,Paramètres!$A$1:$I$89,3,0)*VLOOKUP('Données projet'!$B$14,Paramètres!$A$1:$I$89,5,0)</f>
        <v>119.24541428571423</v>
      </c>
      <c r="DQ51" s="13">
        <f t="shared" si="43"/>
        <v>31.498940007238424</v>
      </c>
      <c r="DR51" s="20">
        <f t="shared" si="16"/>
        <v>262.54641706022585</v>
      </c>
      <c r="DS51" s="59">
        <f t="shared" si="17"/>
        <v>516.30628574589355</v>
      </c>
      <c r="DT51" s="59">
        <f ca="1">AVERAGE(OFFSET($DS$3,0,0,'Données projet'!$E$14+1,1))-AVERAGE(OFFSET($H$3,0,0,'Données projet'!$E$14+1,1))</f>
        <v>403.89478276355294</v>
      </c>
      <c r="DU51" s="59">
        <f t="shared" si="44"/>
        <v>241.1593989733278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6.826007326007324</v>
      </c>
      <c r="N52" s="13">
        <f>IF('Données projet'!$A$36&gt;35,N51+M52-V51,IF(A52&lt;'Données projet'!$A$36,$K$205^A52,IF(A52='Données projet'!$A$36,'Données projet'!$B$36,N51+M52-V51)))</f>
        <v>132.13644688644683</v>
      </c>
      <c r="O52" s="13">
        <f>N52*VLOOKUP('Données projet'!$B$9,Paramètres!$A$1:$I$89,3,0)*VLOOKUP('Données projet'!$B$9,Paramètres!$A$1:$I$89,5,0)</f>
        <v>119.55705714285709</v>
      </c>
      <c r="P52" s="13">
        <f t="shared" si="33"/>
        <v>31.571667922473026</v>
      </c>
      <c r="Q52" s="20">
        <f t="shared" si="53"/>
        <v>263.21586282211655</v>
      </c>
      <c r="R52" s="59">
        <f t="shared" si="0"/>
        <v>517.66224264640846</v>
      </c>
      <c r="S52" s="59">
        <f ca="1">AVERAGE(OFFSET($R$3,0,0,'Données projet'!$E$9+1,1))-AVERAGE(OFFSET($H$3,0,0,'Données projet'!$E$9+1,1))</f>
        <v>388.1278150896951</v>
      </c>
      <c r="T52" s="59">
        <f t="shared" si="34"/>
        <v>232.26614607059227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6.826007326007324</v>
      </c>
      <c r="AI52" s="13">
        <f>IF('Données projet'!$A$62&gt;35,AI51+AH52-AQ51,IF(A52&lt;'Données projet'!$A$62,$AF$205^A52,IF(A52='Données projet'!$A$62,'Données projet'!$B$62,AI51+AH52-AQ51)))</f>
        <v>132.13644688644683</v>
      </c>
      <c r="AJ52" s="13">
        <f>AI52*VLOOKUP('Données projet'!$B$10,Paramètres!$A$1:$I$89,3,0)*VLOOKUP('Données projet'!$B$10,Paramètres!$A$1:$I$89,5,0)</f>
        <v>133.98635714285712</v>
      </c>
      <c r="AK52" s="13">
        <f t="shared" si="35"/>
        <v>34.915863980670267</v>
      </c>
      <c r="AL52" s="20">
        <f t="shared" si="4"/>
        <v>294.17136845681017</v>
      </c>
      <c r="AM52" s="59">
        <f t="shared" si="5"/>
        <v>548.61774828110219</v>
      </c>
      <c r="AN52" s="59">
        <f ca="1">AVERAGE(OFFSET($AM$3,0,0,'Données projet'!$E$10+1,1))-AVERAGE(OFFSET($H$3,0,0,'Données projet'!$E$10+1,1))</f>
        <v>424.89201140676084</v>
      </c>
      <c r="AO52" s="59">
        <f t="shared" si="36"/>
        <v>253.0016648946303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4</v>
      </c>
      <c r="BD52" s="12">
        <f>IF('Données projet'!$A$88&gt;35,BD51+BC52-BL51,IF(A52&lt;'Données projet'!$A$88,$BA$205^A52,IF(A52='Données projet'!$A$88,'Données projet'!$B$88,BD51+BC52-BL51)))</f>
        <v>121.99999999999996</v>
      </c>
      <c r="BE52" s="13">
        <f>BD52*VLOOKUP('Données projet'!$B$11,Paramètres!$A$1:$I$89,3,0)*VLOOKUP('Données projet'!$B$11,Paramètres!$A$1:$I$89,5,0)</f>
        <v>106.57919999999997</v>
      </c>
      <c r="BF52" s="13">
        <f t="shared" si="37"/>
        <v>28.523541515222938</v>
      </c>
      <c r="BG52" s="20">
        <f t="shared" si="7"/>
        <v>235.30394147234654</v>
      </c>
      <c r="BH52" s="59">
        <f t="shared" si="8"/>
        <v>489.7503212966385</v>
      </c>
      <c r="BI52" s="59">
        <f ca="1">AVERAGE(OFFSET($BH$3,0,0,'Données projet'!$E$11+1,1))-AVERAGE(OFFSET($H$3,0,0,'Données projet'!$E$11+1,1))</f>
        <v>218.97952644043698</v>
      </c>
      <c r="BJ52" s="59">
        <f t="shared" si="38"/>
        <v>204.10961748628714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1.2836562058291086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1.2836562058291086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4.5999999999999996</v>
      </c>
      <c r="BY52" s="12">
        <f>IF('Données projet'!$A$114&gt;35,BY51+BX52-CG51,IF(A52&lt;'Données projet'!$A$114,$BV$205^A52,IF(A52='Données projet'!$A$114,'Données projet'!$B$114,BY51+BX52-CG51)))</f>
        <v>134.39999999999992</v>
      </c>
      <c r="BZ52" s="13">
        <f>BY52*VLOOKUP('Données projet'!$B$12,Paramètres!$A$1:$I$89,3,0)*VLOOKUP('Données projet'!$B$12,Paramètres!$A$1:$I$89,5,0)</f>
        <v>109.02527999999995</v>
      </c>
      <c r="CA52" s="13">
        <f t="shared" si="39"/>
        <v>29.101214110737224</v>
      </c>
      <c r="CB52" s="20">
        <f t="shared" si="10"/>
        <v>240.57031057620057</v>
      </c>
      <c r="CC52" s="59">
        <f t="shared" si="11"/>
        <v>495.01669040049251</v>
      </c>
      <c r="CD52" s="59">
        <f ca="1">AVERAGE(OFFSET($CC$3,0,0,'Données projet'!$E$12+1,1))-AVERAGE(OFFSET($H$3,0,0,'Données projet'!$E$12+1,1))</f>
        <v>256.23994291192162</v>
      </c>
      <c r="CE52" s="59">
        <f t="shared" si="40"/>
        <v>207.9118653708222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1.898350896444837</v>
      </c>
      <c r="CM52" s="21">
        <f>EXP(-LN(2)/2)*CM51+(1-EXP(-LN(2)/2))/(LN(2)/2)*CG52*CJ52*VLOOKUP('Données projet'!$B$12,Paramètres!$A$1:$I$89,3,0)*0.475*44/12</f>
        <v>0.75425367127552945</v>
      </c>
      <c r="CN52" s="22">
        <f t="shared" si="12"/>
        <v>2.6526045677203665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</v>
      </c>
      <c r="CT52" s="12">
        <f>IF('Données projet'!$A$140&gt;35,CT51+CS52-DB51,IF(A52&lt;'Données projet'!$A$140,$CQ$205^A52,IF(A52='Données projet'!$A$140,'Données projet'!$B$140,CT51+CS52-DB51)))</f>
        <v>148.99999999999991</v>
      </c>
      <c r="CU52" s="17">
        <f>CT52*VLOOKUP('Données projet'!$B$13,Paramètres!$A$1:$I$89,3,0)*VLOOKUP('Données projet'!$B$13,Paramètres!$A$1:$I$89,5,0)</f>
        <v>86.002799999999951</v>
      </c>
      <c r="CV52" s="13">
        <f t="shared" si="41"/>
        <v>23.598662551365926</v>
      </c>
      <c r="CW52" s="20">
        <f t="shared" si="13"/>
        <v>190.88921394362887</v>
      </c>
      <c r="CX52" s="59">
        <f t="shared" si="14"/>
        <v>445.33559376792084</v>
      </c>
      <c r="CY52" s="59">
        <f ca="1">AVERAGE(OFFSET($CX$3,0,0,'Données projet'!$E$13+1,1))-AVERAGE(OFFSET($H$3,0,0,'Données projet'!$E$13+1,1))</f>
        <v>205.74526926885287</v>
      </c>
      <c r="CZ52" s="59">
        <f t="shared" si="42"/>
        <v>201.56217137928999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1.7915890605510822</v>
      </c>
      <c r="DH52" s="21">
        <f>EXP(-LN(2)/2)*DH51+(1-EXP(-LN(2)/2))/(LN(2)/2)*DB52*DE52*VLOOKUP('Données projet'!$B$13,Paramètres!$A$1:$I$89,3,0)*0.475*44/12</f>
        <v>0.94067258892622885</v>
      </c>
      <c r="DI52" s="22">
        <f t="shared" si="15"/>
        <v>2.7322616494773113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6.826007326007324</v>
      </c>
      <c r="DO52" s="12">
        <f>IF('Données projet'!$A$166&gt;35,DO51+DN52-DW51,IF(A52&lt;'Données projet'!$A$166,$DL$205^A52,IF(A52='Données projet'!$A$166,'Données projet'!$B$166,DO51+DN52-DW51)))</f>
        <v>132.13644688644683</v>
      </c>
      <c r="DP52" s="17">
        <f>DO52*VLOOKUP('Données projet'!$B$14,Paramètres!$A$1:$I$89,3,0)*VLOOKUP('Données projet'!$B$14,Paramètres!$A$1:$I$89,5,0)</f>
        <v>125.74104285714282</v>
      </c>
      <c r="DQ52" s="13">
        <f t="shared" si="43"/>
        <v>33.010339677556644</v>
      </c>
      <c r="DR52" s="20">
        <f t="shared" si="16"/>
        <v>276.49199124793489</v>
      </c>
      <c r="DS52" s="59">
        <f t="shared" si="17"/>
        <v>530.9383710722268</v>
      </c>
      <c r="DT52" s="59">
        <f ca="1">AVERAGE(OFFSET($DS$3,0,0,'Données projet'!$E$14+1,1))-AVERAGE(OFFSET($H$3,0,0,'Données projet'!$E$14+1,1))</f>
        <v>403.89478276355294</v>
      </c>
      <c r="DU52" s="59">
        <f t="shared" si="44"/>
        <v>241.1593989733278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6.826007326007324</v>
      </c>
      <c r="N53" s="13">
        <f>IF('Données projet'!$A$36&gt;35,N52+M53-V52,IF(A53&lt;'Données projet'!$A$36,$K$205^A53,IF(A53='Données projet'!$A$36,'Données projet'!$B$36,N52+M53-V52)))</f>
        <v>138.96245421245416</v>
      </c>
      <c r="O53" s="13">
        <f>N53*VLOOKUP('Données projet'!$B$9,Paramètres!$A$1:$I$89,3,0)*VLOOKUP('Données projet'!$B$9,Paramètres!$A$1:$I$89,5,0)</f>
        <v>125.73322857142851</v>
      </c>
      <c r="P53" s="13">
        <f t="shared" si="33"/>
        <v>33.008527004415768</v>
      </c>
      <c r="Q53" s="20">
        <f t="shared" si="53"/>
        <v>276.47522429459542</v>
      </c>
      <c r="R53" s="59">
        <f t="shared" si="0"/>
        <v>531.59620582406546</v>
      </c>
      <c r="S53" s="59">
        <f ca="1">AVERAGE(OFFSET($R$3,0,0,'Données projet'!$E$9+1,1))-AVERAGE(OFFSET($H$3,0,0,'Données projet'!$E$9+1,1))</f>
        <v>388.1278150896951</v>
      </c>
      <c r="T53" s="59">
        <f t="shared" si="34"/>
        <v>232.26614607059227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6.826007326007324</v>
      </c>
      <c r="AI53" s="13">
        <f>IF('Données projet'!$A$62&gt;35,AI52+AH53-AQ52,IF(A53&lt;'Données projet'!$A$62,$AF$205^A53,IF(A53='Données projet'!$A$62,'Données projet'!$B$62,AI52+AH53-AQ52)))</f>
        <v>138.96245421245416</v>
      </c>
      <c r="AJ53" s="13">
        <f>AI53*VLOOKUP('Données projet'!$B$10,Paramètres!$A$1:$I$89,3,0)*VLOOKUP('Données projet'!$B$10,Paramètres!$A$1:$I$89,5,0)</f>
        <v>140.90792857142853</v>
      </c>
      <c r="AK53" s="13">
        <f t="shared" si="35"/>
        <v>36.504920865079967</v>
      </c>
      <c r="AL53" s="20">
        <f t="shared" si="4"/>
        <v>308.99404610191897</v>
      </c>
      <c r="AM53" s="59">
        <f t="shared" si="5"/>
        <v>564.11502763138901</v>
      </c>
      <c r="AN53" s="59">
        <f ca="1">AVERAGE(OFFSET($AM$3,0,0,'Données projet'!$E$10+1,1))-AVERAGE(OFFSET($H$3,0,0,'Données projet'!$E$10+1,1))</f>
        <v>424.89201140676084</v>
      </c>
      <c r="AO53" s="59">
        <f t="shared" si="36"/>
        <v>253.0016648946303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126</v>
      </c>
      <c r="BB53" s="12">
        <f>VLOOKUP(A53,'Données projet'!$A$87:$I$107,9,0)</f>
        <v>4</v>
      </c>
      <c r="BC53" s="12">
        <f t="array" ref="BC53">INDEX(BB:BB,MIN(IF(ISNUMBER(BB53:BB249),ROW(BB53:BB249),"")))</f>
        <v>4</v>
      </c>
      <c r="BD53" s="12">
        <f>IF('Données projet'!$A$88&gt;35,BD52+BC53-BL52,IF(A53&lt;'Données projet'!$A$88,$BA$205^A53,IF(A53='Données projet'!$A$88,'Données projet'!$B$88,BD52+BC53-BL52)))</f>
        <v>125.99999999999996</v>
      </c>
      <c r="BE53" s="13">
        <f>BD53*VLOOKUP('Données projet'!$B$11,Paramètres!$A$1:$I$89,3,0)*VLOOKUP('Données projet'!$B$11,Paramètres!$A$1:$I$89,5,0)</f>
        <v>110.07359999999998</v>
      </c>
      <c r="BF53" s="13">
        <f t="shared" si="37"/>
        <v>29.348324631518803</v>
      </c>
      <c r="BG53" s="20">
        <f t="shared" si="7"/>
        <v>242.82651873322848</v>
      </c>
      <c r="BH53" s="59">
        <f t="shared" si="8"/>
        <v>497.94750026269855</v>
      </c>
      <c r="BI53" s="59">
        <f ca="1">AVERAGE(OFFSET($BH$3,0,0,'Données projet'!$E$11+1,1))-AVERAGE(OFFSET($H$3,0,0,'Données projet'!$E$11+1,1))</f>
        <v>218.97952644043698</v>
      </c>
      <c r="BJ53" s="59">
        <f t="shared" si="38"/>
        <v>204.10961748628714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11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9.5399999999999999E-2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2.2580106610259785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2.2580106610259785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139</v>
      </c>
      <c r="BW53" s="12">
        <f>VLOOKUP(A53,'Données projet'!$A$113:$I$133,9,0)</f>
        <v>4.5999999999999996</v>
      </c>
      <c r="BX53" s="12">
        <f t="array" ref="BX53">INDEX(BW:BW,MIN(IF(ISNUMBER(BW53:BW249),ROW(BW53:BW249),"")))</f>
        <v>4.5999999999999996</v>
      </c>
      <c r="BY53" s="12">
        <f>IF('Données projet'!$A$114&gt;35,BY52+BX53-CG52,IF(A53&lt;'Données projet'!$A$114,$BV$205^A53,IF(A53='Données projet'!$A$114,'Données projet'!$B$114,BY52+BX53-CG52)))</f>
        <v>138.99999999999991</v>
      </c>
      <c r="BZ53" s="13">
        <f>BY53*VLOOKUP('Données projet'!$B$12,Paramètres!$A$1:$I$89,3,0)*VLOOKUP('Données projet'!$B$12,Paramètres!$A$1:$I$89,5,0)</f>
        <v>112.75679999999994</v>
      </c>
      <c r="CA53" s="13">
        <f t="shared" si="39"/>
        <v>29.979569481474449</v>
      </c>
      <c r="CB53" s="20">
        <f t="shared" si="10"/>
        <v>248.5991768469012</v>
      </c>
      <c r="CC53" s="59">
        <f t="shared" si="11"/>
        <v>503.72015837637127</v>
      </c>
      <c r="CD53" s="59">
        <f ca="1">AVERAGE(OFFSET($CC$3,0,0,'Données projet'!$E$12+1,1))-AVERAGE(OFFSET($H$3,0,0,'Données projet'!$E$12+1,1))</f>
        <v>256.23994291192162</v>
      </c>
      <c r="CE53" s="59">
        <f t="shared" si="40"/>
        <v>207.9118653708222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11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0.129</v>
      </c>
      <c r="CJ53" s="16">
        <f>IF(ISNA(VLOOKUP(A53,'Données projet'!$A$113:$I$133,7,0)),0%,VLOOKUP(A53,'Données projet'!$A$113:$I$133,7,0))</f>
        <v>0.3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3.1139290724438133</v>
      </c>
      <c r="CM53" s="21">
        <f>EXP(-LN(2)/2)*CM52+(1-EXP(-LN(2)/2))/(LN(2)/2)*CG53*CJ53*VLOOKUP('Données projet'!$B$12,Paramètres!$A$1:$I$89,3,0)*0.475*44/12</f>
        <v>3.0591216950158162</v>
      </c>
      <c r="CN53" s="22">
        <f t="shared" si="12"/>
        <v>6.17305076745963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154</v>
      </c>
      <c r="CR53" s="12">
        <f>VLOOKUP(A53,'Données projet'!$A$139:$I$159,9,0)</f>
        <v>5</v>
      </c>
      <c r="CS53" s="12">
        <f t="array" ref="CS53">INDEX(CR:CR,MIN(IF(ISNUMBER(CR53:CR249),ROW(CR53:CR249),"")))</f>
        <v>5</v>
      </c>
      <c r="CT53" s="12">
        <f>IF('Données projet'!$A$140&gt;35,CT52+CS53-DB52,IF(A53&lt;'Données projet'!$A$140,$CQ$205^A53,IF(A53='Données projet'!$A$140,'Données projet'!$B$140,CT52+CS53-DB52)))</f>
        <v>153.99999999999991</v>
      </c>
      <c r="CU53" s="17">
        <f>CT53*VLOOKUP('Données projet'!$B$13,Paramètres!$A$1:$I$89,3,0)*VLOOKUP('Données projet'!$B$13,Paramètres!$A$1:$I$89,5,0)</f>
        <v>88.888799999999961</v>
      </c>
      <c r="CV53" s="13">
        <f t="shared" si="41"/>
        <v>24.297036846372382</v>
      </c>
      <c r="CW53" s="20">
        <f t="shared" si="13"/>
        <v>197.1319991740985</v>
      </c>
      <c r="CX53" s="59">
        <f t="shared" si="14"/>
        <v>452.2529807035686</v>
      </c>
      <c r="CY53" s="59">
        <f ca="1">AVERAGE(OFFSET($CX$3,0,0,'Données projet'!$E$13+1,1))-AVERAGE(OFFSET($H$3,0,0,'Données projet'!$E$13+1,1))</f>
        <v>205.74526926885287</v>
      </c>
      <c r="CZ53" s="59">
        <f t="shared" si="42"/>
        <v>201.56217137928999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18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4.3000000000000003E-2</v>
      </c>
      <c r="DE53" s="16">
        <f>IF(ISNA(VLOOKUP(A53,'Données projet'!$A$139:$I$159,7,0)),0%,VLOOKUP(A53,'Données projet'!$A$139:$I$159,7,0))</f>
        <v>0.3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2.2345253886538776</v>
      </c>
      <c r="DH53" s="21">
        <f>EXP(-LN(2)/2)*DH52+(1-EXP(-LN(2)/2))/(LN(2)/2)*DB53*DE53*VLOOKUP('Données projet'!$B$13,Paramètres!$A$1:$I$89,3,0)*0.475*44/12</f>
        <v>3.6060161361012844</v>
      </c>
      <c r="DI53" s="22">
        <f t="shared" si="15"/>
        <v>5.840541524755162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6.826007326007324</v>
      </c>
      <c r="DO53" s="12">
        <f>IF('Données projet'!$A$166&gt;35,DO52+DN53-DW52,IF(A53&lt;'Données projet'!$A$166,$DL$205^A53,IF(A53='Données projet'!$A$166,'Données projet'!$B$166,DO52+DN53-DW52)))</f>
        <v>138.96245421245416</v>
      </c>
      <c r="DP53" s="17">
        <f>DO53*VLOOKUP('Données projet'!$B$14,Paramètres!$A$1:$I$89,3,0)*VLOOKUP('Données projet'!$B$14,Paramètres!$A$1:$I$89,5,0)</f>
        <v>132.23667142857138</v>
      </c>
      <c r="DQ53" s="13">
        <f t="shared" si="43"/>
        <v>34.512674190898878</v>
      </c>
      <c r="DR53" s="20">
        <f t="shared" si="16"/>
        <v>290.42177695391069</v>
      </c>
      <c r="DS53" s="59">
        <f t="shared" si="17"/>
        <v>545.54275848338079</v>
      </c>
      <c r="DT53" s="59">
        <f ca="1">AVERAGE(OFFSET($DS$3,0,0,'Données projet'!$E$14+1,1))-AVERAGE(OFFSET($H$3,0,0,'Données projet'!$E$14+1,1))</f>
        <v>403.89478276355294</v>
      </c>
      <c r="DU53" s="59">
        <f t="shared" si="44"/>
        <v>241.1593989733278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145.78846153846152</v>
      </c>
      <c r="L54" s="12">
        <f>VLOOKUP(A54,'Données projet'!$A$35:$I$55,9,0)</f>
        <v>6.826007326007324</v>
      </c>
      <c r="M54" s="12">
        <f t="array" ref="M54">INDEX(L:L,MIN(IF(ISNUMBER(L54:L250),ROW(L54:L250),"")))</f>
        <v>6.826007326007324</v>
      </c>
      <c r="N54" s="13">
        <f>IF('Données projet'!$A$36&gt;35,N53+M54-V53,IF(A54&lt;'Données projet'!$A$36,$K$205^A54,IF(A54='Données projet'!$A$36,'Données projet'!$B$36,N53+M54-V53)))</f>
        <v>145.78846153846149</v>
      </c>
      <c r="O54" s="13">
        <f>N54*VLOOKUP('Données projet'!$B$9,Paramètres!$A$1:$I$89,3,0)*VLOOKUP('Données projet'!$B$9,Paramètres!$A$1:$I$89,5,0)</f>
        <v>131.90939999999995</v>
      </c>
      <c r="P54" s="13">
        <f t="shared" si="33"/>
        <v>34.437190502969557</v>
      </c>
      <c r="Q54" s="20">
        <f t="shared" si="53"/>
        <v>289.72031179267179</v>
      </c>
      <c r="R54" s="59">
        <f t="shared" si="0"/>
        <v>545.50419219591868</v>
      </c>
      <c r="S54" s="59">
        <f ca="1">AVERAGE(OFFSET($R$3,0,0,'Données projet'!$E$9+1,1))-AVERAGE(OFFSET($H$3,0,0,'Données projet'!$E$9+1,1))</f>
        <v>388.1278150896951</v>
      </c>
      <c r="T54" s="59">
        <f t="shared" si="34"/>
        <v>232.26614607059227</v>
      </c>
      <c r="U54" s="15">
        <f>IF(ISNA(VLOOKUP(A54,'Données projet'!$A$35:$I$55,3,0)),0,VLOOKUP(A54,'Données projet'!$A$35:$I$55,3,0))</f>
        <v>2</v>
      </c>
      <c r="V54" s="15">
        <f>IF(ISNA(VLOOKUP(A54,'Données projet'!$A$35:$I$55,4,0)),0,VLOOKUP(A54,'Données projet'!$A$35:$I$55,4,0))</f>
        <v>37.685897435897431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145.78846153846152</v>
      </c>
      <c r="AG54" s="12">
        <f>VLOOKUP(A54,'Données projet'!$A$61:$I$81,9,0)</f>
        <v>6.826007326007324</v>
      </c>
      <c r="AH54" s="12">
        <f t="array" ref="AH54">INDEX(AG:AG,MIN(IF(ISNUMBER(AG54:AG250),ROW(AG54:AG250),"")))</f>
        <v>6.826007326007324</v>
      </c>
      <c r="AI54" s="13">
        <f>IF('Données projet'!$A$62&gt;35,AI53+AH54-AQ53,IF(A54&lt;'Données projet'!$A$62,$AF$205^A54,IF(A54='Données projet'!$A$62,'Données projet'!$B$62,AI53+AH54-AQ53)))</f>
        <v>145.78846153846149</v>
      </c>
      <c r="AJ54" s="13">
        <f>AI54*VLOOKUP('Données projet'!$B$10,Paramètres!$A$1:$I$89,3,0)*VLOOKUP('Données projet'!$B$10,Paramètres!$A$1:$I$89,5,0)</f>
        <v>147.82949999999997</v>
      </c>
      <c r="AK54" s="13">
        <f t="shared" si="35"/>
        <v>38.084914057462001</v>
      </c>
      <c r="AL54" s="20">
        <f t="shared" si="4"/>
        <v>323.80093781674623</v>
      </c>
      <c r="AM54" s="59">
        <f t="shared" si="5"/>
        <v>579.58481821999305</v>
      </c>
      <c r="AN54" s="59">
        <f ca="1">AVERAGE(OFFSET($AM$3,0,0,'Données projet'!$E$10+1,1))-AVERAGE(OFFSET($H$3,0,0,'Données projet'!$E$10+1,1))</f>
        <v>424.89201140676084</v>
      </c>
      <c r="AO54" s="59">
        <f t="shared" si="36"/>
        <v>253.0016648946303</v>
      </c>
      <c r="AP54" s="15">
        <f>IF(ISNA(VLOOKUP(A54,'Données projet'!$A$61:$I$81,3,0)),0,VLOOKUP(A54,'Données projet'!$A$61:$I$81,3,0))</f>
        <v>2</v>
      </c>
      <c r="AQ54" s="15">
        <f>IF(ISNA(VLOOKUP(A54,'Données projet'!$A$61:$I$81,4,0)),0,VLOOKUP(A54,'Données projet'!$A$61:$I$81,4,0))</f>
        <v>37.685897435897431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3.8</v>
      </c>
      <c r="BD54" s="12">
        <f>IF('Données projet'!$A$88&gt;35,BD53+BC54-BL53,IF(A54&lt;'Données projet'!$A$88,$BA$205^A54,IF(A54='Données projet'!$A$88,'Données projet'!$B$88,BD53+BC54-BL53)))</f>
        <v>118.79999999999995</v>
      </c>
      <c r="BE54" s="13">
        <f>BD54*VLOOKUP('Données projet'!$B$11,Paramètres!$A$1:$I$89,3,0)*VLOOKUP('Données projet'!$B$11,Paramètres!$A$1:$I$89,5,0)</f>
        <v>103.78367999999996</v>
      </c>
      <c r="BF54" s="13">
        <f t="shared" si="37"/>
        <v>27.861449539780477</v>
      </c>
      <c r="BG54" s="20">
        <f t="shared" si="7"/>
        <v>229.28193394845093</v>
      </c>
      <c r="BH54" s="59">
        <f t="shared" si="8"/>
        <v>485.06581435169778</v>
      </c>
      <c r="BI54" s="59">
        <f ca="1">AVERAGE(OFFSET($BH$3,0,0,'Données projet'!$E$11+1,1))-AVERAGE(OFFSET($H$3,0,0,'Données projet'!$E$11+1,1))</f>
        <v>218.97952644043698</v>
      </c>
      <c r="BJ54" s="59">
        <f t="shared" si="38"/>
        <v>204.10961748628714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2.196265240756603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2.196265240756603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4.4000000000000004</v>
      </c>
      <c r="BY54" s="12">
        <f>IF('Données projet'!$A$114&gt;35,BY53+BX54-CG53,IF(A54&lt;'Données projet'!$A$114,$BV$205^A54,IF(A54='Données projet'!$A$114,'Données projet'!$B$114,BY53+BX54-CG53)))</f>
        <v>132.39999999999992</v>
      </c>
      <c r="BZ54" s="13">
        <f>BY54*VLOOKUP('Données projet'!$B$12,Paramètres!$A$1:$I$89,3,0)*VLOOKUP('Données projet'!$B$12,Paramètres!$A$1:$I$89,5,0)</f>
        <v>107.40287999999994</v>
      </c>
      <c r="CA54" s="13">
        <f t="shared" si="39"/>
        <v>28.718234540664714</v>
      </c>
      <c r="CB54" s="20">
        <f t="shared" si="10"/>
        <v>237.07760782499096</v>
      </c>
      <c r="CC54" s="59">
        <f t="shared" si="11"/>
        <v>492.86148822823782</v>
      </c>
      <c r="CD54" s="59">
        <f ca="1">AVERAGE(OFFSET($CC$3,0,0,'Données projet'!$E$12+1,1))-AVERAGE(OFFSET($H$3,0,0,'Données projet'!$E$12+1,1))</f>
        <v>256.23994291192162</v>
      </c>
      <c r="CE54" s="59">
        <f t="shared" si="40"/>
        <v>207.9118653708222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3.0287785182034241</v>
      </c>
      <c r="CM54" s="21">
        <f>EXP(-LN(2)/2)*CM53+(1-EXP(-LN(2)/2))/(LN(2)/2)*CG54*CJ54*VLOOKUP('Données projet'!$B$12,Paramètres!$A$1:$I$89,3,0)*0.475*44/12</f>
        <v>2.1631256950205691</v>
      </c>
      <c r="CN54" s="22">
        <f t="shared" si="12"/>
        <v>5.1919042132239932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4.5999999999999996</v>
      </c>
      <c r="CT54" s="12">
        <f>IF('Données projet'!$A$140&gt;35,CT53+CS54-DB53,IF(A54&lt;'Données projet'!$A$140,$CQ$205^A54,IF(A54='Données projet'!$A$140,'Données projet'!$B$140,CT53+CS54-DB53)))</f>
        <v>140.59999999999991</v>
      </c>
      <c r="CU54" s="17">
        <f>CT54*VLOOKUP('Données projet'!$B$13,Paramètres!$A$1:$I$89,3,0)*VLOOKUP('Données projet'!$B$13,Paramètres!$A$1:$I$89,5,0)</f>
        <v>81.154319999999942</v>
      </c>
      <c r="CV54" s="13">
        <f t="shared" si="41"/>
        <v>22.419185618897785</v>
      </c>
      <c r="CW54" s="20">
        <f t="shared" si="13"/>
        <v>180.39052228624686</v>
      </c>
      <c r="CX54" s="59">
        <f t="shared" si="14"/>
        <v>436.17440268949372</v>
      </c>
      <c r="CY54" s="59">
        <f ca="1">AVERAGE(OFFSET($CX$3,0,0,'Données projet'!$E$13+1,1))-AVERAGE(OFFSET($H$3,0,0,'Données projet'!$E$13+1,1))</f>
        <v>205.74526926885287</v>
      </c>
      <c r="CZ54" s="59">
        <f t="shared" si="42"/>
        <v>201.56217137928999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2.1734221743925541</v>
      </c>
      <c r="DH54" s="21">
        <f>EXP(-LN(2)/2)*DH53+(1-EXP(-LN(2)/2))/(LN(2)/2)*DB54*DE54*VLOOKUP('Données projet'!$B$13,Paramètres!$A$1:$I$89,3,0)*0.475*44/12</f>
        <v>2.5498384629053308</v>
      </c>
      <c r="DI54" s="22">
        <f t="shared" si="15"/>
        <v>4.7232606372978854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>
        <f>VLOOKUP(A54,'Données projet'!$A$165:$I$185,2,0)</f>
        <v>145.78846153846152</v>
      </c>
      <c r="DM54" s="12">
        <f>VLOOKUP(A54,'Données projet'!$A$165:$I$185,9,0)</f>
        <v>6.826007326007324</v>
      </c>
      <c r="DN54" s="12">
        <f t="array" ref="DN54">INDEX(DM:DM,MIN(IF(ISNUMBER(DM54:DM250),ROW(DM54:DM250),"")))</f>
        <v>6.826007326007324</v>
      </c>
      <c r="DO54" s="12">
        <f>IF('Données projet'!$A$166&gt;35,DO53+DN54-DW53,IF(A54&lt;'Données projet'!$A$166,$DL$205^A54,IF(A54='Données projet'!$A$166,'Données projet'!$B$166,DO53+DN54-DW53)))</f>
        <v>145.78846153846149</v>
      </c>
      <c r="DP54" s="17">
        <f>DO54*VLOOKUP('Données projet'!$B$14,Paramètres!$A$1:$I$89,3,0)*VLOOKUP('Données projet'!$B$14,Paramètres!$A$1:$I$89,5,0)</f>
        <v>138.73229999999995</v>
      </c>
      <c r="DQ54" s="13">
        <f t="shared" si="43"/>
        <v>36.006439660876396</v>
      </c>
      <c r="DR54" s="20">
        <f t="shared" si="16"/>
        <v>304.33663824269297</v>
      </c>
      <c r="DS54" s="59">
        <f t="shared" si="17"/>
        <v>560.1205186459398</v>
      </c>
      <c r="DT54" s="59">
        <f ca="1">AVERAGE(OFFSET($DS$3,0,0,'Données projet'!$E$14+1,1))-AVERAGE(OFFSET($H$3,0,0,'Données projet'!$E$14+1,1))</f>
        <v>403.89478276355294</v>
      </c>
      <c r="DU54" s="59">
        <f t="shared" si="44"/>
        <v>241.1593989733278</v>
      </c>
      <c r="DV54" s="15">
        <f>IF(ISNA(VLOOKUP(A54,'Données projet'!$A$165:$I$185,3,0)),0,VLOOKUP(A54,'Données projet'!$A$165:$I$185,3,0))</f>
        <v>2</v>
      </c>
      <c r="DW54" s="15">
        <f>IF(ISNA(VLOOKUP(A54,'Données projet'!$A$165:$I$185,4,0)),0,VLOOKUP(A54,'Données projet'!$A$165:$I$185,4,0))</f>
        <v>37.685897435897431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6.3942307692307701</v>
      </c>
      <c r="N55" s="13">
        <f>IF('Données projet'!$A$36&gt;35,N54+M55-V54,IF(A55&lt;'Données projet'!$A$36,$K$205^A55,IF(A55='Données projet'!$A$36,'Données projet'!$B$36,N54+M55-V54)))</f>
        <v>114.49679487179483</v>
      </c>
      <c r="O55" s="13">
        <f>N55*VLOOKUP('Données projet'!$B$9,Paramètres!$A$1:$I$89,3,0)*VLOOKUP('Données projet'!$B$9,Paramètres!$A$1:$I$89,5,0)</f>
        <v>103.59669999999997</v>
      </c>
      <c r="P55" s="13">
        <f t="shared" si="33"/>
        <v>27.817091630299288</v>
      </c>
      <c r="Q55" s="20">
        <f t="shared" si="53"/>
        <v>228.87902042277122</v>
      </c>
      <c r="R55" s="59">
        <f t="shared" si="0"/>
        <v>485.31429988635455</v>
      </c>
      <c r="S55" s="59">
        <f ca="1">AVERAGE(OFFSET($R$3,0,0,'Données projet'!$E$9+1,1))-AVERAGE(OFFSET($H$3,0,0,'Données projet'!$E$9+1,1))</f>
        <v>388.1278150896951</v>
      </c>
      <c r="T55" s="59">
        <f t="shared" si="34"/>
        <v>232.26614607059227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6.3942307692307701</v>
      </c>
      <c r="AI55" s="13">
        <f>IF('Données projet'!$A$62&gt;35,AI54+AH55-AQ54,IF(A55&lt;'Données projet'!$A$62,$AF$205^A55,IF(A55='Données projet'!$A$62,'Données projet'!$B$62,AI54+AH55-AQ54)))</f>
        <v>114.49679487179483</v>
      </c>
      <c r="AJ55" s="13">
        <f>AI55*VLOOKUP('Données projet'!$B$10,Paramètres!$A$1:$I$89,3,0)*VLOOKUP('Données projet'!$B$10,Paramètres!$A$1:$I$89,5,0)</f>
        <v>116.09974999999996</v>
      </c>
      <c r="AK55" s="13">
        <f t="shared" si="35"/>
        <v>30.763588103307637</v>
      </c>
      <c r="AL55" s="20">
        <f t="shared" si="4"/>
        <v>255.78698052992738</v>
      </c>
      <c r="AM55" s="59">
        <f t="shared" si="5"/>
        <v>512.22225999351076</v>
      </c>
      <c r="AN55" s="59">
        <f ca="1">AVERAGE(OFFSET($AM$3,0,0,'Données projet'!$E$10+1,1))-AVERAGE(OFFSET($H$3,0,0,'Données projet'!$E$10+1,1))</f>
        <v>424.89201140676084</v>
      </c>
      <c r="AO55" s="59">
        <f t="shared" si="36"/>
        <v>253.0016648946303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3.8</v>
      </c>
      <c r="BD55" s="12">
        <f>IF('Données projet'!$A$88&gt;35,BD54+BC55-BL54,IF(A55&lt;'Données projet'!$A$88,$BA$205^A55,IF(A55='Données projet'!$A$88,'Données projet'!$B$88,BD54+BC55-BL54)))</f>
        <v>122.59999999999995</v>
      </c>
      <c r="BE55" s="13">
        <f>BD55*VLOOKUP('Données projet'!$B$11,Paramètres!$A$1:$I$89,3,0)*VLOOKUP('Données projet'!$B$11,Paramètres!$A$1:$I$89,5,0)</f>
        <v>107.10335999999997</v>
      </c>
      <c r="BF55" s="13">
        <f t="shared" si="37"/>
        <v>28.647457255358184</v>
      </c>
      <c r="BG55" s="20">
        <f t="shared" si="7"/>
        <v>236.43267338641544</v>
      </c>
      <c r="BH55" s="59">
        <f t="shared" si="8"/>
        <v>492.8679528499988</v>
      </c>
      <c r="BI55" s="59">
        <f ca="1">AVERAGE(OFFSET($BH$3,0,0,'Données projet'!$E$11+1,1))-AVERAGE(OFFSET($H$3,0,0,'Données projet'!$E$11+1,1))</f>
        <v>218.97952644043698</v>
      </c>
      <c r="BJ55" s="59">
        <f t="shared" si="38"/>
        <v>204.10961748628714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2.1362082522515444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2.1362082522515444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4.4000000000000004</v>
      </c>
      <c r="BY55" s="12">
        <f>IF('Données projet'!$A$114&gt;35,BY54+BX55-CG54,IF(A55&lt;'Données projet'!$A$114,$BV$205^A55,IF(A55='Données projet'!$A$114,'Données projet'!$B$114,BY54+BX55-CG54)))</f>
        <v>136.79999999999993</v>
      </c>
      <c r="BZ55" s="13">
        <f>BY55*VLOOKUP('Données projet'!$B$12,Paramètres!$A$1:$I$89,3,0)*VLOOKUP('Données projet'!$B$12,Paramètres!$A$1:$I$89,5,0)</f>
        <v>110.97215999999996</v>
      </c>
      <c r="CA55" s="13">
        <f t="shared" si="39"/>
        <v>29.559915623187305</v>
      </c>
      <c r="CB55" s="20">
        <f t="shared" si="10"/>
        <v>244.76003171038448</v>
      </c>
      <c r="CC55" s="59">
        <f t="shared" si="11"/>
        <v>501.19531117396787</v>
      </c>
      <c r="CD55" s="59">
        <f ca="1">AVERAGE(OFFSET($CC$3,0,0,'Données projet'!$E$12+1,1))-AVERAGE(OFFSET($H$3,0,0,'Données projet'!$E$12+1,1))</f>
        <v>256.23994291192162</v>
      </c>
      <c r="CE55" s="59">
        <f t="shared" si="40"/>
        <v>207.9118653708222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2.9459564103466116</v>
      </c>
      <c r="CM55" s="21">
        <f>EXP(-LN(2)/2)*CM54+(1-EXP(-LN(2)/2))/(LN(2)/2)*CG55*CJ55*VLOOKUP('Données projet'!$B$12,Paramètres!$A$1:$I$89,3,0)*0.475*44/12</f>
        <v>1.5295608475079081</v>
      </c>
      <c r="CN55" s="22">
        <f t="shared" si="12"/>
        <v>4.4755172578545199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4.5999999999999996</v>
      </c>
      <c r="CT55" s="12">
        <f>IF('Données projet'!$A$140&gt;35,CT54+CS55-DB54,IF(A55&lt;'Données projet'!$A$140,$CQ$205^A55,IF(A55='Données projet'!$A$140,'Données projet'!$B$140,CT54+CS55-DB54)))</f>
        <v>145.1999999999999</v>
      </c>
      <c r="CU55" s="17">
        <f>CT55*VLOOKUP('Données projet'!$B$13,Paramètres!$A$1:$I$89,3,0)*VLOOKUP('Données projet'!$B$13,Paramètres!$A$1:$I$89,5,0)</f>
        <v>83.809439999999938</v>
      </c>
      <c r="CV55" s="13">
        <f t="shared" si="41"/>
        <v>23.066075306199103</v>
      </c>
      <c r="CW55" s="20">
        <f t="shared" si="13"/>
        <v>186.14152249162998</v>
      </c>
      <c r="CX55" s="59">
        <f t="shared" si="14"/>
        <v>442.57680195521334</v>
      </c>
      <c r="CY55" s="59">
        <f ca="1">AVERAGE(OFFSET($CX$3,0,0,'Données projet'!$E$13+1,1))-AVERAGE(OFFSET($H$3,0,0,'Données projet'!$E$13+1,1))</f>
        <v>205.74526926885287</v>
      </c>
      <c r="CZ55" s="59">
        <f t="shared" si="42"/>
        <v>201.56217137928999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2.1139898307384852</v>
      </c>
      <c r="DH55" s="21">
        <f>EXP(-LN(2)/2)*DH54+(1-EXP(-LN(2)/2))/(LN(2)/2)*DB55*DE55*VLOOKUP('Données projet'!$B$13,Paramètres!$A$1:$I$89,3,0)*0.475*44/12</f>
        <v>1.8030080680506426</v>
      </c>
      <c r="DI55" s="22">
        <f t="shared" si="15"/>
        <v>3.9169978987891279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6.3942307692307701</v>
      </c>
      <c r="DO55" s="12">
        <f>IF('Données projet'!$A$166&gt;35,DO54+DN55-DW54,IF(A55&lt;'Données projet'!$A$166,$DL$205^A55,IF(A55='Données projet'!$A$166,'Données projet'!$B$166,DO54+DN55-DW54)))</f>
        <v>114.49679487179483</v>
      </c>
      <c r="DP55" s="17">
        <f>DO55*VLOOKUP('Données projet'!$B$14,Paramètres!$A$1:$I$89,3,0)*VLOOKUP('Données projet'!$B$14,Paramètres!$A$1:$I$89,5,0)</f>
        <v>108.95514999999996</v>
      </c>
      <c r="DQ55" s="13">
        <f t="shared" si="43"/>
        <v>29.084673189035946</v>
      </c>
      <c r="DR55" s="20">
        <f t="shared" si="16"/>
        <v>240.41935872090417</v>
      </c>
      <c r="DS55" s="59">
        <f t="shared" si="17"/>
        <v>496.8546381844875</v>
      </c>
      <c r="DT55" s="59">
        <f ca="1">AVERAGE(OFFSET($DS$3,0,0,'Données projet'!$E$14+1,1))-AVERAGE(OFFSET($H$3,0,0,'Données projet'!$E$14+1,1))</f>
        <v>403.89478276355294</v>
      </c>
      <c r="DU55" s="59">
        <f t="shared" si="44"/>
        <v>241.1593989733278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6.3942307692307701</v>
      </c>
      <c r="N56" s="13">
        <f>IF('Données projet'!$A$36&gt;35,N55+M56-V55,IF(A56&lt;'Données projet'!$A$36,$K$205^A56,IF(A56='Données projet'!$A$36,'Données projet'!$B$36,N55+M56-V55)))</f>
        <v>120.89102564102561</v>
      </c>
      <c r="O56" s="13">
        <f>N56*VLOOKUP('Données projet'!$B$9,Paramètres!$A$1:$I$89,3,0)*VLOOKUP('Données projet'!$B$9,Paramètres!$A$1:$I$89,5,0)</f>
        <v>109.38219999999997</v>
      </c>
      <c r="P56" s="13">
        <f t="shared" si="33"/>
        <v>29.185378395108014</v>
      </c>
      <c r="Q56" s="20">
        <f t="shared" si="53"/>
        <v>241.33853237147972</v>
      </c>
      <c r="R56" s="59">
        <f t="shared" si="0"/>
        <v>498.41391057801297</v>
      </c>
      <c r="S56" s="59">
        <f ca="1">AVERAGE(OFFSET($R$3,0,0,'Données projet'!$E$9+1,1))-AVERAGE(OFFSET($H$3,0,0,'Données projet'!$E$9+1,1))</f>
        <v>388.1278150896951</v>
      </c>
      <c r="T56" s="59">
        <f t="shared" si="34"/>
        <v>232.26614607059227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6.3942307692307701</v>
      </c>
      <c r="AI56" s="13">
        <f>IF('Données projet'!$A$62&gt;35,AI55+AH56-AQ55,IF(A56&lt;'Données projet'!$A$62,$AF$205^A56,IF(A56='Données projet'!$A$62,'Données projet'!$B$62,AI55+AH56-AQ55)))</f>
        <v>120.89102564102561</v>
      </c>
      <c r="AJ56" s="13">
        <f>AI56*VLOOKUP('Données projet'!$B$10,Paramètres!$A$1:$I$89,3,0)*VLOOKUP('Données projet'!$B$10,Paramètres!$A$1:$I$89,5,0)</f>
        <v>122.58349999999999</v>
      </c>
      <c r="AK56" s="13">
        <f t="shared" si="35"/>
        <v>32.276809219275542</v>
      </c>
      <c r="AL56" s="20">
        <f t="shared" si="4"/>
        <v>269.71503855690486</v>
      </c>
      <c r="AM56" s="59">
        <f t="shared" si="5"/>
        <v>526.79041676343809</v>
      </c>
      <c r="AN56" s="59">
        <f ca="1">AVERAGE(OFFSET($AM$3,0,0,'Données projet'!$E$10+1,1))-AVERAGE(OFFSET($H$3,0,0,'Données projet'!$E$10+1,1))</f>
        <v>424.89201140676084</v>
      </c>
      <c r="AO56" s="59">
        <f t="shared" si="36"/>
        <v>253.0016648946303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3.8</v>
      </c>
      <c r="BD56" s="12">
        <f>IF('Données projet'!$A$88&gt;35,BD55+BC56-BL55,IF(A56&lt;'Données projet'!$A$88,$BA$205^A56,IF(A56='Données projet'!$A$88,'Données projet'!$B$88,BD55+BC56-BL55)))</f>
        <v>126.39999999999995</v>
      </c>
      <c r="BE56" s="13">
        <f>BD56*VLOOKUP('Données projet'!$B$11,Paramètres!$A$1:$I$89,3,0)*VLOOKUP('Données projet'!$B$11,Paramètres!$A$1:$I$89,5,0)</f>
        <v>110.42303999999997</v>
      </c>
      <c r="BF56" s="13">
        <f t="shared" si="37"/>
        <v>29.430633818872195</v>
      </c>
      <c r="BG56" s="20">
        <f t="shared" si="7"/>
        <v>243.57848190120231</v>
      </c>
      <c r="BH56" s="59">
        <f t="shared" si="8"/>
        <v>500.65386010773557</v>
      </c>
      <c r="BI56" s="59">
        <f ca="1">AVERAGE(OFFSET($BH$3,0,0,'Données projet'!$E$11+1,1))-AVERAGE(OFFSET($H$3,0,0,'Données projet'!$E$11+1,1))</f>
        <v>218.97952644043698</v>
      </c>
      <c r="BJ56" s="59">
        <f t="shared" si="38"/>
        <v>204.10961748628714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2.0777935252554163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2.0777935252554163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4.4000000000000004</v>
      </c>
      <c r="BY56" s="12">
        <f>IF('Données projet'!$A$114&gt;35,BY55+BX56-CG55,IF(A56&lt;'Données projet'!$A$114,$BV$205^A56,IF(A56='Données projet'!$A$114,'Données projet'!$B$114,BY55+BX56-CG55)))</f>
        <v>141.19999999999993</v>
      </c>
      <c r="BZ56" s="13">
        <f>BY56*VLOOKUP('Données projet'!$B$12,Paramètres!$A$1:$I$89,3,0)*VLOOKUP('Données projet'!$B$12,Paramètres!$A$1:$I$89,5,0)</f>
        <v>114.54143999999995</v>
      </c>
      <c r="CA56" s="13">
        <f t="shared" si="39"/>
        <v>30.398450888186328</v>
      </c>
      <c r="CB56" s="20">
        <f t="shared" si="10"/>
        <v>252.43697663025776</v>
      </c>
      <c r="CC56" s="59">
        <f t="shared" si="11"/>
        <v>509.51235483679102</v>
      </c>
      <c r="CD56" s="59">
        <f ca="1">AVERAGE(OFFSET($CC$3,0,0,'Données projet'!$E$12+1,1))-AVERAGE(OFFSET($H$3,0,0,'Données projet'!$E$12+1,1))</f>
        <v>256.23994291192162</v>
      </c>
      <c r="CE56" s="59">
        <f t="shared" si="40"/>
        <v>207.9118653708222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2.865399077384569</v>
      </c>
      <c r="CM56" s="21">
        <f>EXP(-LN(2)/2)*CM55+(1-EXP(-LN(2)/2))/(LN(2)/2)*CG56*CJ56*VLOOKUP('Données projet'!$B$12,Paramètres!$A$1:$I$89,3,0)*0.475*44/12</f>
        <v>1.0815628475102845</v>
      </c>
      <c r="CN56" s="22">
        <f t="shared" si="12"/>
        <v>3.9469619248948535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4.5999999999999996</v>
      </c>
      <c r="CT56" s="12">
        <f>IF('Données projet'!$A$140&gt;35,CT55+CS56-DB55,IF(A56&lt;'Données projet'!$A$140,$CQ$205^A56,IF(A56='Données projet'!$A$140,'Données projet'!$B$140,CT55+CS56-DB55)))</f>
        <v>149.7999999999999</v>
      </c>
      <c r="CU56" s="17">
        <f>CT56*VLOOKUP('Données projet'!$B$13,Paramètres!$A$1:$I$89,3,0)*VLOOKUP('Données projet'!$B$13,Paramètres!$A$1:$I$89,5,0)</f>
        <v>86.464559999999935</v>
      </c>
      <c r="CV56" s="13">
        <f t="shared" si="41"/>
        <v>23.710583493011686</v>
      </c>
      <c r="CW56" s="20">
        <f t="shared" si="13"/>
        <v>191.88837491699522</v>
      </c>
      <c r="CX56" s="59">
        <f t="shared" si="14"/>
        <v>448.96375312352848</v>
      </c>
      <c r="CY56" s="59">
        <f ca="1">AVERAGE(OFFSET($CX$3,0,0,'Données projet'!$E$13+1,1))-AVERAGE(OFFSET($H$3,0,0,'Données projet'!$E$13+1,1))</f>
        <v>205.74526926885287</v>
      </c>
      <c r="CZ56" s="59">
        <f t="shared" si="42"/>
        <v>201.56217137928999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2.0561826676470476</v>
      </c>
      <c r="DH56" s="21">
        <f>EXP(-LN(2)/2)*DH55+(1-EXP(-LN(2)/2))/(LN(2)/2)*DB56*DE56*VLOOKUP('Données projet'!$B$13,Paramètres!$A$1:$I$89,3,0)*0.475*44/12</f>
        <v>1.2749192314526656</v>
      </c>
      <c r="DI56" s="22">
        <f t="shared" si="15"/>
        <v>3.3311018990997132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6.3942307692307701</v>
      </c>
      <c r="DO56" s="12">
        <f>IF('Données projet'!$A$166&gt;35,DO55+DN56-DW55,IF(A56&lt;'Données projet'!$A$166,$DL$205^A56,IF(A56='Données projet'!$A$166,'Données projet'!$B$166,DO55+DN56-DW55)))</f>
        <v>120.89102564102561</v>
      </c>
      <c r="DP56" s="17">
        <f>DO56*VLOOKUP('Données projet'!$B$14,Paramètres!$A$1:$I$89,3,0)*VLOOKUP('Données projet'!$B$14,Paramètres!$A$1:$I$89,5,0)</f>
        <v>115.03989999999996</v>
      </c>
      <c r="DQ56" s="13">
        <f t="shared" si="43"/>
        <v>30.515310651508731</v>
      </c>
      <c r="DR56" s="20">
        <f t="shared" si="16"/>
        <v>253.50865855137769</v>
      </c>
      <c r="DS56" s="59">
        <f t="shared" si="17"/>
        <v>510.58403675791089</v>
      </c>
      <c r="DT56" s="59">
        <f ca="1">AVERAGE(OFFSET($DS$3,0,0,'Données projet'!$E$14+1,1))-AVERAGE(OFFSET($H$3,0,0,'Données projet'!$E$14+1,1))</f>
        <v>403.89478276355294</v>
      </c>
      <c r="DU56" s="59">
        <f t="shared" si="44"/>
        <v>241.1593989733278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6.3942307692307701</v>
      </c>
      <c r="N57" s="13">
        <f>IF('Données projet'!$A$36&gt;35,N56+M57-V56,IF(A57&lt;'Données projet'!$A$36,$K$205^A57,IF(A57='Données projet'!$A$36,'Données projet'!$B$36,N56+M57-V56)))</f>
        <v>127.28525641025638</v>
      </c>
      <c r="O57" s="13">
        <f>N57*VLOOKUP('Données projet'!$B$9,Paramètres!$A$1:$I$89,3,0)*VLOOKUP('Données projet'!$B$9,Paramètres!$A$1:$I$89,5,0)</f>
        <v>115.16769999999995</v>
      </c>
      <c r="P57" s="13">
        <f t="shared" si="33"/>
        <v>30.545262787038261</v>
      </c>
      <c r="Q57" s="20">
        <f t="shared" si="53"/>
        <v>253.78341018742489</v>
      </c>
      <c r="R57" s="59">
        <f t="shared" si="0"/>
        <v>511.48778285476419</v>
      </c>
      <c r="S57" s="59">
        <f ca="1">AVERAGE(OFFSET($R$3,0,0,'Données projet'!$E$9+1,1))-AVERAGE(OFFSET($H$3,0,0,'Données projet'!$E$9+1,1))</f>
        <v>388.1278150896951</v>
      </c>
      <c r="T57" s="59">
        <f t="shared" si="34"/>
        <v>232.26614607059227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6.3942307692307701</v>
      </c>
      <c r="AI57" s="13">
        <f>IF('Données projet'!$A$62&gt;35,AI56+AH57-AQ56,IF(A57&lt;'Données projet'!$A$62,$AF$205^A57,IF(A57='Données projet'!$A$62,'Données projet'!$B$62,AI56+AH57-AQ56)))</f>
        <v>127.28525641025638</v>
      </c>
      <c r="AJ57" s="13">
        <f>AI57*VLOOKUP('Données projet'!$B$10,Paramètres!$A$1:$I$89,3,0)*VLOOKUP('Données projet'!$B$10,Paramètres!$A$1:$I$89,5,0)</f>
        <v>129.06724999999997</v>
      </c>
      <c r="AK57" s="13">
        <f t="shared" si="35"/>
        <v>33.780737949764791</v>
      </c>
      <c r="AL57" s="20">
        <f t="shared" si="4"/>
        <v>283.62691234584025</v>
      </c>
      <c r="AM57" s="59">
        <f t="shared" si="5"/>
        <v>541.33128501317958</v>
      </c>
      <c r="AN57" s="59">
        <f ca="1">AVERAGE(OFFSET($AM$3,0,0,'Données projet'!$E$10+1,1))-AVERAGE(OFFSET($H$3,0,0,'Données projet'!$E$10+1,1))</f>
        <v>424.89201140676084</v>
      </c>
      <c r="AO57" s="59">
        <f t="shared" si="36"/>
        <v>253.0016648946303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3.8</v>
      </c>
      <c r="BD57" s="12">
        <f>IF('Données projet'!$A$88&gt;35,BD56+BC57-BL56,IF(A57&lt;'Données projet'!$A$88,$BA$205^A57,IF(A57='Données projet'!$A$88,'Données projet'!$B$88,BD56+BC57-BL56)))</f>
        <v>130.19999999999996</v>
      </c>
      <c r="BE57" s="13">
        <f>BD57*VLOOKUP('Données projet'!$B$11,Paramètres!$A$1:$I$89,3,0)*VLOOKUP('Données projet'!$B$11,Paramètres!$A$1:$I$89,5,0)</f>
        <v>113.74271999999996</v>
      </c>
      <c r="BF57" s="13">
        <f t="shared" si="37"/>
        <v>30.211074114233345</v>
      </c>
      <c r="BG57" s="20">
        <f t="shared" si="7"/>
        <v>250.71952474895636</v>
      </c>
      <c r="BH57" s="59">
        <f t="shared" si="8"/>
        <v>508.42389741629569</v>
      </c>
      <c r="BI57" s="59">
        <f ca="1">AVERAGE(OFFSET($BH$3,0,0,'Données projet'!$E$11+1,1))-AVERAGE(OFFSET($H$3,0,0,'Données projet'!$E$11+1,1))</f>
        <v>218.97952644043698</v>
      </c>
      <c r="BJ57" s="59">
        <f t="shared" si="38"/>
        <v>204.10961748628714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2.0209761520408942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2.0209761520408942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4.4000000000000004</v>
      </c>
      <c r="BY57" s="12">
        <f>IF('Données projet'!$A$114&gt;35,BY56+BX57-CG56,IF(A57&lt;'Données projet'!$A$114,$BV$205^A57,IF(A57='Données projet'!$A$114,'Données projet'!$B$114,BY56+BX57-CG56)))</f>
        <v>145.59999999999994</v>
      </c>
      <c r="BZ57" s="13">
        <f>BY57*VLOOKUP('Données projet'!$B$12,Paramètres!$A$1:$I$89,3,0)*VLOOKUP('Données projet'!$B$12,Paramètres!$A$1:$I$89,5,0)</f>
        <v>118.11071999999996</v>
      </c>
      <c r="CA57" s="13">
        <f t="shared" si="39"/>
        <v>31.23394961211034</v>
      </c>
      <c r="CB57" s="20">
        <f t="shared" si="10"/>
        <v>260.1086329077587</v>
      </c>
      <c r="CC57" s="59">
        <f t="shared" si="11"/>
        <v>517.81300557509803</v>
      </c>
      <c r="CD57" s="59">
        <f ca="1">AVERAGE(OFFSET($CC$3,0,0,'Données projet'!$E$12+1,1))-AVERAGE(OFFSET($H$3,0,0,'Données projet'!$E$12+1,1))</f>
        <v>256.23994291192162</v>
      </c>
      <c r="CE57" s="59">
        <f t="shared" si="40"/>
        <v>207.9118653708222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2.7870445889286994</v>
      </c>
      <c r="CM57" s="21">
        <f>EXP(-LN(2)/2)*CM56+(1-EXP(-LN(2)/2))/(LN(2)/2)*CG57*CJ57*VLOOKUP('Données projet'!$B$12,Paramètres!$A$1:$I$89,3,0)*0.475*44/12</f>
        <v>0.76478042375395405</v>
      </c>
      <c r="CN57" s="22">
        <f t="shared" si="12"/>
        <v>3.5518250126826536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4.5999999999999996</v>
      </c>
      <c r="CT57" s="12">
        <f>IF('Données projet'!$A$140&gt;35,CT56+CS57-DB56,IF(A57&lt;'Données projet'!$A$140,$CQ$205^A57,IF(A57='Données projet'!$A$140,'Données projet'!$B$140,CT56+CS57-DB56)))</f>
        <v>154.39999999999989</v>
      </c>
      <c r="CU57" s="17">
        <f>CT57*VLOOKUP('Données projet'!$B$13,Paramètres!$A$1:$I$89,3,0)*VLOOKUP('Données projet'!$B$13,Paramètres!$A$1:$I$89,5,0)</f>
        <v>89.119679999999931</v>
      </c>
      <c r="CV57" s="13">
        <f t="shared" si="41"/>
        <v>24.352791702131785</v>
      </c>
      <c r="CW57" s="20">
        <f t="shared" si="13"/>
        <v>197.63122154787936</v>
      </c>
      <c r="CX57" s="59">
        <f t="shared" si="14"/>
        <v>455.33559421521869</v>
      </c>
      <c r="CY57" s="59">
        <f ca="1">AVERAGE(OFFSET($CX$3,0,0,'Données projet'!$E$13+1,1))-AVERAGE(OFFSET($H$3,0,0,'Données projet'!$E$13+1,1))</f>
        <v>205.74526926885287</v>
      </c>
      <c r="CZ57" s="59">
        <f t="shared" si="42"/>
        <v>201.56217137928999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1.9999562444702921</v>
      </c>
      <c r="DH57" s="21">
        <f>EXP(-LN(2)/2)*DH56+(1-EXP(-LN(2)/2))/(LN(2)/2)*DB57*DE57*VLOOKUP('Données projet'!$B$13,Paramètres!$A$1:$I$89,3,0)*0.475*44/12</f>
        <v>0.90150403402532142</v>
      </c>
      <c r="DI57" s="22">
        <f t="shared" si="15"/>
        <v>2.9014602784956134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6.3942307692307701</v>
      </c>
      <c r="DO57" s="12">
        <f>IF('Données projet'!$A$166&gt;35,DO56+DN57-DW56,IF(A57&lt;'Données projet'!$A$166,$DL$205^A57,IF(A57='Données projet'!$A$166,'Données projet'!$B$166,DO56+DN57-DW56)))</f>
        <v>127.28525641025638</v>
      </c>
      <c r="DP57" s="17">
        <f>DO57*VLOOKUP('Données projet'!$B$14,Paramètres!$A$1:$I$89,3,0)*VLOOKUP('Données projet'!$B$14,Paramètres!$A$1:$I$89,5,0)</f>
        <v>121.12464999999997</v>
      </c>
      <c r="DQ57" s="13">
        <f t="shared" si="43"/>
        <v>31.937162858052172</v>
      </c>
      <c r="DR57" s="20">
        <f t="shared" si="16"/>
        <v>266.58265739444079</v>
      </c>
      <c r="DS57" s="59">
        <f t="shared" si="17"/>
        <v>524.28703006178011</v>
      </c>
      <c r="DT57" s="59">
        <f ca="1">AVERAGE(OFFSET($DS$3,0,0,'Données projet'!$E$14+1,1))-AVERAGE(OFFSET($H$3,0,0,'Données projet'!$E$14+1,1))</f>
        <v>403.89478276355294</v>
      </c>
      <c r="DU57" s="59">
        <f t="shared" si="44"/>
        <v>241.1593989733278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6.3942307692307701</v>
      </c>
      <c r="N58" s="13">
        <f>IF('Données projet'!$A$36&gt;35,N57+M58-V57,IF(A58&lt;'Données projet'!$A$36,$K$205^A58,IF(A58='Données projet'!$A$36,'Données projet'!$B$36,N57+M58-V57)))</f>
        <v>133.67948717948715</v>
      </c>
      <c r="O58" s="13">
        <f>N58*VLOOKUP('Données projet'!$B$9,Paramètres!$A$1:$I$89,3,0)*VLOOKUP('Données projet'!$B$9,Paramètres!$A$1:$I$89,5,0)</f>
        <v>120.95319999999997</v>
      </c>
      <c r="P58" s="13">
        <f t="shared" si="33"/>
        <v>31.897215065171491</v>
      </c>
      <c r="Q58" s="20">
        <f t="shared" si="53"/>
        <v>266.21447290517364</v>
      </c>
      <c r="R58" s="59">
        <f t="shared" si="0"/>
        <v>524.53692838564507</v>
      </c>
      <c r="S58" s="59">
        <f ca="1">AVERAGE(OFFSET($R$3,0,0,'Données projet'!$E$9+1,1))-AVERAGE(OFFSET($H$3,0,0,'Données projet'!$E$9+1,1))</f>
        <v>388.1278150896951</v>
      </c>
      <c r="T58" s="59">
        <f t="shared" si="34"/>
        <v>232.26614607059227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6.3942307692307701</v>
      </c>
      <c r="AI58" s="13">
        <f>IF('Données projet'!$A$62&gt;35,AI57+AH58-AQ57,IF(A58&lt;'Données projet'!$A$62,$AF$205^A58,IF(A58='Données projet'!$A$62,'Données projet'!$B$62,AI57+AH58-AQ57)))</f>
        <v>133.67948717948715</v>
      </c>
      <c r="AJ58" s="13">
        <f>AI58*VLOOKUP('Données projet'!$B$10,Paramètres!$A$1:$I$89,3,0)*VLOOKUP('Données projet'!$B$10,Paramètres!$A$1:$I$89,5,0)</f>
        <v>135.55099999999999</v>
      </c>
      <c r="AK58" s="13">
        <f t="shared" si="35"/>
        <v>35.275894365560525</v>
      </c>
      <c r="AL58" s="20">
        <f t="shared" si="4"/>
        <v>297.52350768668458</v>
      </c>
      <c r="AM58" s="59">
        <f t="shared" si="5"/>
        <v>555.84596316715601</v>
      </c>
      <c r="AN58" s="59">
        <f ca="1">AVERAGE(OFFSET($AM$3,0,0,'Données projet'!$E$10+1,1))-AVERAGE(OFFSET($H$3,0,0,'Données projet'!$E$10+1,1))</f>
        <v>424.89201140676084</v>
      </c>
      <c r="AO58" s="59">
        <f t="shared" si="36"/>
        <v>253.0016648946303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134</v>
      </c>
      <c r="BB58" s="12">
        <f>VLOOKUP(A58,'Données projet'!$A$87:$I$107,9,0)</f>
        <v>3.8</v>
      </c>
      <c r="BC58" s="12">
        <f t="array" ref="BC58">INDEX(BB:BB,MIN(IF(ISNUMBER(BB58:BB254),ROW(BB58:BB254),"")))</f>
        <v>3.8</v>
      </c>
      <c r="BD58" s="12">
        <f>IF('Données projet'!$A$88&gt;35,BD57+BC58-BL57,IF(A58&lt;'Données projet'!$A$88,$BA$205^A58,IF(A58='Données projet'!$A$88,'Données projet'!$B$88,BD57+BC58-BL57)))</f>
        <v>133.99999999999997</v>
      </c>
      <c r="BE58" s="13">
        <f>BD58*VLOOKUP('Données projet'!$B$11,Paramètres!$A$1:$I$89,3,0)*VLOOKUP('Données projet'!$B$11,Paramètres!$A$1:$I$89,5,0)</f>
        <v>117.0624</v>
      </c>
      <c r="BF58" s="13">
        <f t="shared" si="37"/>
        <v>30.988867171899152</v>
      </c>
      <c r="BG58" s="20">
        <f t="shared" si="7"/>
        <v>257.85595699105767</v>
      </c>
      <c r="BH58" s="59">
        <f t="shared" si="8"/>
        <v>516.1784124715291</v>
      </c>
      <c r="BI58" s="59">
        <f ca="1">AVERAGE(OFFSET($BH$3,0,0,'Données projet'!$E$11+1,1))-AVERAGE(OFFSET($H$3,0,0,'Données projet'!$E$11+1,1))</f>
        <v>218.97952644043698</v>
      </c>
      <c r="BJ58" s="59">
        <f t="shared" si="38"/>
        <v>204.10961748628714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9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0.17490000000000003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3.479896605359539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3.479896605359539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150</v>
      </c>
      <c r="BW58" s="12">
        <f>VLOOKUP(A58,'Données projet'!$A$113:$I$133,9,0)</f>
        <v>4.4000000000000004</v>
      </c>
      <c r="BX58" s="12">
        <f t="array" ref="BX58">INDEX(BW:BW,MIN(IF(ISNUMBER(BW58:BW254),ROW(BW58:BW254),"")))</f>
        <v>4.4000000000000004</v>
      </c>
      <c r="BY58" s="12">
        <f>IF('Données projet'!$A$114&gt;35,BY57+BX58-CG57,IF(A58&lt;'Données projet'!$A$114,$BV$205^A58,IF(A58='Données projet'!$A$114,'Données projet'!$B$114,BY57+BX58-CG57)))</f>
        <v>149.99999999999994</v>
      </c>
      <c r="BZ58" s="13">
        <f>BY58*VLOOKUP('Données projet'!$B$12,Paramètres!$A$1:$I$89,3,0)*VLOOKUP('Données projet'!$B$12,Paramètres!$A$1:$I$89,5,0)</f>
        <v>121.67999999999996</v>
      </c>
      <c r="CA58" s="13">
        <f t="shared" si="39"/>
        <v>32.066514091456256</v>
      </c>
      <c r="CB58" s="20">
        <f t="shared" si="10"/>
        <v>267.77517870928619</v>
      </c>
      <c r="CC58" s="59">
        <f t="shared" si="11"/>
        <v>526.09763418975763</v>
      </c>
      <c r="CD58" s="59">
        <f ca="1">AVERAGE(OFFSET($CC$3,0,0,'Données projet'!$E$12+1,1))-AVERAGE(OFFSET($H$3,0,0,'Données projet'!$E$12+1,1))</f>
        <v>256.23994291192162</v>
      </c>
      <c r="CE58" s="59">
        <f t="shared" si="40"/>
        <v>207.9118653708222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11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0.129</v>
      </c>
      <c r="CJ58" s="16">
        <f>IF(ISNA(VLOOKUP(A58,'Données projet'!$A$113:$I$133,7,0)),0%,VLOOKUP(A58,'Données projet'!$A$113:$I$133,7,0))</f>
        <v>0.3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3.9783213891723346</v>
      </c>
      <c r="CM58" s="21">
        <f>EXP(-LN(2)/2)*CM57+(1-EXP(-LN(2)/2))/(LN(2)/2)*CG58*CJ58*VLOOKUP('Données projet'!$B$12,Paramètres!$A$1:$I$89,3,0)*0.475*44/12</f>
        <v>3.0665652330771822</v>
      </c>
      <c r="CN58" s="22">
        <f t="shared" si="12"/>
        <v>7.0448866222495168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159</v>
      </c>
      <c r="CR58" s="12">
        <f>VLOOKUP(A58,'Données projet'!$A$139:$I$159,9,0)</f>
        <v>4.5999999999999996</v>
      </c>
      <c r="CS58" s="12">
        <f t="array" ref="CS58">INDEX(CR:CR,MIN(IF(ISNUMBER(CR58:CR254),ROW(CR58:CR254),"")))</f>
        <v>4.5999999999999996</v>
      </c>
      <c r="CT58" s="12">
        <f>IF('Données projet'!$A$140&gt;35,CT57+CS58-DB57,IF(A58&lt;'Données projet'!$A$140,$CQ$205^A58,IF(A58='Données projet'!$A$140,'Données projet'!$B$140,CT57+CS58-DB57)))</f>
        <v>158.99999999999989</v>
      </c>
      <c r="CU58" s="17">
        <f>CT58*VLOOKUP('Données projet'!$B$13,Paramètres!$A$1:$I$89,3,0)*VLOOKUP('Données projet'!$B$13,Paramètres!$A$1:$I$89,5,0)</f>
        <v>91.774799999999928</v>
      </c>
      <c r="CV58" s="13">
        <f t="shared" si="41"/>
        <v>24.992776322670565</v>
      </c>
      <c r="CW58" s="20">
        <f t="shared" si="13"/>
        <v>203.3701954286511</v>
      </c>
      <c r="CX58" s="59">
        <f t="shared" si="14"/>
        <v>461.69265090912245</v>
      </c>
      <c r="CY58" s="59">
        <f ca="1">AVERAGE(OFFSET($CX$3,0,0,'Données projet'!$E$13+1,1))-AVERAGE(OFFSET($H$3,0,0,'Données projet'!$E$13+1,1))</f>
        <v>205.74526926885287</v>
      </c>
      <c r="CZ58" s="59">
        <f t="shared" si="42"/>
        <v>201.56217137928999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17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0.129</v>
      </c>
      <c r="DE58" s="16">
        <f>IF(ISNA(VLOOKUP(A58,'Données projet'!$A$139:$I$159,7,0)),0%,VLOOKUP(A58,'Données projet'!$A$139:$I$159,7,0))</f>
        <v>0.3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3.3390617071330171</v>
      </c>
      <c r="DH58" s="21">
        <f>EXP(-LN(2)/2)*DH57+(1-EXP(-LN(2)/2))/(LN(2)/2)*DB58*DE58*VLOOKUP('Données projet'!$B$13,Paramètres!$A$1:$I$89,3,0)*0.475*44/12</f>
        <v>3.4149386647885058</v>
      </c>
      <c r="DI58" s="22">
        <f t="shared" si="15"/>
        <v>6.7540003719215225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6.3942307692307701</v>
      </c>
      <c r="DO58" s="12">
        <f>IF('Données projet'!$A$166&gt;35,DO57+DN58-DW57,IF(A58&lt;'Données projet'!$A$166,$DL$205^A58,IF(A58='Données projet'!$A$166,'Données projet'!$B$166,DO57+DN58-DW57)))</f>
        <v>133.67948717948715</v>
      </c>
      <c r="DP58" s="17">
        <f>DO58*VLOOKUP('Données projet'!$B$14,Paramètres!$A$1:$I$89,3,0)*VLOOKUP('Données projet'!$B$14,Paramètres!$A$1:$I$89,5,0)</f>
        <v>127.20939999999997</v>
      </c>
      <c r="DQ58" s="13">
        <f t="shared" si="43"/>
        <v>33.350721496721917</v>
      </c>
      <c r="DR58" s="20">
        <f t="shared" si="16"/>
        <v>279.64221160679057</v>
      </c>
      <c r="DS58" s="59">
        <f t="shared" si="17"/>
        <v>537.96466708726189</v>
      </c>
      <c r="DT58" s="59">
        <f ca="1">AVERAGE(OFFSET($DS$3,0,0,'Données projet'!$E$14+1,1))-AVERAGE(OFFSET($H$3,0,0,'Données projet'!$E$14+1,1))</f>
        <v>403.89478276355294</v>
      </c>
      <c r="DU58" s="59">
        <f t="shared" si="44"/>
        <v>241.1593989733278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6.3942307692307701</v>
      </c>
      <c r="N59" s="13">
        <f>IF('Données projet'!$A$36&gt;35,N58+M59-V58,IF(A59&lt;'Données projet'!$A$36,$K$205^A59,IF(A59='Données projet'!$A$36,'Données projet'!$B$36,N58+M59-V58)))</f>
        <v>140.07371794871793</v>
      </c>
      <c r="O59" s="13">
        <f>N59*VLOOKUP('Données projet'!$B$9,Paramètres!$A$1:$I$89,3,0)*VLOOKUP('Données projet'!$B$9,Paramètres!$A$1:$I$89,5,0)</f>
        <v>126.73869999999998</v>
      </c>
      <c r="P59" s="13">
        <f t="shared" si="33"/>
        <v>33.241657959244336</v>
      </c>
      <c r="Q59" s="20">
        <f t="shared" si="53"/>
        <v>278.63245677901716</v>
      </c>
      <c r="R59" s="59">
        <f t="shared" si="0"/>
        <v>537.56227271763896</v>
      </c>
      <c r="S59" s="59">
        <f ca="1">AVERAGE(OFFSET($R$3,0,0,'Données projet'!$E$9+1,1))-AVERAGE(OFFSET($H$3,0,0,'Données projet'!$E$9+1,1))</f>
        <v>388.1278150896951</v>
      </c>
      <c r="T59" s="59">
        <f t="shared" si="34"/>
        <v>232.26614607059227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6.3942307692307701</v>
      </c>
      <c r="AI59" s="13">
        <f>IF('Données projet'!$A$62&gt;35,AI58+AH59-AQ58,IF(A59&lt;'Données projet'!$A$62,$AF$205^A59,IF(A59='Données projet'!$A$62,'Données projet'!$B$62,AI58+AH59-AQ58)))</f>
        <v>140.07371794871793</v>
      </c>
      <c r="AJ59" s="13">
        <f>AI59*VLOOKUP('Données projet'!$B$10,Paramètres!$A$1:$I$89,3,0)*VLOOKUP('Données projet'!$B$10,Paramètres!$A$1:$I$89,5,0)</f>
        <v>142.03474999999997</v>
      </c>
      <c r="AK59" s="13">
        <f t="shared" si="35"/>
        <v>36.762745973606584</v>
      </c>
      <c r="AL59" s="20">
        <f t="shared" si="4"/>
        <v>311.40563882069802</v>
      </c>
      <c r="AM59" s="59">
        <f t="shared" si="5"/>
        <v>570.33545475931976</v>
      </c>
      <c r="AN59" s="59">
        <f ca="1">AVERAGE(OFFSET($AM$3,0,0,'Données projet'!$E$10+1,1))-AVERAGE(OFFSET($H$3,0,0,'Données projet'!$E$10+1,1))</f>
        <v>424.89201140676084</v>
      </c>
      <c r="AO59" s="59">
        <f t="shared" si="36"/>
        <v>253.0016648946303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3</v>
      </c>
      <c r="BD59" s="12">
        <f>IF('Données projet'!$A$88&gt;35,BD58+BC59-BL58,IF(A59&lt;'Données projet'!$A$88,$BA$205^A59,IF(A59='Données projet'!$A$88,'Données projet'!$B$88,BD58+BC59-BL58)))</f>
        <v>127.99999999999997</v>
      </c>
      <c r="BE59" s="13">
        <f>BD59*VLOOKUP('Données projet'!$B$11,Paramètres!$A$1:$I$89,3,0)*VLOOKUP('Données projet'!$B$11,Paramètres!$A$1:$I$89,5,0)</f>
        <v>111.82079999999999</v>
      </c>
      <c r="BF59" s="13">
        <f t="shared" si="37"/>
        <v>29.759568497877257</v>
      </c>
      <c r="BG59" s="20">
        <f t="shared" si="7"/>
        <v>246.58580846713622</v>
      </c>
      <c r="BH59" s="59">
        <f t="shared" si="8"/>
        <v>505.51562440575799</v>
      </c>
      <c r="BI59" s="59">
        <f ca="1">AVERAGE(OFFSET($BH$3,0,0,'Données projet'!$E$11+1,1))-AVERAGE(OFFSET($H$3,0,0,'Données projet'!$E$11+1,1))</f>
        <v>218.97952644043698</v>
      </c>
      <c r="BJ59" s="59">
        <f t="shared" si="38"/>
        <v>204.10961748628714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3.3847386496861733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3.3847386496861733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4.2</v>
      </c>
      <c r="BY59" s="12">
        <f>IF('Données projet'!$A$114&gt;35,BY58+BX59-CG58,IF(A59&lt;'Données projet'!$A$114,$BV$205^A59,IF(A59='Données projet'!$A$114,'Données projet'!$B$114,BY58+BX59-CG58)))</f>
        <v>143.19999999999993</v>
      </c>
      <c r="BZ59" s="13">
        <f>BY59*VLOOKUP('Données projet'!$B$12,Paramètres!$A$1:$I$89,3,0)*VLOOKUP('Données projet'!$B$12,Paramètres!$A$1:$I$89,5,0)</f>
        <v>116.16383999999995</v>
      </c>
      <c r="CA59" s="13">
        <f t="shared" si="39"/>
        <v>30.778593163150692</v>
      </c>
      <c r="CB59" s="20">
        <f t="shared" si="10"/>
        <v>255.92473775915403</v>
      </c>
      <c r="CC59" s="59">
        <f t="shared" si="11"/>
        <v>514.85455369777583</v>
      </c>
      <c r="CD59" s="59">
        <f ca="1">AVERAGE(OFFSET($CC$3,0,0,'Données projet'!$E$12+1,1))-AVERAGE(OFFSET($H$3,0,0,'Données projet'!$E$12+1,1))</f>
        <v>256.23994291192162</v>
      </c>
      <c r="CE59" s="59">
        <f t="shared" si="40"/>
        <v>207.9118653708222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3.8695339815745879</v>
      </c>
      <c r="CM59" s="21">
        <f>EXP(-LN(2)/2)*CM58+(1-EXP(-LN(2)/2))/(LN(2)/2)*CG59*CJ59*VLOOKUP('Données projet'!$B$12,Paramètres!$A$1:$I$89,3,0)*0.475*44/12</f>
        <v>2.1683890712597815</v>
      </c>
      <c r="CN59" s="22">
        <f t="shared" si="12"/>
        <v>6.037923052834369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4.5999999999999996</v>
      </c>
      <c r="CT59" s="12">
        <f>IF('Données projet'!$A$140&gt;35,CT58+CS59-DB58,IF(A59&lt;'Données projet'!$A$140,$CQ$205^A59,IF(A59='Données projet'!$A$140,'Données projet'!$B$140,CT58+CS59-DB58)))</f>
        <v>146.59999999999988</v>
      </c>
      <c r="CU59" s="17">
        <f>CT59*VLOOKUP('Données projet'!$B$13,Paramètres!$A$1:$I$89,3,0)*VLOOKUP('Données projet'!$B$13,Paramètres!$A$1:$I$89,5,0)</f>
        <v>84.617519999999928</v>
      </c>
      <c r="CV59" s="13">
        <f t="shared" si="41"/>
        <v>23.262478220072985</v>
      </c>
      <c r="CW59" s="20">
        <f t="shared" si="13"/>
        <v>187.89099689996033</v>
      </c>
      <c r="CX59" s="59">
        <f t="shared" si="14"/>
        <v>446.82081283858207</v>
      </c>
      <c r="CY59" s="59">
        <f ca="1">AVERAGE(OFFSET($CX$3,0,0,'Données projet'!$E$13+1,1))-AVERAGE(OFFSET($H$3,0,0,'Données projet'!$E$13+1,1))</f>
        <v>205.74526926885287</v>
      </c>
      <c r="CZ59" s="59">
        <f t="shared" si="42"/>
        <v>201.56217137928999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3.2477548891578412</v>
      </c>
      <c r="DH59" s="21">
        <f>EXP(-LN(2)/2)*DH58+(1-EXP(-LN(2)/2))/(LN(2)/2)*DB59*DE59*VLOOKUP('Données projet'!$B$13,Paramètres!$A$1:$I$89,3,0)*0.475*44/12</f>
        <v>2.414726287208087</v>
      </c>
      <c r="DI59" s="22">
        <f t="shared" si="15"/>
        <v>5.6624811763659277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6.3942307692307701</v>
      </c>
      <c r="DO59" s="12">
        <f>IF('Données projet'!$A$166&gt;35,DO58+DN59-DW58,IF(A59&lt;'Données projet'!$A$166,$DL$205^A59,IF(A59='Données projet'!$A$166,'Données projet'!$B$166,DO58+DN59-DW58)))</f>
        <v>140.07371794871793</v>
      </c>
      <c r="DP59" s="17">
        <f>DO59*VLOOKUP('Données projet'!$B$14,Paramètres!$A$1:$I$89,3,0)*VLOOKUP('Données projet'!$B$14,Paramètres!$A$1:$I$89,5,0)</f>
        <v>133.29414999999997</v>
      </c>
      <c r="DQ59" s="13">
        <f t="shared" si="43"/>
        <v>34.756428560390589</v>
      </c>
      <c r="DR59" s="20">
        <f t="shared" si="16"/>
        <v>292.6880909926802</v>
      </c>
      <c r="DS59" s="59">
        <f t="shared" si="17"/>
        <v>551.61790693130195</v>
      </c>
      <c r="DT59" s="59">
        <f ca="1">AVERAGE(OFFSET($DS$3,0,0,'Données projet'!$E$14+1,1))-AVERAGE(OFFSET($H$3,0,0,'Données projet'!$E$14+1,1))</f>
        <v>403.89478276355294</v>
      </c>
      <c r="DU59" s="59">
        <f t="shared" si="44"/>
        <v>241.1593989733278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6.3942307692307701</v>
      </c>
      <c r="N60" s="13">
        <f>IF('Données projet'!$A$36&gt;35,N59+M60-V59,IF(A60&lt;'Données projet'!$A$36,$K$205^A60,IF(A60='Données projet'!$A$36,'Données projet'!$B$36,N59+M60-V59)))</f>
        <v>146.4679487179487</v>
      </c>
      <c r="O60" s="13">
        <f>N60*VLOOKUP('Données projet'!$B$9,Paramètres!$A$1:$I$89,3,0)*VLOOKUP('Données projet'!$B$9,Paramètres!$A$1:$I$89,5,0)</f>
        <v>132.52419999999998</v>
      </c>
      <c r="P60" s="13">
        <f t="shared" si="33"/>
        <v>34.578973423062216</v>
      </c>
      <c r="Q60" s="20">
        <f t="shared" si="53"/>
        <v>291.03802704516664</v>
      </c>
      <c r="R60" s="59">
        <f t="shared" si="0"/>
        <v>550.56466709584436</v>
      </c>
      <c r="S60" s="59">
        <f ca="1">AVERAGE(OFFSET($R$3,0,0,'Données projet'!$E$9+1,1))-AVERAGE(OFFSET($H$3,0,0,'Données projet'!$E$9+1,1))</f>
        <v>388.1278150896951</v>
      </c>
      <c r="T60" s="59">
        <f t="shared" si="34"/>
        <v>232.26614607059227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6.3942307692307701</v>
      </c>
      <c r="AI60" s="13">
        <f>IF('Données projet'!$A$62&gt;35,AI59+AH60-AQ59,IF(A60&lt;'Données projet'!$A$62,$AF$205^A60,IF(A60='Données projet'!$A$62,'Données projet'!$B$62,AI59+AH60-AQ59)))</f>
        <v>146.4679487179487</v>
      </c>
      <c r="AJ60" s="13">
        <f>AI60*VLOOKUP('Données projet'!$B$10,Paramètres!$A$1:$I$89,3,0)*VLOOKUP('Données projet'!$B$10,Paramètres!$A$1:$I$89,5,0)</f>
        <v>148.51850000000002</v>
      </c>
      <c r="AK60" s="13">
        <f t="shared" si="35"/>
        <v>38.241715185767696</v>
      </c>
      <c r="AL60" s="20">
        <f t="shared" si="4"/>
        <v>325.27404144854546</v>
      </c>
      <c r="AM60" s="59">
        <f t="shared" si="5"/>
        <v>584.80068149922317</v>
      </c>
      <c r="AN60" s="59">
        <f ca="1">AVERAGE(OFFSET($AM$3,0,0,'Données projet'!$E$10+1,1))-AVERAGE(OFFSET($H$3,0,0,'Données projet'!$E$10+1,1))</f>
        <v>424.89201140676084</v>
      </c>
      <c r="AO60" s="59">
        <f t="shared" si="36"/>
        <v>253.0016648946303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3</v>
      </c>
      <c r="BD60" s="12">
        <f>IF('Données projet'!$A$88&gt;35,BD59+BC60-BL59,IF(A60&lt;'Données projet'!$A$88,$BA$205^A60,IF(A60='Données projet'!$A$88,'Données projet'!$B$88,BD59+BC60-BL59)))</f>
        <v>130.99999999999997</v>
      </c>
      <c r="BE60" s="13">
        <f>BD60*VLOOKUP('Données projet'!$B$11,Paramètres!$A$1:$I$89,3,0)*VLOOKUP('Données projet'!$B$11,Paramètres!$A$1:$I$89,5,0)</f>
        <v>114.44159999999998</v>
      </c>
      <c r="BF60" s="13">
        <f t="shared" si="37"/>
        <v>30.375037129843719</v>
      </c>
      <c r="BG60" s="20">
        <f t="shared" si="7"/>
        <v>252.22230966781112</v>
      </c>
      <c r="BH60" s="59">
        <f t="shared" si="8"/>
        <v>511.7489497184888</v>
      </c>
      <c r="BI60" s="59">
        <f ca="1">AVERAGE(OFFSET($BH$3,0,0,'Données projet'!$E$11+1,1))-AVERAGE(OFFSET($H$3,0,0,'Données projet'!$E$11+1,1))</f>
        <v>218.97952644043698</v>
      </c>
      <c r="BJ60" s="59">
        <f t="shared" si="38"/>
        <v>204.10961748628714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3.2921827933148351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3.2921827933148351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4.2</v>
      </c>
      <c r="BY60" s="12">
        <f>IF('Données projet'!$A$114&gt;35,BY59+BX60-CG59,IF(A60&lt;'Données projet'!$A$114,$BV$205^A60,IF(A60='Données projet'!$A$114,'Données projet'!$B$114,BY59+BX60-CG59)))</f>
        <v>147.39999999999992</v>
      </c>
      <c r="BZ60" s="13">
        <f>BY60*VLOOKUP('Données projet'!$B$12,Paramètres!$A$1:$I$89,3,0)*VLOOKUP('Données projet'!$B$12,Paramètres!$A$1:$I$89,5,0)</f>
        <v>119.57087999999996</v>
      </c>
      <c r="CA60" s="13">
        <f t="shared" si="39"/>
        <v>31.574893243250646</v>
      </c>
      <c r="CB60" s="20">
        <f t="shared" si="10"/>
        <v>263.24555506532812</v>
      </c>
      <c r="CC60" s="59">
        <f t="shared" si="11"/>
        <v>522.77219511600583</v>
      </c>
      <c r="CD60" s="59">
        <f ca="1">AVERAGE(OFFSET($CC$3,0,0,'Données projet'!$E$12+1,1))-AVERAGE(OFFSET($H$3,0,0,'Données projet'!$E$12+1,1))</f>
        <v>256.23994291192162</v>
      </c>
      <c r="CE60" s="59">
        <f t="shared" si="40"/>
        <v>207.9118653708222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3.7637213713584825</v>
      </c>
      <c r="CM60" s="21">
        <f>EXP(-LN(2)/2)*CM59+(1-EXP(-LN(2)/2))/(LN(2)/2)*CG60*CJ60*VLOOKUP('Données projet'!$B$12,Paramètres!$A$1:$I$89,3,0)*0.475*44/12</f>
        <v>1.5332826165385915</v>
      </c>
      <c r="CN60" s="22">
        <f t="shared" si="12"/>
        <v>5.2970039878970745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4.5999999999999996</v>
      </c>
      <c r="CT60" s="12">
        <f>IF('Données projet'!$A$140&gt;35,CT59+CS60-DB59,IF(A60&lt;'Données projet'!$A$140,$CQ$205^A60,IF(A60='Données projet'!$A$140,'Données projet'!$B$140,CT59+CS60-DB59)))</f>
        <v>151.19999999999987</v>
      </c>
      <c r="CU60" s="17">
        <f>CT60*VLOOKUP('Données projet'!$B$13,Paramètres!$A$1:$I$89,3,0)*VLOOKUP('Données projet'!$B$13,Paramètres!$A$1:$I$89,5,0)</f>
        <v>87.272639999999924</v>
      </c>
      <c r="CV60" s="13">
        <f t="shared" si="41"/>
        <v>23.9062780295836</v>
      </c>
      <c r="CW60" s="20">
        <f t="shared" si="13"/>
        <v>193.63661556819133</v>
      </c>
      <c r="CX60" s="59">
        <f t="shared" si="14"/>
        <v>453.16325561886902</v>
      </c>
      <c r="CY60" s="59">
        <f ca="1">AVERAGE(OFFSET($CX$3,0,0,'Données projet'!$E$13+1,1))-AVERAGE(OFFSET($H$3,0,0,'Données projet'!$E$13+1,1))</f>
        <v>205.74526926885287</v>
      </c>
      <c r="CZ60" s="59">
        <f t="shared" si="42"/>
        <v>201.56217137928999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3.1589448609218134</v>
      </c>
      <c r="DH60" s="21">
        <f>EXP(-LN(2)/2)*DH59+(1-EXP(-LN(2)/2))/(LN(2)/2)*DB60*DE60*VLOOKUP('Données projet'!$B$13,Paramètres!$A$1:$I$89,3,0)*0.475*44/12</f>
        <v>1.7074693323942531</v>
      </c>
      <c r="DI60" s="22">
        <f t="shared" si="15"/>
        <v>4.8664141933160661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6.3942307692307701</v>
      </c>
      <c r="DO60" s="12">
        <f>IF('Données projet'!$A$166&gt;35,DO59+DN60-DW59,IF(A60&lt;'Données projet'!$A$166,$DL$205^A60,IF(A60='Données projet'!$A$166,'Données projet'!$B$166,DO59+DN60-DW59)))</f>
        <v>146.4679487179487</v>
      </c>
      <c r="DP60" s="17">
        <f>DO60*VLOOKUP('Données projet'!$B$14,Paramètres!$A$1:$I$89,3,0)*VLOOKUP('Données projet'!$B$14,Paramètres!$A$1:$I$89,5,0)</f>
        <v>139.37889999999999</v>
      </c>
      <c r="DQ60" s="13">
        <f t="shared" si="43"/>
        <v>36.154683407903839</v>
      </c>
      <c r="DR60" s="20">
        <f t="shared" si="16"/>
        <v>305.72099110209916</v>
      </c>
      <c r="DS60" s="59">
        <f t="shared" si="17"/>
        <v>565.24763115277688</v>
      </c>
      <c r="DT60" s="59">
        <f ca="1">AVERAGE(OFFSET($DS$3,0,0,'Données projet'!$E$14+1,1))-AVERAGE(OFFSET($H$3,0,0,'Données projet'!$E$14+1,1))</f>
        <v>403.89478276355294</v>
      </c>
      <c r="DU60" s="59">
        <f t="shared" si="44"/>
        <v>241.1593989733278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6.3942307692307701</v>
      </c>
      <c r="N61" s="13">
        <f>IF('Données projet'!$A$36&gt;35,N60+M61-V60,IF(A61&lt;'Données projet'!$A$36,$K$205^A61,IF(A61='Données projet'!$A$36,'Données projet'!$B$36,N60+M61-V60)))</f>
        <v>152.86217948717947</v>
      </c>
      <c r="O61" s="13">
        <f>N61*VLOOKUP('Données projet'!$B$9,Paramètres!$A$1:$I$89,3,0)*VLOOKUP('Données projet'!$B$9,Paramètres!$A$1:$I$89,5,0)</f>
        <v>138.30969999999999</v>
      </c>
      <c r="P61" s="13">
        <f t="shared" si="33"/>
        <v>35.909508175318372</v>
      </c>
      <c r="Q61" s="20">
        <f t="shared" si="53"/>
        <v>303.43178757201281</v>
      </c>
      <c r="R61" s="59">
        <f t="shared" si="0"/>
        <v>563.54489817070123</v>
      </c>
      <c r="S61" s="59">
        <f ca="1">AVERAGE(OFFSET($R$3,0,0,'Données projet'!$E$9+1,1))-AVERAGE(OFFSET($H$3,0,0,'Données projet'!$E$9+1,1))</f>
        <v>388.1278150896951</v>
      </c>
      <c r="T61" s="59">
        <f t="shared" si="34"/>
        <v>232.26614607059227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6.3942307692307701</v>
      </c>
      <c r="AI61" s="13">
        <f>IF('Données projet'!$A$62&gt;35,AI60+AH61-AQ60,IF(A61&lt;'Données projet'!$A$62,$AF$205^A61,IF(A61='Données projet'!$A$62,'Données projet'!$B$62,AI60+AH61-AQ60)))</f>
        <v>152.86217948717947</v>
      </c>
      <c r="AJ61" s="13">
        <f>AI61*VLOOKUP('Données projet'!$B$10,Paramètres!$A$1:$I$89,3,0)*VLOOKUP('Données projet'!$B$10,Paramètres!$A$1:$I$89,5,0)</f>
        <v>155.00225</v>
      </c>
      <c r="AK61" s="13">
        <f t="shared" si="35"/>
        <v>39.713185446553709</v>
      </c>
      <c r="AL61" s="20">
        <f t="shared" si="4"/>
        <v>339.12938340274769</v>
      </c>
      <c r="AM61" s="59">
        <f t="shared" si="5"/>
        <v>599.24249400143617</v>
      </c>
      <c r="AN61" s="59">
        <f ca="1">AVERAGE(OFFSET($AM$3,0,0,'Données projet'!$E$10+1,1))-AVERAGE(OFFSET($H$3,0,0,'Données projet'!$E$10+1,1))</f>
        <v>424.89201140676084</v>
      </c>
      <c r="AO61" s="59">
        <f t="shared" si="36"/>
        <v>253.0016648946303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3</v>
      </c>
      <c r="BD61" s="12">
        <f>IF('Données projet'!$A$88&gt;35,BD60+BC61-BL60,IF(A61&lt;'Données projet'!$A$88,$BA$205^A61,IF(A61='Données projet'!$A$88,'Données projet'!$B$88,BD60+BC61-BL60)))</f>
        <v>133.99999999999997</v>
      </c>
      <c r="BE61" s="13">
        <f>BD61*VLOOKUP('Données projet'!$B$11,Paramètres!$A$1:$I$89,3,0)*VLOOKUP('Données projet'!$B$11,Paramètres!$A$1:$I$89,5,0)</f>
        <v>117.0624</v>
      </c>
      <c r="BF61" s="13">
        <f t="shared" si="37"/>
        <v>30.988867171899152</v>
      </c>
      <c r="BG61" s="20">
        <f t="shared" si="7"/>
        <v>257.85595699105767</v>
      </c>
      <c r="BH61" s="59">
        <f t="shared" si="8"/>
        <v>517.96906758974615</v>
      </c>
      <c r="BI61" s="59">
        <f ca="1">AVERAGE(OFFSET($BH$3,0,0,'Données projet'!$E$11+1,1))-AVERAGE(OFFSET($H$3,0,0,'Données projet'!$E$11+1,1))</f>
        <v>218.97952644043698</v>
      </c>
      <c r="BJ61" s="59">
        <f t="shared" si="38"/>
        <v>204.10961748628714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3.2021578817032723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3.2021578817032723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4.2</v>
      </c>
      <c r="BY61" s="12">
        <f>IF('Données projet'!$A$114&gt;35,BY60+BX61-CG60,IF(A61&lt;'Données projet'!$A$114,$BV$205^A61,IF(A61='Données projet'!$A$114,'Données projet'!$B$114,BY60+BX61-CG60)))</f>
        <v>151.59999999999991</v>
      </c>
      <c r="BZ61" s="13">
        <f>BY61*VLOOKUP('Données projet'!$B$12,Paramètres!$A$1:$I$89,3,0)*VLOOKUP('Données projet'!$B$12,Paramètres!$A$1:$I$89,5,0)</f>
        <v>122.97791999999993</v>
      </c>
      <c r="CA61" s="13">
        <f t="shared" si="39"/>
        <v>32.36855624133463</v>
      </c>
      <c r="CB61" s="20">
        <f t="shared" si="10"/>
        <v>270.56177945365766</v>
      </c>
      <c r="CC61" s="59">
        <f t="shared" si="11"/>
        <v>530.67489005234609</v>
      </c>
      <c r="CD61" s="59">
        <f ca="1">AVERAGE(OFFSET($CC$3,0,0,'Données projet'!$E$12+1,1))-AVERAGE(OFFSET($H$3,0,0,'Données projet'!$E$12+1,1))</f>
        <v>256.23994291192162</v>
      </c>
      <c r="CE61" s="59">
        <f t="shared" si="40"/>
        <v>207.9118653708222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3.6608022125331798</v>
      </c>
      <c r="CM61" s="21">
        <f>EXP(-LN(2)/2)*CM60+(1-EXP(-LN(2)/2))/(LN(2)/2)*CG61*CJ61*VLOOKUP('Données projet'!$B$12,Paramètres!$A$1:$I$89,3,0)*0.475*44/12</f>
        <v>1.084194535629891</v>
      </c>
      <c r="CN61" s="22">
        <f t="shared" si="12"/>
        <v>4.7449967481630706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4.5999999999999996</v>
      </c>
      <c r="CT61" s="12">
        <f>IF('Données projet'!$A$140&gt;35,CT60+CS61-DB60,IF(A61&lt;'Données projet'!$A$140,$CQ$205^A61,IF(A61='Données projet'!$A$140,'Données projet'!$B$140,CT60+CS61-DB60)))</f>
        <v>155.79999999999987</v>
      </c>
      <c r="CU61" s="17">
        <f>CT61*VLOOKUP('Données projet'!$B$13,Paramètres!$A$1:$I$89,3,0)*VLOOKUP('Données projet'!$B$13,Paramètres!$A$1:$I$89,5,0)</f>
        <v>89.927759999999921</v>
      </c>
      <c r="CV61" s="13">
        <f t="shared" si="41"/>
        <v>24.547801631303862</v>
      </c>
      <c r="CW61" s="20">
        <f t="shared" si="13"/>
        <v>199.37826984118738</v>
      </c>
      <c r="CX61" s="59">
        <f t="shared" si="14"/>
        <v>459.4913804398758</v>
      </c>
      <c r="CY61" s="59">
        <f ca="1">AVERAGE(OFFSET($CX$3,0,0,'Données projet'!$E$13+1,1))-AVERAGE(OFFSET($H$3,0,0,'Données projet'!$E$13+1,1))</f>
        <v>205.74526926885287</v>
      </c>
      <c r="CZ61" s="59">
        <f t="shared" si="42"/>
        <v>201.56217137928999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3.0725633475782161</v>
      </c>
      <c r="DH61" s="21">
        <f>EXP(-LN(2)/2)*DH60+(1-EXP(-LN(2)/2))/(LN(2)/2)*DB61*DE61*VLOOKUP('Données projet'!$B$13,Paramètres!$A$1:$I$89,3,0)*0.475*44/12</f>
        <v>1.2073631436040435</v>
      </c>
      <c r="DI61" s="22">
        <f t="shared" si="15"/>
        <v>4.2799264911822599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6.3942307692307701</v>
      </c>
      <c r="DO61" s="12">
        <f>IF('Données projet'!$A$166&gt;35,DO60+DN61-DW60,IF(A61&lt;'Données projet'!$A$166,$DL$205^A61,IF(A61='Données projet'!$A$166,'Données projet'!$B$166,DO60+DN61-DW60)))</f>
        <v>152.86217948717947</v>
      </c>
      <c r="DP61" s="17">
        <f>DO61*VLOOKUP('Données projet'!$B$14,Paramètres!$A$1:$I$89,3,0)*VLOOKUP('Données projet'!$B$14,Paramètres!$A$1:$I$89,5,0)</f>
        <v>145.46365</v>
      </c>
      <c r="DQ61" s="13">
        <f t="shared" si="43"/>
        <v>37.545848557386066</v>
      </c>
      <c r="DR61" s="20">
        <f t="shared" si="16"/>
        <v>318.74154332078069</v>
      </c>
      <c r="DS61" s="59">
        <f t="shared" si="17"/>
        <v>578.85465391946911</v>
      </c>
      <c r="DT61" s="59">
        <f ca="1">AVERAGE(OFFSET($DS$3,0,0,'Données projet'!$E$14+1,1))-AVERAGE(OFFSET($H$3,0,0,'Données projet'!$E$14+1,1))</f>
        <v>403.89478276355294</v>
      </c>
      <c r="DU61" s="59">
        <f t="shared" si="44"/>
        <v>241.1593989733278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>
        <f>VLOOKUP(A62,'Données projet'!$A$35:$I$55,2,0)</f>
        <v>159.25641025641025</v>
      </c>
      <c r="L62" s="12">
        <f>VLOOKUP(A62,'Données projet'!$A$35:$I$55,9,0)</f>
        <v>6.3942307692307701</v>
      </c>
      <c r="M62" s="12">
        <f t="array" ref="M62">INDEX(L:L,MIN(IF(ISNUMBER(L62:L258),ROW(L62:L258),"")))</f>
        <v>6.3942307692307701</v>
      </c>
      <c r="N62" s="13">
        <f>IF('Données projet'!$A$36&gt;35,N61+M62-V61,IF(A62&lt;'Données projet'!$A$36,$K$205^A62,IF(A62='Données projet'!$A$36,'Données projet'!$B$36,N61+M62-V61)))</f>
        <v>159.25641025641025</v>
      </c>
      <c r="O62" s="13">
        <f>N62*VLOOKUP('Données projet'!$B$9,Paramètres!$A$1:$I$89,3,0)*VLOOKUP('Données projet'!$B$9,Paramètres!$A$1:$I$89,5,0)</f>
        <v>144.09520000000001</v>
      </c>
      <c r="P62" s="13">
        <f t="shared" si="33"/>
        <v>37.23357828719589</v>
      </c>
      <c r="Q62" s="20">
        <f t="shared" si="53"/>
        <v>315.81428885019949</v>
      </c>
      <c r="R62" s="59">
        <f t="shared" si="0"/>
        <v>576.50369604404227</v>
      </c>
      <c r="S62" s="59">
        <f ca="1">AVERAGE(OFFSET($R$3,0,0,'Données projet'!$E$9+1,1))-AVERAGE(OFFSET($H$3,0,0,'Données projet'!$E$9+1,1))</f>
        <v>388.1278150896951</v>
      </c>
      <c r="T62" s="59">
        <f t="shared" si="34"/>
        <v>232.26614607059227</v>
      </c>
      <c r="U62" s="15">
        <f>IF(ISNA(VLOOKUP(A62,'Données projet'!$A$35:$I$55,3,0)),0,VLOOKUP(A62,'Données projet'!$A$35:$I$55,3,0))</f>
        <v>3</v>
      </c>
      <c r="V62" s="15">
        <f>IF(ISNA(VLOOKUP(A62,'Données projet'!$A$35:$I$55,4,0)),0,VLOOKUP(A62,'Données projet'!$A$35:$I$55,4,0))</f>
        <v>38.942307692307693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159.25641025641025</v>
      </c>
      <c r="AG62" s="12">
        <f>VLOOKUP(A62,'Données projet'!$A$61:$I$81,9,0)</f>
        <v>6.3942307692307701</v>
      </c>
      <c r="AH62" s="12">
        <f t="array" ref="AH62">INDEX(AG:AG,MIN(IF(ISNUMBER(AG62:AG258),ROW(AG62:AG258),"")))</f>
        <v>6.3942307692307701</v>
      </c>
      <c r="AI62" s="13">
        <f>IF('Données projet'!$A$62&gt;35,AI61+AH62-AQ61,IF(A62&lt;'Données projet'!$A$62,$AF$205^A62,IF(A62='Données projet'!$A$62,'Données projet'!$B$62,AI61+AH62-AQ61)))</f>
        <v>159.25641025641025</v>
      </c>
      <c r="AJ62" s="13">
        <f>AI62*VLOOKUP('Données projet'!$B$10,Paramètres!$A$1:$I$89,3,0)*VLOOKUP('Données projet'!$B$10,Paramètres!$A$1:$I$89,5,0)</f>
        <v>161.48599999999999</v>
      </c>
      <c r="AK62" s="13">
        <f t="shared" si="35"/>
        <v>41.177506306658742</v>
      </c>
      <c r="AL62" s="20">
        <f t="shared" si="4"/>
        <v>352.97227348409729</v>
      </c>
      <c r="AM62" s="59">
        <f t="shared" si="5"/>
        <v>613.66168067794001</v>
      </c>
      <c r="AN62" s="59">
        <f ca="1">AVERAGE(OFFSET($AM$3,0,0,'Données projet'!$E$10+1,1))-AVERAGE(OFFSET($H$3,0,0,'Données projet'!$E$10+1,1))</f>
        <v>424.89201140676084</v>
      </c>
      <c r="AO62" s="59">
        <f t="shared" si="36"/>
        <v>253.0016648946303</v>
      </c>
      <c r="AP62" s="15">
        <f>IF(ISNA(VLOOKUP(A62,'Données projet'!$A$61:$I$81,3,0)),0,VLOOKUP(A62,'Données projet'!$A$61:$I$81,3,0))</f>
        <v>3</v>
      </c>
      <c r="AQ62" s="15">
        <f>IF(ISNA(VLOOKUP(A62,'Données projet'!$A$61:$I$81,4,0)),0,VLOOKUP(A62,'Données projet'!$A$61:$I$81,4,0))</f>
        <v>38.942307692307693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3</v>
      </c>
      <c r="BD62" s="12">
        <f>IF('Données projet'!$A$88&gt;35,BD61+BC62-BL61,IF(A62&lt;'Données projet'!$A$88,$BA$205^A62,IF(A62='Données projet'!$A$88,'Données projet'!$B$88,BD61+BC62-BL61)))</f>
        <v>136.99999999999997</v>
      </c>
      <c r="BE62" s="13">
        <f>BD62*VLOOKUP('Données projet'!$B$11,Paramètres!$A$1:$I$89,3,0)*VLOOKUP('Données projet'!$B$11,Paramètres!$A$1:$I$89,5,0)</f>
        <v>119.68319999999999</v>
      </c>
      <c r="BF62" s="13">
        <f t="shared" si="37"/>
        <v>31.601099532596166</v>
      </c>
      <c r="BG62" s="20">
        <f t="shared" si="7"/>
        <v>263.48682168593831</v>
      </c>
      <c r="BH62" s="59">
        <f t="shared" si="8"/>
        <v>524.17622887978109</v>
      </c>
      <c r="BI62" s="59">
        <f ca="1">AVERAGE(OFFSET($BH$3,0,0,'Données projet'!$E$11+1,1))-AVERAGE(OFFSET($H$3,0,0,'Données projet'!$E$11+1,1))</f>
        <v>218.97952644043698</v>
      </c>
      <c r="BJ62" s="59">
        <f t="shared" si="38"/>
        <v>204.10961748628714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3.1145947060339321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3.1145947060339321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4.2</v>
      </c>
      <c r="BY62" s="12">
        <f>IF('Données projet'!$A$114&gt;35,BY61+BX62-CG61,IF(A62&lt;'Données projet'!$A$114,$BV$205^A62,IF(A62='Données projet'!$A$114,'Données projet'!$B$114,BY61+BX62-CG61)))</f>
        <v>155.7999999999999</v>
      </c>
      <c r="BZ62" s="13">
        <f>BY62*VLOOKUP('Données projet'!$B$12,Paramètres!$A$1:$I$89,3,0)*VLOOKUP('Données projet'!$B$12,Paramètres!$A$1:$I$89,5,0)</f>
        <v>126.38495999999992</v>
      </c>
      <c r="CA62" s="13">
        <f t="shared" si="39"/>
        <v>33.15966361020606</v>
      </c>
      <c r="CB62" s="20">
        <f t="shared" si="10"/>
        <v>277.8735527877754</v>
      </c>
      <c r="CC62" s="59">
        <f t="shared" si="11"/>
        <v>538.56295998161818</v>
      </c>
      <c r="CD62" s="59">
        <f ca="1">AVERAGE(OFFSET($CC$3,0,0,'Données projet'!$E$12+1,1))-AVERAGE(OFFSET($H$3,0,0,'Données projet'!$E$12+1,1))</f>
        <v>256.23994291192162</v>
      </c>
      <c r="CE62" s="59">
        <f t="shared" si="40"/>
        <v>207.9118653708222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3.5606973835182387</v>
      </c>
      <c r="CM62" s="21">
        <f>EXP(-LN(2)/2)*CM61+(1-EXP(-LN(2)/2))/(LN(2)/2)*CG62*CJ62*VLOOKUP('Données projet'!$B$12,Paramètres!$A$1:$I$89,3,0)*0.475*44/12</f>
        <v>0.76664130826929588</v>
      </c>
      <c r="CN62" s="22">
        <f t="shared" si="12"/>
        <v>4.3273386917875349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4.5999999999999996</v>
      </c>
      <c r="CT62" s="12">
        <f>IF('Données projet'!$A$140&gt;35,CT61+CS62-DB61,IF(A62&lt;'Données projet'!$A$140,$CQ$205^A62,IF(A62='Données projet'!$A$140,'Données projet'!$B$140,CT61+CS62-DB61)))</f>
        <v>160.39999999999986</v>
      </c>
      <c r="CU62" s="17">
        <f>CT62*VLOOKUP('Données projet'!$B$13,Paramètres!$A$1:$I$89,3,0)*VLOOKUP('Données projet'!$B$13,Paramètres!$A$1:$I$89,5,0)</f>
        <v>92.582879999999918</v>
      </c>
      <c r="CV62" s="13">
        <f t="shared" si="41"/>
        <v>25.187123946308041</v>
      </c>
      <c r="CW62" s="20">
        <f t="shared" si="13"/>
        <v>205.11609020648632</v>
      </c>
      <c r="CX62" s="59">
        <f t="shared" si="14"/>
        <v>465.8054974003291</v>
      </c>
      <c r="CY62" s="59">
        <f ca="1">AVERAGE(OFFSET($CX$3,0,0,'Données projet'!$E$13+1,1))-AVERAGE(OFFSET($H$3,0,0,'Données projet'!$E$13+1,1))</f>
        <v>205.74526926885287</v>
      </c>
      <c r="CZ62" s="59">
        <f t="shared" si="42"/>
        <v>201.56217137928999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2.9885439412596058</v>
      </c>
      <c r="DH62" s="21">
        <f>EXP(-LN(2)/2)*DH61+(1-EXP(-LN(2)/2))/(LN(2)/2)*DB62*DE62*VLOOKUP('Données projet'!$B$13,Paramètres!$A$1:$I$89,3,0)*0.475*44/12</f>
        <v>0.85373466619712657</v>
      </c>
      <c r="DI62" s="22">
        <f t="shared" si="15"/>
        <v>3.8422786074567323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>
        <f>VLOOKUP(A62,'Données projet'!$A$165:$I$185,2,0)</f>
        <v>159.25641025641025</v>
      </c>
      <c r="DM62" s="12">
        <f>VLOOKUP(A62,'Données projet'!$A$165:$I$185,9,0)</f>
        <v>6.3942307692307701</v>
      </c>
      <c r="DN62" s="12">
        <f t="array" ref="DN62">INDEX(DM:DM,MIN(IF(ISNUMBER(DM62:DM258),ROW(DM62:DM258),"")))</f>
        <v>6.3942307692307701</v>
      </c>
      <c r="DO62" s="12">
        <f>IF('Données projet'!$A$166&gt;35,DO61+DN62-DW61,IF(A62&lt;'Données projet'!$A$166,$DL$205^A62,IF(A62='Données projet'!$A$166,'Données projet'!$B$166,DO61+DN62-DW61)))</f>
        <v>159.25641025641025</v>
      </c>
      <c r="DP62" s="17">
        <f>DO62*VLOOKUP('Données projet'!$B$14,Paramètres!$A$1:$I$89,3,0)*VLOOKUP('Données projet'!$B$14,Paramètres!$A$1:$I$89,5,0)</f>
        <v>151.54839999999999</v>
      </c>
      <c r="DQ62" s="13">
        <f t="shared" si="43"/>
        <v>38.930254482891996</v>
      </c>
      <c r="DR62" s="20">
        <f t="shared" si="16"/>
        <v>331.75032322437022</v>
      </c>
      <c r="DS62" s="59">
        <f t="shared" si="17"/>
        <v>592.439730418213</v>
      </c>
      <c r="DT62" s="59">
        <f ca="1">AVERAGE(OFFSET($DS$3,0,0,'Données projet'!$E$14+1,1))-AVERAGE(OFFSET($H$3,0,0,'Données projet'!$E$14+1,1))</f>
        <v>403.89478276355294</v>
      </c>
      <c r="DU62" s="59">
        <f t="shared" si="44"/>
        <v>241.1593989733278</v>
      </c>
      <c r="DV62" s="15">
        <f>IF(ISNA(VLOOKUP(A62,'Données projet'!$A$165:$I$185,3,0)),0,VLOOKUP(A62,'Données projet'!$A$165:$I$185,3,0))</f>
        <v>3</v>
      </c>
      <c r="DW62" s="15">
        <f>IF(ISNA(VLOOKUP(A62,'Données projet'!$A$165:$I$185,4,0)),0,VLOOKUP(A62,'Données projet'!$A$165:$I$185,4,0))</f>
        <v>38.942307692307693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5.9431089743589762</v>
      </c>
      <c r="N63" s="13">
        <f>IF('Données projet'!$A$36&gt;35,N62+M63-V62,IF(A63&lt;'Données projet'!$A$36,$K$205^A63,IF(A63='Données projet'!$A$36,'Données projet'!$B$36,N62+M63-V62)))</f>
        <v>126.25721153846153</v>
      </c>
      <c r="O63" s="13">
        <f>N63*VLOOKUP('Données projet'!$B$9,Paramètres!$A$1:$I$89,3,0)*VLOOKUP('Données projet'!$B$9,Paramètres!$A$1:$I$89,5,0)</f>
        <v>114.23752499999999</v>
      </c>
      <c r="P63" s="13">
        <f t="shared" si="33"/>
        <v>30.327171529636239</v>
      </c>
      <c r="Q63" s="20">
        <f t="shared" si="53"/>
        <v>251.78351312244976</v>
      </c>
      <c r="R63" s="59">
        <f t="shared" si="0"/>
        <v>513.03921945392722</v>
      </c>
      <c r="S63" s="59">
        <f ca="1">AVERAGE(OFFSET($R$3,0,0,'Données projet'!$E$9+1,1))-AVERAGE(OFFSET($H$3,0,0,'Données projet'!$E$9+1,1))</f>
        <v>388.1278150896951</v>
      </c>
      <c r="T63" s="59">
        <f t="shared" si="34"/>
        <v>232.26614607059227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5.9431089743589762</v>
      </c>
      <c r="AI63" s="13">
        <f>IF('Données projet'!$A$62&gt;35,AI62+AH63-AQ62,IF(A63&lt;'Données projet'!$A$62,$AF$205^A63,IF(A63='Données projet'!$A$62,'Données projet'!$B$62,AI62+AH63-AQ62)))</f>
        <v>126.25721153846153</v>
      </c>
      <c r="AJ63" s="13">
        <f>AI63*VLOOKUP('Données projet'!$B$10,Paramètres!$A$1:$I$89,3,0)*VLOOKUP('Données projet'!$B$10,Paramètres!$A$1:$I$89,5,0)</f>
        <v>128.0248125</v>
      </c>
      <c r="AK63" s="13">
        <f t="shared" si="35"/>
        <v>33.539545602958114</v>
      </c>
      <c r="AL63" s="20">
        <f t="shared" si="4"/>
        <v>281.39125702931875</v>
      </c>
      <c r="AM63" s="59">
        <f t="shared" si="5"/>
        <v>542.64696336079624</v>
      </c>
      <c r="AN63" s="59">
        <f ca="1">AVERAGE(OFFSET($AM$3,0,0,'Données projet'!$E$10+1,1))-AVERAGE(OFFSET($H$3,0,0,'Données projet'!$E$10+1,1))</f>
        <v>424.89201140676084</v>
      </c>
      <c r="AO63" s="59">
        <f t="shared" si="36"/>
        <v>253.0016648946303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140</v>
      </c>
      <c r="BB63" s="12">
        <f>VLOOKUP(A63,'Données projet'!$A$87:$I$107,9,0)</f>
        <v>3</v>
      </c>
      <c r="BC63" s="12">
        <f t="array" ref="BC63">INDEX(BB:BB,MIN(IF(ISNUMBER(BB63:BB259),ROW(BB63:BB259),"")))</f>
        <v>3</v>
      </c>
      <c r="BD63" s="12">
        <f>IF('Données projet'!$A$88&gt;35,BD62+BC63-BL62,IF(A63&lt;'Données projet'!$A$88,$BA$205^A63,IF(A63='Données projet'!$A$88,'Données projet'!$B$88,BD62+BC63-BL62)))</f>
        <v>139.99999999999997</v>
      </c>
      <c r="BE63" s="13">
        <f>BD63*VLOOKUP('Données projet'!$B$11,Paramètres!$A$1:$I$89,3,0)*VLOOKUP('Données projet'!$B$11,Paramètres!$A$1:$I$89,5,0)</f>
        <v>122.30399999999999</v>
      </c>
      <c r="BF63" s="13">
        <f t="shared" si="37"/>
        <v>32.211773226559373</v>
      </c>
      <c r="BG63" s="20">
        <f t="shared" si="7"/>
        <v>269.11497170292421</v>
      </c>
      <c r="BH63" s="59">
        <f t="shared" si="8"/>
        <v>530.37067803440164</v>
      </c>
      <c r="BI63" s="59">
        <f ca="1">AVERAGE(OFFSET($BH$3,0,0,'Données projet'!$E$11+1,1))-AVERAGE(OFFSET($H$3,0,0,'Données projet'!$E$11+1,1))</f>
        <v>218.97952644043698</v>
      </c>
      <c r="BJ63" s="59">
        <f t="shared" si="38"/>
        <v>204.10961748628714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0.22790000000000002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4.5640031550413189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4.5640031550413189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160</v>
      </c>
      <c r="BW63" s="12">
        <f>VLOOKUP(A63,'Données projet'!$A$113:$I$133,9,0)</f>
        <v>4.2</v>
      </c>
      <c r="BX63" s="12">
        <f t="array" ref="BX63">INDEX(BW:BW,MIN(IF(ISNUMBER(BW63:BW259),ROW(BW63:BW259),"")))</f>
        <v>4.2</v>
      </c>
      <c r="BY63" s="12">
        <f>IF('Données projet'!$A$114&gt;35,BY62+BX63-CG62,IF(A63&lt;'Données projet'!$A$114,$BV$205^A63,IF(A63='Données projet'!$A$114,'Données projet'!$B$114,BY62+BX63-CG62)))</f>
        <v>159.99999999999989</v>
      </c>
      <c r="BZ63" s="13">
        <f>BY63*VLOOKUP('Données projet'!$B$12,Paramètres!$A$1:$I$89,3,0)*VLOOKUP('Données projet'!$B$12,Paramètres!$A$1:$I$89,5,0)</f>
        <v>129.79199999999992</v>
      </c>
      <c r="CA63" s="13">
        <f t="shared" si="39"/>
        <v>33.948292161114985</v>
      </c>
      <c r="CB63" s="20">
        <f t="shared" si="10"/>
        <v>285.18100884727511</v>
      </c>
      <c r="CC63" s="59">
        <f t="shared" si="11"/>
        <v>546.43671517875259</v>
      </c>
      <c r="CD63" s="59">
        <f ca="1">AVERAGE(OFFSET($CC$3,0,0,'Données projet'!$E$12+1,1))-AVERAGE(OFFSET($H$3,0,0,'Données projet'!$E$12+1,1))</f>
        <v>256.23994291192162</v>
      </c>
      <c r="CE63" s="59">
        <f t="shared" si="40"/>
        <v>207.9118653708222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11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0.129</v>
      </c>
      <c r="CJ63" s="16">
        <f>IF(ISNA(VLOOKUP(A63,'Données projet'!$A$113:$I$133,7,0)),0%,VLOOKUP(A63,'Données projet'!$A$113:$I$133,7,0))</f>
        <v>0.3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4.7308186074091907</v>
      </c>
      <c r="CM63" s="21">
        <f>EXP(-LN(2)/2)*CM62+(1-EXP(-LN(2)/2))/(LN(2)/2)*CG63*CJ63*VLOOKUP('Données projet'!$B$12,Paramètres!$A$1:$I$89,3,0)*0.475*44/12</f>
        <v>3.0678810771369855</v>
      </c>
      <c r="CN63" s="22">
        <f t="shared" si="12"/>
        <v>7.7986996845461762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165</v>
      </c>
      <c r="CR63" s="12">
        <f>VLOOKUP(A63,'Données projet'!$A$139:$I$159,9,0)</f>
        <v>4.5999999999999996</v>
      </c>
      <c r="CS63" s="12">
        <f t="array" ref="CS63">INDEX(CR:CR,MIN(IF(ISNUMBER(CR63:CR259),ROW(CR63:CR259),"")))</f>
        <v>4.5999999999999996</v>
      </c>
      <c r="CT63" s="12">
        <f>IF('Données projet'!$A$140&gt;35,CT62+CS63-DB62,IF(A63&lt;'Données projet'!$A$140,$CQ$205^A63,IF(A63='Données projet'!$A$140,'Données projet'!$B$140,CT62+CS63-DB62)))</f>
        <v>164.99999999999986</v>
      </c>
      <c r="CU63" s="17">
        <f>CT63*VLOOKUP('Données projet'!$B$13,Paramètres!$A$1:$I$89,3,0)*VLOOKUP('Données projet'!$B$13,Paramètres!$A$1:$I$89,5,0)</f>
        <v>95.237999999999914</v>
      </c>
      <c r="CV63" s="13">
        <f t="shared" si="41"/>
        <v>25.824315354051119</v>
      </c>
      <c r="CW63" s="20">
        <f t="shared" si="13"/>
        <v>210.85019924163888</v>
      </c>
      <c r="CX63" s="59">
        <f t="shared" si="14"/>
        <v>472.10590557311639</v>
      </c>
      <c r="CY63" s="59">
        <f ca="1">AVERAGE(OFFSET($CX$3,0,0,'Données projet'!$E$13+1,1))-AVERAGE(OFFSET($H$3,0,0,'Données projet'!$E$13+1,1))</f>
        <v>205.74526926885287</v>
      </c>
      <c r="CZ63" s="59">
        <f t="shared" si="42"/>
        <v>201.56217137928999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17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0.129</v>
      </c>
      <c r="DE63" s="16">
        <f>IF(ISNA(VLOOKUP(A63,'Données projet'!$A$139:$I$159,7,0)),0%,VLOOKUP(A63,'Données projet'!$A$139:$I$159,7,0))</f>
        <v>0.3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4.3006164213660591</v>
      </c>
      <c r="DH63" s="21">
        <f>EXP(-LN(2)/2)*DH62+(1-EXP(-LN(2)/2))/(LN(2)/2)*DB63*DE63*VLOOKUP('Données projet'!$B$13,Paramètres!$A$1:$I$89,3,0)*0.475*44/12</f>
        <v>3.3811606208641947</v>
      </c>
      <c r="DI63" s="22">
        <f t="shared" si="15"/>
        <v>7.6817770422302534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5.9431089743589762</v>
      </c>
      <c r="DO63" s="12">
        <f>IF('Données projet'!$A$166&gt;35,DO62+DN63-DW62,IF(A63&lt;'Données projet'!$A$166,$DL$205^A63,IF(A63='Données projet'!$A$166,'Données projet'!$B$166,DO62+DN63-DW62)))</f>
        <v>126.25721153846153</v>
      </c>
      <c r="DP63" s="17">
        <f>DO63*VLOOKUP('Données projet'!$B$14,Paramètres!$A$1:$I$89,3,0)*VLOOKUP('Données projet'!$B$14,Paramètres!$A$1:$I$89,5,0)</f>
        <v>120.1463625</v>
      </c>
      <c r="DQ63" s="13">
        <f t="shared" si="43"/>
        <v>31.709133521584306</v>
      </c>
      <c r="DR63" s="20">
        <f t="shared" si="16"/>
        <v>264.48165557092597</v>
      </c>
      <c r="DS63" s="59">
        <f t="shared" si="17"/>
        <v>525.73736190240345</v>
      </c>
      <c r="DT63" s="59">
        <f ca="1">AVERAGE(OFFSET($DS$3,0,0,'Données projet'!$E$14+1,1))-AVERAGE(OFFSET($H$3,0,0,'Données projet'!$E$14+1,1))</f>
        <v>403.89478276355294</v>
      </c>
      <c r="DU63" s="59">
        <f t="shared" si="44"/>
        <v>241.1593989733278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5.9431089743589762</v>
      </c>
      <c r="N64" s="13">
        <f>IF('Données projet'!$A$36&gt;35,N63+M64-V63,IF(A64&lt;'Données projet'!$A$36,$K$205^A64,IF(A64='Données projet'!$A$36,'Données projet'!$B$36,N63+M64-V63)))</f>
        <v>132.2003205128205</v>
      </c>
      <c r="O64" s="13">
        <f>N64*VLOOKUP('Données projet'!$B$9,Paramètres!$A$1:$I$89,3,0)*VLOOKUP('Données projet'!$B$9,Paramètres!$A$1:$I$89,5,0)</f>
        <v>119.61484999999999</v>
      </c>
      <c r="P64" s="13">
        <f t="shared" si="33"/>
        <v>31.585152581402479</v>
      </c>
      <c r="Q64" s="20">
        <f t="shared" si="53"/>
        <v>263.34000449594265</v>
      </c>
      <c r="R64" s="59">
        <f t="shared" si="0"/>
        <v>525.15218594107205</v>
      </c>
      <c r="S64" s="59">
        <f ca="1">AVERAGE(OFFSET($R$3,0,0,'Données projet'!$E$9+1,1))-AVERAGE(OFFSET($H$3,0,0,'Données projet'!$E$9+1,1))</f>
        <v>388.1278150896951</v>
      </c>
      <c r="T64" s="59">
        <f t="shared" si="34"/>
        <v>232.26614607059227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5.9431089743589762</v>
      </c>
      <c r="AI64" s="13">
        <f>IF('Données projet'!$A$62&gt;35,AI63+AH64-AQ63,IF(A64&lt;'Données projet'!$A$62,$AF$205^A64,IF(A64='Données projet'!$A$62,'Données projet'!$B$62,AI63+AH64-AQ63)))</f>
        <v>132.2003205128205</v>
      </c>
      <c r="AJ64" s="13">
        <f>AI64*VLOOKUP('Données projet'!$B$10,Paramètres!$A$1:$I$89,3,0)*VLOOKUP('Données projet'!$B$10,Paramètres!$A$1:$I$89,5,0)</f>
        <v>134.05112499999998</v>
      </c>
      <c r="AK64" s="13">
        <f t="shared" si="35"/>
        <v>34.930776988059094</v>
      </c>
      <c r="AL64" s="20">
        <f t="shared" si="4"/>
        <v>294.31014596253618</v>
      </c>
      <c r="AM64" s="59">
        <f t="shared" si="5"/>
        <v>556.12232740766558</v>
      </c>
      <c r="AN64" s="59">
        <f ca="1">AVERAGE(OFFSET($AM$3,0,0,'Données projet'!$E$10+1,1))-AVERAGE(OFFSET($H$3,0,0,'Données projet'!$E$10+1,1))</f>
        <v>424.89201140676084</v>
      </c>
      <c r="AO64" s="59">
        <f t="shared" si="36"/>
        <v>253.0016648946303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2.6</v>
      </c>
      <c r="BD64" s="12">
        <f>IF('Données projet'!$A$88&gt;35,BD63+BC64-BL63,IF(A64&lt;'Données projet'!$A$88,$BA$205^A64,IF(A64='Données projet'!$A$88,'Données projet'!$B$88,BD63+BC64-BL63)))</f>
        <v>135.59999999999997</v>
      </c>
      <c r="BE64" s="13">
        <f>BD64*VLOOKUP('Données projet'!$B$11,Paramètres!$A$1:$I$89,3,0)*VLOOKUP('Données projet'!$B$11,Paramètres!$A$1:$I$89,5,0)</f>
        <v>118.46015999999999</v>
      </c>
      <c r="BF64" s="13">
        <f t="shared" si="37"/>
        <v>31.315587396029674</v>
      </c>
      <c r="BG64" s="20">
        <f t="shared" si="7"/>
        <v>260.85942671475163</v>
      </c>
      <c r="BH64" s="59">
        <f t="shared" si="8"/>
        <v>522.67160815988098</v>
      </c>
      <c r="BI64" s="59">
        <f ca="1">AVERAGE(OFFSET($BH$3,0,0,'Données projet'!$E$11+1,1))-AVERAGE(OFFSET($H$3,0,0,'Données projet'!$E$11+1,1))</f>
        <v>218.97952644043698</v>
      </c>
      <c r="BJ64" s="59">
        <f t="shared" si="38"/>
        <v>204.10961748628714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4.4392002487562197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4.4392002487562197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</v>
      </c>
      <c r="BY64" s="12">
        <f>IF('Données projet'!$A$114&gt;35,BY63+BX64-CG63,IF(A64&lt;'Données projet'!$A$114,$BV$205^A64,IF(A64='Données projet'!$A$114,'Données projet'!$B$114,BY63+BX64-CG63)))</f>
        <v>152.99999999999989</v>
      </c>
      <c r="BZ64" s="13">
        <f>BY64*VLOOKUP('Données projet'!$B$12,Paramètres!$A$1:$I$89,3,0)*VLOOKUP('Données projet'!$B$12,Paramètres!$A$1:$I$89,5,0)</f>
        <v>124.11359999999992</v>
      </c>
      <c r="CA64" s="13">
        <f t="shared" si="39"/>
        <v>32.632538771598028</v>
      </c>
      <c r="CB64" s="20">
        <f t="shared" si="10"/>
        <v>272.99952502719975</v>
      </c>
      <c r="CC64" s="59">
        <f t="shared" si="11"/>
        <v>534.81170647232909</v>
      </c>
      <c r="CD64" s="59">
        <f ca="1">AVERAGE(OFFSET($CC$3,0,0,'Données projet'!$E$12+1,1))-AVERAGE(OFFSET($H$3,0,0,'Données projet'!$E$12+1,1))</f>
        <v>256.23994291192162</v>
      </c>
      <c r="CE64" s="59">
        <f t="shared" si="40"/>
        <v>207.9118653708222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4.601454123806648</v>
      </c>
      <c r="CM64" s="21">
        <f>EXP(-LN(2)/2)*CM63+(1-EXP(-LN(2)/2))/(LN(2)/2)*CG64*CJ64*VLOOKUP('Données projet'!$B$12,Paramètres!$A$1:$I$89,3,0)*0.475*44/12</f>
        <v>2.1693195135174523</v>
      </c>
      <c r="CN64" s="22">
        <f t="shared" si="12"/>
        <v>6.7707736373241003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4.2</v>
      </c>
      <c r="CT64" s="12">
        <f>IF('Données projet'!$A$140&gt;35,CT63+CS64-DB63,IF(A64&lt;'Données projet'!$A$140,$CQ$205^A64,IF(A64='Données projet'!$A$140,'Données projet'!$B$140,CT63+CS64-DB63)))</f>
        <v>152.19999999999985</v>
      </c>
      <c r="CU64" s="17">
        <f>CT64*VLOOKUP('Données projet'!$B$13,Paramètres!$A$1:$I$89,3,0)*VLOOKUP('Données projet'!$B$13,Paramètres!$A$1:$I$89,5,0)</f>
        <v>87.849839999999915</v>
      </c>
      <c r="CV64" s="13">
        <f t="shared" si="41"/>
        <v>24.045930650644138</v>
      </c>
      <c r="CW64" s="20">
        <f t="shared" si="13"/>
        <v>194.88513388320507</v>
      </c>
      <c r="CX64" s="59">
        <f t="shared" si="14"/>
        <v>456.69731532833441</v>
      </c>
      <c r="CY64" s="59">
        <f ca="1">AVERAGE(OFFSET($CX$3,0,0,'Données projet'!$E$13+1,1))-AVERAGE(OFFSET($H$3,0,0,'Données projet'!$E$13+1,1))</f>
        <v>205.74526926885287</v>
      </c>
      <c r="CZ64" s="59">
        <f t="shared" si="42"/>
        <v>201.56217137928999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4.1830158391642156</v>
      </c>
      <c r="DH64" s="21">
        <f>EXP(-LN(2)/2)*DH63+(1-EXP(-LN(2)/2))/(LN(2)/2)*DB64*DE64*VLOOKUP('Données projet'!$B$13,Paramètres!$A$1:$I$89,3,0)*0.475*44/12</f>
        <v>2.3908416032939894</v>
      </c>
      <c r="DI64" s="22">
        <f t="shared" si="15"/>
        <v>6.5738574424582055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5.9431089743589762</v>
      </c>
      <c r="DO64" s="12">
        <f>IF('Données projet'!$A$166&gt;35,DO63+DN64-DW63,IF(A64&lt;'Données projet'!$A$166,$DL$205^A64,IF(A64='Données projet'!$A$166,'Données projet'!$B$166,DO63+DN64-DW63)))</f>
        <v>132.2003205128205</v>
      </c>
      <c r="DP64" s="17">
        <f>DO64*VLOOKUP('Données projet'!$B$14,Paramètres!$A$1:$I$89,3,0)*VLOOKUP('Données projet'!$B$14,Paramètres!$A$1:$I$89,5,0)</f>
        <v>125.80182499999999</v>
      </c>
      <c r="DQ64" s="13">
        <f t="shared" si="43"/>
        <v>33.024438811399982</v>
      </c>
      <c r="DR64" s="20">
        <f t="shared" si="16"/>
        <v>276.62240947152162</v>
      </c>
      <c r="DS64" s="59">
        <f t="shared" si="17"/>
        <v>538.4345909166509</v>
      </c>
      <c r="DT64" s="59">
        <f ca="1">AVERAGE(OFFSET($DS$3,0,0,'Données projet'!$E$14+1,1))-AVERAGE(OFFSET($H$3,0,0,'Données projet'!$E$14+1,1))</f>
        <v>403.89478276355294</v>
      </c>
      <c r="DU64" s="59">
        <f t="shared" si="44"/>
        <v>241.1593989733278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5.9431089743589762</v>
      </c>
      <c r="N65" s="13">
        <f>IF('Données projet'!$A$36&gt;35,N64+M65-V64,IF(A65&lt;'Données projet'!$A$36,$K$205^A65,IF(A65='Données projet'!$A$36,'Données projet'!$B$36,N64+M65-V64)))</f>
        <v>138.14342948717947</v>
      </c>
      <c r="O65" s="13">
        <f>N65*VLOOKUP('Données projet'!$B$9,Paramètres!$A$1:$I$89,3,0)*VLOOKUP('Données projet'!$B$9,Paramètres!$A$1:$I$89,5,0)</f>
        <v>124.99217499999997</v>
      </c>
      <c r="P65" s="13">
        <f t="shared" si="33"/>
        <v>32.836565726562206</v>
      </c>
      <c r="Q65" s="20">
        <f t="shared" si="53"/>
        <v>274.88505676542917</v>
      </c>
      <c r="R65" s="59">
        <f t="shared" si="0"/>
        <v>537.24405972508043</v>
      </c>
      <c r="S65" s="59">
        <f ca="1">AVERAGE(OFFSET($R$3,0,0,'Données projet'!$E$9+1,1))-AVERAGE(OFFSET($H$3,0,0,'Données projet'!$E$9+1,1))</f>
        <v>388.1278150896951</v>
      </c>
      <c r="T65" s="59">
        <f t="shared" si="34"/>
        <v>232.26614607059227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5.9431089743589762</v>
      </c>
      <c r="AI65" s="13">
        <f>IF('Données projet'!$A$62&gt;35,AI64+AH65-AQ64,IF(A65&lt;'Données projet'!$A$62,$AF$205^A65,IF(A65='Données projet'!$A$62,'Données projet'!$B$62,AI64+AH65-AQ64)))</f>
        <v>138.14342948717947</v>
      </c>
      <c r="AJ65" s="13">
        <f>AI65*VLOOKUP('Données projet'!$B$10,Paramètres!$A$1:$I$89,3,0)*VLOOKUP('Données projet'!$B$10,Paramètres!$A$1:$I$89,5,0)</f>
        <v>140.0774375</v>
      </c>
      <c r="AK65" s="13">
        <f t="shared" si="35"/>
        <v>36.314744767883546</v>
      </c>
      <c r="AL65" s="20">
        <f t="shared" si="4"/>
        <v>307.2163841165638</v>
      </c>
      <c r="AM65" s="59">
        <f t="shared" si="5"/>
        <v>569.57538707621507</v>
      </c>
      <c r="AN65" s="59">
        <f ca="1">AVERAGE(OFFSET($AM$3,0,0,'Données projet'!$E$10+1,1))-AVERAGE(OFFSET($H$3,0,0,'Données projet'!$E$10+1,1))</f>
        <v>424.89201140676084</v>
      </c>
      <c r="AO65" s="59">
        <f t="shared" si="36"/>
        <v>253.0016648946303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2.6</v>
      </c>
      <c r="BD65" s="12">
        <f>IF('Données projet'!$A$88&gt;35,BD64+BC65-BL64,IF(A65&lt;'Données projet'!$A$88,$BA$205^A65,IF(A65='Données projet'!$A$88,'Données projet'!$B$88,BD64+BC65-BL64)))</f>
        <v>138.19999999999996</v>
      </c>
      <c r="BE65" s="13">
        <f>BD65*VLOOKUP('Données projet'!$B$11,Paramètres!$A$1:$I$89,3,0)*VLOOKUP('Données projet'!$B$11,Paramètres!$A$1:$I$89,5,0)</f>
        <v>120.73151999999997</v>
      </c>
      <c r="BF65" s="13">
        <f t="shared" si="37"/>
        <v>31.845553926050336</v>
      </c>
      <c r="BG65" s="20">
        <f t="shared" si="7"/>
        <v>265.73840375453761</v>
      </c>
      <c r="BH65" s="59">
        <f t="shared" si="8"/>
        <v>528.09740671418899</v>
      </c>
      <c r="BI65" s="59">
        <f ca="1">AVERAGE(OFFSET($BH$3,0,0,'Données projet'!$E$11+1,1))-AVERAGE(OFFSET($H$3,0,0,'Données projet'!$E$11+1,1))</f>
        <v>218.97952644043698</v>
      </c>
      <c r="BJ65" s="59">
        <f t="shared" si="38"/>
        <v>204.10961748628714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4.3178100845065854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4.3178100845065854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</v>
      </c>
      <c r="BY65" s="12">
        <f>IF('Données projet'!$A$114&gt;35,BY64+BX65-CG64,IF(A65&lt;'Données projet'!$A$114,$BV$205^A65,IF(A65='Données projet'!$A$114,'Données projet'!$B$114,BY64+BX65-CG64)))</f>
        <v>156.99999999999989</v>
      </c>
      <c r="BZ65" s="13">
        <f>BY65*VLOOKUP('Données projet'!$B$12,Paramètres!$A$1:$I$89,3,0)*VLOOKUP('Données projet'!$B$12,Paramètres!$A$1:$I$89,5,0)</f>
        <v>127.35839999999992</v>
      </c>
      <c r="CA65" s="13">
        <f t="shared" si="39"/>
        <v>33.385235744403289</v>
      </c>
      <c r="CB65" s="20">
        <f t="shared" si="10"/>
        <v>279.9618322548356</v>
      </c>
      <c r="CC65" s="59">
        <f t="shared" si="11"/>
        <v>542.32083521448692</v>
      </c>
      <c r="CD65" s="59">
        <f ca="1">AVERAGE(OFFSET($CC$3,0,0,'Données projet'!$E$12+1,1))-AVERAGE(OFFSET($H$3,0,0,'Données projet'!$E$12+1,1))</f>
        <v>256.23994291192162</v>
      </c>
      <c r="CE65" s="59">
        <f t="shared" si="40"/>
        <v>207.9118653708222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4.4756271188111993</v>
      </c>
      <c r="CM65" s="21">
        <f>EXP(-LN(2)/2)*CM64+(1-EXP(-LN(2)/2))/(LN(2)/2)*CG65*CJ65*VLOOKUP('Données projet'!$B$12,Paramètres!$A$1:$I$89,3,0)*0.475*44/12</f>
        <v>1.533940538568493</v>
      </c>
      <c r="CN65" s="22">
        <f t="shared" si="12"/>
        <v>6.0095676573796926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4.2</v>
      </c>
      <c r="CT65" s="12">
        <f>IF('Données projet'!$A$140&gt;35,CT64+CS65-DB64,IF(A65&lt;'Données projet'!$A$140,$CQ$205^A65,IF(A65='Données projet'!$A$140,'Données projet'!$B$140,CT64+CS65-DB64)))</f>
        <v>156.39999999999984</v>
      </c>
      <c r="CU65" s="17">
        <f>CT65*VLOOKUP('Données projet'!$B$13,Paramètres!$A$1:$I$89,3,0)*VLOOKUP('Données projet'!$B$13,Paramètres!$A$1:$I$89,5,0)</f>
        <v>90.274079999999913</v>
      </c>
      <c r="CV65" s="13">
        <f t="shared" si="41"/>
        <v>24.631314787609384</v>
      </c>
      <c r="CW65" s="20">
        <f t="shared" si="13"/>
        <v>200.12689592175283</v>
      </c>
      <c r="CX65" s="59">
        <f t="shared" si="14"/>
        <v>462.48589888140418</v>
      </c>
      <c r="CY65" s="59">
        <f ca="1">AVERAGE(OFFSET($CX$3,0,0,'Données projet'!$E$13+1,1))-AVERAGE(OFFSET($H$3,0,0,'Données projet'!$E$13+1,1))</f>
        <v>205.74526926885287</v>
      </c>
      <c r="CZ65" s="59">
        <f t="shared" si="42"/>
        <v>201.56217137928999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4.0686310510670278</v>
      </c>
      <c r="DH65" s="21">
        <f>EXP(-LN(2)/2)*DH64+(1-EXP(-LN(2)/2))/(LN(2)/2)*DB65*DE65*VLOOKUP('Données projet'!$B$13,Paramètres!$A$1:$I$89,3,0)*0.475*44/12</f>
        <v>1.6905803104320976</v>
      </c>
      <c r="DI65" s="22">
        <f t="shared" si="15"/>
        <v>5.7592113614991254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5.9431089743589762</v>
      </c>
      <c r="DO65" s="12">
        <f>IF('Données projet'!$A$166&gt;35,DO64+DN65-DW64,IF(A65&lt;'Données projet'!$A$166,$DL$205^A65,IF(A65='Données projet'!$A$166,'Données projet'!$B$166,DO64+DN65-DW64)))</f>
        <v>138.14342948717947</v>
      </c>
      <c r="DP65" s="17">
        <f>DO65*VLOOKUP('Données projet'!$B$14,Paramètres!$A$1:$I$89,3,0)*VLOOKUP('Données projet'!$B$14,Paramètres!$A$1:$I$89,5,0)</f>
        <v>131.45728750000001</v>
      </c>
      <c r="DQ65" s="13">
        <f t="shared" si="43"/>
        <v>34.332876905330316</v>
      </c>
      <c r="DR65" s="20">
        <f t="shared" si="16"/>
        <v>288.75120300595034</v>
      </c>
      <c r="DS65" s="59">
        <f t="shared" si="17"/>
        <v>551.11020596560161</v>
      </c>
      <c r="DT65" s="59">
        <f ca="1">AVERAGE(OFFSET($DS$3,0,0,'Données projet'!$E$14+1,1))-AVERAGE(OFFSET($H$3,0,0,'Données projet'!$E$14+1,1))</f>
        <v>403.89478276355294</v>
      </c>
      <c r="DU65" s="59">
        <f t="shared" si="44"/>
        <v>241.1593989733278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5.9431089743589762</v>
      </c>
      <c r="N66" s="13">
        <f>IF('Données projet'!$A$36&gt;35,N65+M66-V65,IF(A66&lt;'Données projet'!$A$36,$K$205^A66,IF(A66='Données projet'!$A$36,'Données projet'!$B$36,N65+M66-V65)))</f>
        <v>144.08653846153845</v>
      </c>
      <c r="O66" s="13">
        <f>N66*VLOOKUP('Données projet'!$B$9,Paramètres!$A$1:$I$89,3,0)*VLOOKUP('Données projet'!$B$9,Paramètres!$A$1:$I$89,5,0)</f>
        <v>130.36949999999999</v>
      </c>
      <c r="P66" s="13">
        <f t="shared" si="33"/>
        <v>34.081725824623319</v>
      </c>
      <c r="Q66" s="20">
        <f t="shared" si="53"/>
        <v>286.41921831121891</v>
      </c>
      <c r="R66" s="59">
        <f t="shared" si="0"/>
        <v>549.31555665462497</v>
      </c>
      <c r="S66" s="59">
        <f ca="1">AVERAGE(OFFSET($R$3,0,0,'Données projet'!$E$9+1,1))-AVERAGE(OFFSET($H$3,0,0,'Données projet'!$E$9+1,1))</f>
        <v>388.1278150896951</v>
      </c>
      <c r="T66" s="59">
        <f t="shared" si="34"/>
        <v>232.26614607059227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5.9431089743589762</v>
      </c>
      <c r="AI66" s="13">
        <f>IF('Données projet'!$A$62&gt;35,AI65+AH66-AQ65,IF(A66&lt;'Données projet'!$A$62,$AF$205^A66,IF(A66='Données projet'!$A$62,'Données projet'!$B$62,AI65+AH66-AQ65)))</f>
        <v>144.08653846153845</v>
      </c>
      <c r="AJ66" s="13">
        <f>AI66*VLOOKUP('Données projet'!$B$10,Paramètres!$A$1:$I$89,3,0)*VLOOKUP('Données projet'!$B$10,Paramètres!$A$1:$I$89,5,0)</f>
        <v>146.10374999999999</v>
      </c>
      <c r="AK66" s="13">
        <f t="shared" si="35"/>
        <v>37.691797153104957</v>
      </c>
      <c r="AL66" s="20">
        <f t="shared" si="4"/>
        <v>320.11057795832443</v>
      </c>
      <c r="AM66" s="59">
        <f t="shared" si="5"/>
        <v>583.0069163017306</v>
      </c>
      <c r="AN66" s="59">
        <f ca="1">AVERAGE(OFFSET($AM$3,0,0,'Données projet'!$E$10+1,1))-AVERAGE(OFFSET($H$3,0,0,'Données projet'!$E$10+1,1))</f>
        <v>424.89201140676084</v>
      </c>
      <c r="AO66" s="59">
        <f t="shared" si="36"/>
        <v>253.0016648946303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2.6</v>
      </c>
      <c r="BD66" s="12">
        <f>IF('Données projet'!$A$88&gt;35,BD65+BC66-BL65,IF(A66&lt;'Données projet'!$A$88,$BA$205^A66,IF(A66='Données projet'!$A$88,'Données projet'!$B$88,BD65+BC66-BL65)))</f>
        <v>140.79999999999995</v>
      </c>
      <c r="BE66" s="13">
        <f>BD66*VLOOKUP('Données projet'!$B$11,Paramètres!$A$1:$I$89,3,0)*VLOOKUP('Données projet'!$B$11,Paramètres!$A$1:$I$89,5,0)</f>
        <v>123.00287999999998</v>
      </c>
      <c r="BF66" s="13">
        <f t="shared" si="37"/>
        <v>32.374361095906167</v>
      </c>
      <c r="BG66" s="20">
        <f t="shared" si="7"/>
        <v>270.61536157536983</v>
      </c>
      <c r="BH66" s="59">
        <f t="shared" si="8"/>
        <v>533.511699918776</v>
      </c>
      <c r="BI66" s="59">
        <f ca="1">AVERAGE(OFFSET($BH$3,0,0,'Données projet'!$E$11+1,1))-AVERAGE(OFFSET($H$3,0,0,'Données projet'!$E$11+1,1))</f>
        <v>218.97952644043698</v>
      </c>
      <c r="BJ66" s="59">
        <f t="shared" si="38"/>
        <v>204.10961748628714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4.1997393406819894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4.1997393406819894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</v>
      </c>
      <c r="BY66" s="12">
        <f>IF('Données projet'!$A$114&gt;35,BY65+BX66-CG65,IF(A66&lt;'Données projet'!$A$114,$BV$205^A66,IF(A66='Données projet'!$A$114,'Données projet'!$B$114,BY65+BX66-CG65)))</f>
        <v>160.99999999999989</v>
      </c>
      <c r="BZ66" s="13">
        <f>BY66*VLOOKUP('Données projet'!$B$12,Paramètres!$A$1:$I$89,3,0)*VLOOKUP('Données projet'!$B$12,Paramètres!$A$1:$I$89,5,0)</f>
        <v>130.6031999999999</v>
      </c>
      <c r="CA66" s="13">
        <f t="shared" si="39"/>
        <v>34.135703567016392</v>
      </c>
      <c r="CB66" s="20">
        <f t="shared" si="10"/>
        <v>286.92025704588667</v>
      </c>
      <c r="CC66" s="59">
        <f t="shared" si="11"/>
        <v>549.81659538929284</v>
      </c>
      <c r="CD66" s="59">
        <f ca="1">AVERAGE(OFFSET($CC$3,0,0,'Données projet'!$E$12+1,1))-AVERAGE(OFFSET($H$3,0,0,'Données projet'!$E$12+1,1))</f>
        <v>256.23994291192162</v>
      </c>
      <c r="CE66" s="59">
        <f t="shared" si="40"/>
        <v>207.9118653708222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4.3532408598843064</v>
      </c>
      <c r="CM66" s="21">
        <f>EXP(-LN(2)/2)*CM65+(1-EXP(-LN(2)/2))/(LN(2)/2)*CG66*CJ66*VLOOKUP('Données projet'!$B$12,Paramètres!$A$1:$I$89,3,0)*0.475*44/12</f>
        <v>1.0846597567587264</v>
      </c>
      <c r="CN66" s="22">
        <f t="shared" si="12"/>
        <v>5.4379006166430326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4.2</v>
      </c>
      <c r="CT66" s="12">
        <f>IF('Données projet'!$A$140&gt;35,CT65+CS66-DB65,IF(A66&lt;'Données projet'!$A$140,$CQ$205^A66,IF(A66='Données projet'!$A$140,'Données projet'!$B$140,CT65+CS66-DB65)))</f>
        <v>160.59999999999982</v>
      </c>
      <c r="CU66" s="17">
        <f>CT66*VLOOKUP('Données projet'!$B$13,Paramètres!$A$1:$I$89,3,0)*VLOOKUP('Données projet'!$B$13,Paramètres!$A$1:$I$89,5,0)</f>
        <v>92.698319999999896</v>
      </c>
      <c r="CV66" s="13">
        <f t="shared" si="41"/>
        <v>25.214871737366973</v>
      </c>
      <c r="CW66" s="20">
        <f t="shared" si="13"/>
        <v>205.36547560924728</v>
      </c>
      <c r="CX66" s="59">
        <f t="shared" si="14"/>
        <v>468.26181395265337</v>
      </c>
      <c r="CY66" s="59">
        <f ca="1">AVERAGE(OFFSET($CX$3,0,0,'Données projet'!$E$13+1,1))-AVERAGE(OFFSET($H$3,0,0,'Données projet'!$E$13+1,1))</f>
        <v>205.74526926885287</v>
      </c>
      <c r="CZ66" s="59">
        <f t="shared" si="42"/>
        <v>201.56217137928999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3.9573741210155919</v>
      </c>
      <c r="DH66" s="21">
        <f>EXP(-LN(2)/2)*DH65+(1-EXP(-LN(2)/2))/(LN(2)/2)*DB66*DE66*VLOOKUP('Données projet'!$B$13,Paramètres!$A$1:$I$89,3,0)*0.475*44/12</f>
        <v>1.1954208016469949</v>
      </c>
      <c r="DI66" s="22">
        <f t="shared" si="15"/>
        <v>5.1527949226625864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5.9431089743589762</v>
      </c>
      <c r="DO66" s="12">
        <f>IF('Données projet'!$A$166&gt;35,DO65+DN66-DW65,IF(A66&lt;'Données projet'!$A$166,$DL$205^A66,IF(A66='Données projet'!$A$166,'Données projet'!$B$166,DO65+DN66-DW65)))</f>
        <v>144.08653846153845</v>
      </c>
      <c r="DP66" s="17">
        <f>DO66*VLOOKUP('Données projet'!$B$14,Paramètres!$A$1:$I$89,3,0)*VLOOKUP('Données projet'!$B$14,Paramètres!$A$1:$I$89,5,0)</f>
        <v>137.11275000000001</v>
      </c>
      <c r="DQ66" s="13">
        <f t="shared" si="43"/>
        <v>35.634777010540766</v>
      </c>
      <c r="DR66" s="20">
        <f t="shared" si="16"/>
        <v>300.86860954335856</v>
      </c>
      <c r="DS66" s="59">
        <f t="shared" si="17"/>
        <v>563.76494788676473</v>
      </c>
      <c r="DT66" s="59">
        <f ca="1">AVERAGE(OFFSET($DS$3,0,0,'Données projet'!$E$14+1,1))-AVERAGE(OFFSET($H$3,0,0,'Données projet'!$E$14+1,1))</f>
        <v>403.89478276355294</v>
      </c>
      <c r="DU66" s="59">
        <f t="shared" si="44"/>
        <v>241.1593989733278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5.9431089743589762</v>
      </c>
      <c r="N67" s="13">
        <f>IF('Données projet'!$A$36&gt;35,N66+M67-V66,IF(A67&lt;'Données projet'!$A$36,$K$205^A67,IF(A67='Données projet'!$A$36,'Données projet'!$B$36,N66+M67-V66)))</f>
        <v>150.02964743589743</v>
      </c>
      <c r="O67" s="13">
        <f>N67*VLOOKUP('Données projet'!$B$9,Paramètres!$A$1:$I$89,3,0)*VLOOKUP('Données projet'!$B$9,Paramètres!$A$1:$I$89,5,0)</f>
        <v>135.746825</v>
      </c>
      <c r="P67" s="13">
        <f t="shared" si="33"/>
        <v>35.320920291530086</v>
      </c>
      <c r="Q67" s="20">
        <f t="shared" ref="Q67:Q98" si="54">(O67+P67)*0.475*44/12</f>
        <v>297.94298971608151</v>
      </c>
      <c r="R67" s="59">
        <f t="shared" ref="R67:R130" si="55">Q67+(I67+J67)*44/12</f>
        <v>561.36734187563627</v>
      </c>
      <c r="S67" s="59">
        <f ca="1">AVERAGE(OFFSET($R$3,0,0,'Données projet'!$E$9+1,1))-AVERAGE(OFFSET($H$3,0,0,'Données projet'!$E$9+1,1))</f>
        <v>388.1278150896951</v>
      </c>
      <c r="T67" s="59">
        <f t="shared" si="34"/>
        <v>232.26614607059227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5.9431089743589762</v>
      </c>
      <c r="AI67" s="13">
        <f>IF('Données projet'!$A$62&gt;35,AI66+AH67-AQ66,IF(A67&lt;'Données projet'!$A$62,$AF$205^A67,IF(A67='Données projet'!$A$62,'Données projet'!$B$62,AI66+AH67-AQ66)))</f>
        <v>150.02964743589743</v>
      </c>
      <c r="AJ67" s="13">
        <f>AI67*VLOOKUP('Données projet'!$B$10,Paramètres!$A$1:$I$89,3,0)*VLOOKUP('Données projet'!$B$10,Paramètres!$A$1:$I$89,5,0)</f>
        <v>152.13006250000001</v>
      </c>
      <c r="AK67" s="13">
        <f t="shared" si="35"/>
        <v>39.06225200390233</v>
      </c>
      <c r="AL67" s="20">
        <f t="shared" si="4"/>
        <v>332.99328109429655</v>
      </c>
      <c r="AM67" s="59">
        <f t="shared" si="5"/>
        <v>596.41763325385136</v>
      </c>
      <c r="AN67" s="59">
        <f ca="1">AVERAGE(OFFSET($AM$3,0,0,'Données projet'!$E$10+1,1))-AVERAGE(OFFSET($H$3,0,0,'Données projet'!$E$10+1,1))</f>
        <v>424.89201140676084</v>
      </c>
      <c r="AO67" s="59">
        <f t="shared" si="36"/>
        <v>253.0016648946303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2.6</v>
      </c>
      <c r="BD67" s="12">
        <f>IF('Données projet'!$A$88&gt;35,BD66+BC67-BL66,IF(A67&lt;'Données projet'!$A$88,$BA$205^A67,IF(A67='Données projet'!$A$88,'Données projet'!$B$88,BD66+BC67-BL66)))</f>
        <v>143.39999999999995</v>
      </c>
      <c r="BE67" s="13">
        <f>BD67*VLOOKUP('Données projet'!$B$11,Paramètres!$A$1:$I$89,3,0)*VLOOKUP('Données projet'!$B$11,Paramètres!$A$1:$I$89,5,0)</f>
        <v>125.27423999999996</v>
      </c>
      <c r="BF67" s="13">
        <f t="shared" si="37"/>
        <v>32.902032783270997</v>
      </c>
      <c r="BG67" s="20">
        <f t="shared" si="7"/>
        <v>275.49034176419696</v>
      </c>
      <c r="BH67" s="59">
        <f t="shared" si="8"/>
        <v>538.91469392375166</v>
      </c>
      <c r="BI67" s="59">
        <f ca="1">AVERAGE(OFFSET($BH$3,0,0,'Données projet'!$E$11+1,1))-AVERAGE(OFFSET($H$3,0,0,'Données projet'!$E$11+1,1))</f>
        <v>218.97952644043698</v>
      </c>
      <c r="BJ67" s="59">
        <f t="shared" si="38"/>
        <v>204.10961748628714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4.0848972475563468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4.0848972475563468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</v>
      </c>
      <c r="BY67" s="12">
        <f>IF('Données projet'!$A$114&gt;35,BY66+BX67-CG66,IF(A67&lt;'Données projet'!$A$114,$BV$205^A67,IF(A67='Données projet'!$A$114,'Données projet'!$B$114,BY66+BX67-CG66)))</f>
        <v>164.99999999999989</v>
      </c>
      <c r="BZ67" s="13">
        <f>BY67*VLOOKUP('Données projet'!$B$12,Paramètres!$A$1:$I$89,3,0)*VLOOKUP('Données projet'!$B$12,Paramètres!$A$1:$I$89,5,0)</f>
        <v>133.8479999999999</v>
      </c>
      <c r="CA67" s="13">
        <f t="shared" si="39"/>
        <v>34.884003992121656</v>
      </c>
      <c r="CB67" s="20">
        <f t="shared" si="10"/>
        <v>293.87490695294497</v>
      </c>
      <c r="CC67" s="59">
        <f t="shared" si="11"/>
        <v>557.29925911249973</v>
      </c>
      <c r="CD67" s="59">
        <f ca="1">AVERAGE(OFFSET($CC$3,0,0,'Données projet'!$E$12+1,1))-AVERAGE(OFFSET($H$3,0,0,'Données projet'!$E$12+1,1))</f>
        <v>256.23994291192162</v>
      </c>
      <c r="CE67" s="59">
        <f t="shared" si="40"/>
        <v>207.9118653708222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4.2342012596437826</v>
      </c>
      <c r="CM67" s="21">
        <f>EXP(-LN(2)/2)*CM66+(1-EXP(-LN(2)/2))/(LN(2)/2)*CG67*CJ67*VLOOKUP('Données projet'!$B$12,Paramètres!$A$1:$I$89,3,0)*0.475*44/12</f>
        <v>0.76697026928424661</v>
      </c>
      <c r="CN67" s="22">
        <f t="shared" si="12"/>
        <v>5.0011715289280296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4.2</v>
      </c>
      <c r="CT67" s="12">
        <f>IF('Données projet'!$A$140&gt;35,CT66+CS67-DB66,IF(A67&lt;'Données projet'!$A$140,$CQ$205^A67,IF(A67='Données projet'!$A$140,'Données projet'!$B$140,CT66+CS67-DB66)))</f>
        <v>164.79999999999981</v>
      </c>
      <c r="CU67" s="17">
        <f>CT67*VLOOKUP('Données projet'!$B$13,Paramètres!$A$1:$I$89,3,0)*VLOOKUP('Données projet'!$B$13,Paramètres!$A$1:$I$89,5,0)</f>
        <v>95.122559999999893</v>
      </c>
      <c r="CV67" s="13">
        <f t="shared" si="41"/>
        <v>25.796654777681006</v>
      </c>
      <c r="CW67" s="20">
        <f t="shared" si="13"/>
        <v>210.60096573779424</v>
      </c>
      <c r="CX67" s="59">
        <f t="shared" si="14"/>
        <v>474.025317897349</v>
      </c>
      <c r="CY67" s="59">
        <f ca="1">AVERAGE(OFFSET($CX$3,0,0,'Données projet'!$E$13+1,1))-AVERAGE(OFFSET($H$3,0,0,'Données projet'!$E$13+1,1))</f>
        <v>205.74526926885287</v>
      </c>
      <c r="CZ67" s="59">
        <f t="shared" si="42"/>
        <v>201.56217137928999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3.8491595175671605</v>
      </c>
      <c r="DH67" s="21">
        <f>EXP(-LN(2)/2)*DH66+(1-EXP(-LN(2)/2))/(LN(2)/2)*DB67*DE67*VLOOKUP('Données projet'!$B$13,Paramètres!$A$1:$I$89,3,0)*0.475*44/12</f>
        <v>0.84529015521604889</v>
      </c>
      <c r="DI67" s="22">
        <f t="shared" si="15"/>
        <v>4.6944496727832092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5.9431089743589762</v>
      </c>
      <c r="DO67" s="12">
        <f>IF('Données projet'!$A$166&gt;35,DO66+DN67-DW66,IF(A67&lt;'Données projet'!$A$166,$DL$205^A67,IF(A67='Données projet'!$A$166,'Données projet'!$B$166,DO66+DN67-DW66)))</f>
        <v>150.02964743589743</v>
      </c>
      <c r="DP67" s="17">
        <f>DO67*VLOOKUP('Données projet'!$B$14,Paramètres!$A$1:$I$89,3,0)*VLOOKUP('Données projet'!$B$14,Paramètres!$A$1:$I$89,5,0)</f>
        <v>142.7682125</v>
      </c>
      <c r="DQ67" s="13">
        <f t="shared" si="43"/>
        <v>36.93043964007272</v>
      </c>
      <c r="DR67" s="20">
        <f t="shared" si="16"/>
        <v>312.97515247729331</v>
      </c>
      <c r="DS67" s="59">
        <f t="shared" si="17"/>
        <v>576.39950463684806</v>
      </c>
      <c r="DT67" s="59">
        <f ca="1">AVERAGE(OFFSET($DS$3,0,0,'Données projet'!$E$14+1,1))-AVERAGE(OFFSET($H$3,0,0,'Données projet'!$E$14+1,1))</f>
        <v>403.89478276355294</v>
      </c>
      <c r="DU67" s="59">
        <f t="shared" si="44"/>
        <v>241.1593989733278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5.9431089743589762</v>
      </c>
      <c r="N68" s="13">
        <f>IF('Données projet'!$A$36&gt;35,N67+M68-V67,IF(A68&lt;'Données projet'!$A$36,$K$205^A68,IF(A68='Données projet'!$A$36,'Données projet'!$B$36,N67+M68-V67)))</f>
        <v>155.97275641025641</v>
      </c>
      <c r="O68" s="13">
        <f>N68*VLOOKUP('Données projet'!$B$9,Paramètres!$A$1:$I$89,3,0)*VLOOKUP('Données projet'!$B$9,Paramètres!$A$1:$I$89,5,0)</f>
        <v>141.12414999999999</v>
      </c>
      <c r="P68" s="13">
        <f t="shared" si="33"/>
        <v>36.554412483418083</v>
      </c>
      <c r="Q68" s="20">
        <f t="shared" si="54"/>
        <v>309.45682965861977</v>
      </c>
      <c r="R68" s="59">
        <f t="shared" si="55"/>
        <v>573.40003577507491</v>
      </c>
      <c r="S68" s="59">
        <f ca="1">AVERAGE(OFFSET($R$3,0,0,'Données projet'!$E$9+1,1))-AVERAGE(OFFSET($H$3,0,0,'Données projet'!$E$9+1,1))</f>
        <v>388.1278150896951</v>
      </c>
      <c r="T68" s="59">
        <f t="shared" si="34"/>
        <v>232.26614607059227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5.9431089743589762</v>
      </c>
      <c r="AI68" s="13">
        <f>IF('Données projet'!$A$62&gt;35,AI67+AH68-AQ67,IF(A68&lt;'Données projet'!$A$62,$AF$205^A68,IF(A68='Données projet'!$A$62,'Données projet'!$B$62,AI67+AH68-AQ67)))</f>
        <v>155.97275641025641</v>
      </c>
      <c r="AJ68" s="13">
        <f>AI68*VLOOKUP('Données projet'!$B$10,Paramètres!$A$1:$I$89,3,0)*VLOOKUP('Données projet'!$B$10,Paramètres!$A$1:$I$89,5,0)</f>
        <v>158.15637500000003</v>
      </c>
      <c r="AK68" s="13">
        <f t="shared" si="35"/>
        <v>40.426400572135641</v>
      </c>
      <c r="AL68" s="20">
        <f t="shared" ref="AL68:AL131" si="58">(AJ68+AK68)*0.475*44/12</f>
        <v>345.86500078813629</v>
      </c>
      <c r="AM68" s="59">
        <f t="shared" ref="AM68:AM131" si="59">AL68+(AD68+AE68)*44/12</f>
        <v>609.80820690459154</v>
      </c>
      <c r="AN68" s="59">
        <f ca="1">AVERAGE(OFFSET($AM$3,0,0,'Données projet'!$E$10+1,1))-AVERAGE(OFFSET($H$3,0,0,'Données projet'!$E$10+1,1))</f>
        <v>424.89201140676084</v>
      </c>
      <c r="AO68" s="59">
        <f t="shared" si="36"/>
        <v>253.0016648946303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146</v>
      </c>
      <c r="BB68" s="12">
        <f>VLOOKUP(A68,'Données projet'!$A$87:$I$107,9,0)</f>
        <v>2.6</v>
      </c>
      <c r="BC68" s="12">
        <f t="array" ref="BC68">INDEX(BB:BB,MIN(IF(ISNUMBER(BB68:BB264),ROW(BB68:BB264),"")))</f>
        <v>2.6</v>
      </c>
      <c r="BD68" s="12">
        <f>IF('Données projet'!$A$88&gt;35,BD67+BC68-BL67,IF(A68&lt;'Données projet'!$A$88,$BA$205^A68,IF(A68='Données projet'!$A$88,'Données projet'!$B$88,BD67+BC68-BL67)))</f>
        <v>145.99999999999994</v>
      </c>
      <c r="BE68" s="13">
        <f>BD68*VLOOKUP('Données projet'!$B$11,Paramètres!$A$1:$I$89,3,0)*VLOOKUP('Données projet'!$B$11,Paramètres!$A$1:$I$89,5,0)</f>
        <v>127.54559999999996</v>
      </c>
      <c r="BF68" s="13">
        <f t="shared" si="37"/>
        <v>33.428591950384806</v>
      </c>
      <c r="BG68" s="20">
        <f t="shared" ref="BG68:BG131" si="61">(BE68+BF68)*0.475*44/12</f>
        <v>280.36338431358683</v>
      </c>
      <c r="BH68" s="59">
        <f t="shared" ref="BH68:BH131" si="62">BG68+(AY68+AZ68)*44/12</f>
        <v>544.30659043004198</v>
      </c>
      <c r="BI68" s="59">
        <f ca="1">AVERAGE(OFFSET($BH$3,0,0,'Données projet'!$E$11+1,1))-AVERAGE(OFFSET($H$3,0,0,'Données projet'!$E$11+1,1))</f>
        <v>218.97952644043698</v>
      </c>
      <c r="BJ68" s="59">
        <f t="shared" si="38"/>
        <v>204.10961748628714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6</v>
      </c>
      <c r="BM68" s="16">
        <f>IF(ISNA(VLOOKUP(A68,'Données projet'!$A$87:$I$107,5,0)),0%,VLOOKUP(A68,'Données projet'!$A$87:$I$107,5,0)*VLOOKUP('Données projet'!$B$11,Paramètres!$A$1:$I$89,7,0))</f>
        <v>9.0100000000000013E-2</v>
      </c>
      <c r="BN68" s="16">
        <f>IF(ISNA(VLOOKUP(A68,'Données projet'!$A$87:$I$107,6,0)),0%,VLOOKUP(A68,'Données projet'!$A$87:$I$107,6,0)*VLOOKUP('Données projet'!$B$11,Paramètres!$A$1:$I$89,7,0))</f>
        <v>0.17490000000000003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0.52207846207652819</v>
      </c>
      <c r="BQ68" s="21">
        <f>EXP(-LN(2)/25)*BQ67+(1-EXP(-LN(2)/25))/(LN(2)/25)*Calculateur!BL68*Calculateur!BN68*VLOOKUP('Données projet'!$B$11,Paramètres!$A$1:$I$89,3,0)*0.475*44/12</f>
        <v>4.9826516191563215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5.5047300812328501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169</v>
      </c>
      <c r="BW68" s="12">
        <f>VLOOKUP(A68,'Données projet'!$A$113:$I$133,9,0)</f>
        <v>4</v>
      </c>
      <c r="BX68" s="12">
        <f t="array" ref="BX68">INDEX(BW:BW,MIN(IF(ISNUMBER(BW68:BW264),ROW(BW68:BW264),"")))</f>
        <v>4</v>
      </c>
      <c r="BY68" s="12">
        <f>IF('Données projet'!$A$114&gt;35,BY67+BX68-CG67,IF(A68&lt;'Données projet'!$A$114,$BV$205^A68,IF(A68='Données projet'!$A$114,'Données projet'!$B$114,BY67+BX68-CG67)))</f>
        <v>168.99999999999989</v>
      </c>
      <c r="BZ68" s="13">
        <f>BY68*VLOOKUP('Données projet'!$B$12,Paramètres!$A$1:$I$89,3,0)*VLOOKUP('Données projet'!$B$12,Paramètres!$A$1:$I$89,5,0)</f>
        <v>137.0927999999999</v>
      </c>
      <c r="CA68" s="13">
        <f t="shared" si="39"/>
        <v>35.630195607611036</v>
      </c>
      <c r="CB68" s="20">
        <f t="shared" ref="CB68:CB131" si="64">(BZ68+CA68)*0.475*44/12</f>
        <v>300.82588401658904</v>
      </c>
      <c r="CC68" s="59">
        <f t="shared" ref="CC68:CC131" si="65">CB68+(BT68+BU68)*44/12</f>
        <v>564.7690901330443</v>
      </c>
      <c r="CD68" s="59">
        <f ca="1">AVERAGE(OFFSET($CC$3,0,0,'Données projet'!$E$12+1,1))-AVERAGE(OFFSET($H$3,0,0,'Données projet'!$E$12+1,1))</f>
        <v>256.23994291192162</v>
      </c>
      <c r="CE68" s="59">
        <f t="shared" si="40"/>
        <v>207.9118653708222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11</v>
      </c>
      <c r="CH68" s="16">
        <f>IF(ISNA(VLOOKUP(A68,'Données projet'!$A$113:$I$133,5,0)),0%,VLOOKUP(A68,'Données projet'!$A$113:$I$133,5,0)*VLOOKUP('Données projet'!$B$12,Paramètres!$A$1:$I$89,7,0))</f>
        <v>4.3000000000000003E-2</v>
      </c>
      <c r="CI68" s="16">
        <f>IF(ISNA(VLOOKUP(A68,'Données projet'!$A$113:$I$133,6,0)),0%,VLOOKUP(A68,'Données projet'!$A$113:$I$133,6,0)*VLOOKUP('Données projet'!$B$12,Paramètres!$A$1:$I$89,7,0))</f>
        <v>0.17200000000000001</v>
      </c>
      <c r="CJ68" s="16">
        <f>IF(ISNA(VLOOKUP(A68,'Données projet'!$A$113:$I$133,7,0)),0%,VLOOKUP(A68,'Données projet'!$A$113:$I$133,7,0))</f>
        <v>0.3</v>
      </c>
      <c r="CK68" s="21">
        <f>EXP(-LN(2)/35)*CK67+(1-EXP(-LN(2)/35))/(LN(2)/35)*CG68*CH68*VLOOKUP('Données projet'!$B$12,Paramètres!$A$1:$I$89,3,0)*0.475*44/12</f>
        <v>0.42416633149788208</v>
      </c>
      <c r="CL68" s="21">
        <f>EXP(-LN(2)/25)*CL67+(1-EXP(-LN(2)/25))/(LN(2)/25)*Calculateur!CG68*Calculateur!CI68*VLOOKUP('Données projet'!$B$12,Paramètres!$A$1:$I$89,3,0)*0.475*44/12</f>
        <v>5.8084017116547848</v>
      </c>
      <c r="CM68" s="21">
        <f>EXP(-LN(2)/2)*CM67+(1-EXP(-LN(2)/2))/(LN(2)/2)*CG68*CJ68*VLOOKUP('Données projet'!$B$12,Paramètres!$A$1:$I$89,3,0)*0.475*44/12</f>
        <v>3.0681136877014032</v>
      </c>
      <c r="CN68" s="22">
        <f t="shared" ref="CN68:CN131" si="66">SUM(CK68:CM68)</f>
        <v>9.3006817308540697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169</v>
      </c>
      <c r="CR68" s="12">
        <f>VLOOKUP(A68,'Données projet'!$A$139:$I$159,9,0)</f>
        <v>4.2</v>
      </c>
      <c r="CS68" s="12">
        <f t="array" ref="CS68">INDEX(CR:CR,MIN(IF(ISNUMBER(CR68:CR264),ROW(CR68:CR264),"")))</f>
        <v>4.2</v>
      </c>
      <c r="CT68" s="12">
        <f>IF('Données projet'!$A$140&gt;35,CT67+CS68-DB67,IF(A68&lt;'Données projet'!$A$140,$CQ$205^A68,IF(A68='Données projet'!$A$140,'Données projet'!$B$140,CT67+CS68-DB67)))</f>
        <v>168.9999999999998</v>
      </c>
      <c r="CU68" s="17">
        <f>CT68*VLOOKUP('Données projet'!$B$13,Paramètres!$A$1:$I$89,3,0)*VLOOKUP('Données projet'!$B$13,Paramètres!$A$1:$I$89,5,0)</f>
        <v>97.546799999999877</v>
      </c>
      <c r="CV68" s="13">
        <f t="shared" si="41"/>
        <v>26.37671431597359</v>
      </c>
      <c r="CW68" s="20">
        <f t="shared" ref="CW68:CW131" si="67">(CU68+CV68)*0.475*44/12</f>
        <v>215.83345410032044</v>
      </c>
      <c r="CX68" s="59">
        <f t="shared" ref="CX68:CX131" si="68">CW68+(CO68+CP68)*44/12</f>
        <v>479.77666021677567</v>
      </c>
      <c r="CY68" s="59">
        <f ca="1">AVERAGE(OFFSET($CX$3,0,0,'Données projet'!$E$13+1,1))-AVERAGE(OFFSET($H$3,0,0,'Données projet'!$E$13+1,1))</f>
        <v>205.74526926885287</v>
      </c>
      <c r="CZ68" s="59">
        <f t="shared" si="42"/>
        <v>201.56217137928999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16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0.129</v>
      </c>
      <c r="DE68" s="16">
        <f>IF(ISNA(VLOOKUP(A68,'Données projet'!$A$139:$I$159,7,0)),0%,VLOOKUP(A68,'Données projet'!$A$139:$I$159,7,0))</f>
        <v>0.3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5.0557105152851554</v>
      </c>
      <c r="DH68" s="21">
        <f>EXP(-LN(2)/2)*DH67+(1-EXP(-LN(2)/2))/(LN(2)/2)*DB68*DE68*VLOOKUP('Données projet'!$B$13,Paramètres!$A$1:$I$89,3,0)*0.475*44/12</f>
        <v>3.2118083293526007</v>
      </c>
      <c r="DI68" s="22">
        <f t="shared" ref="DI68:DI131" si="69">SUM(DF68:DH68)</f>
        <v>8.2675188446377561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5.9431089743589762</v>
      </c>
      <c r="DO68" s="12">
        <f>IF('Données projet'!$A$166&gt;35,DO67+DN68-DW67,IF(A68&lt;'Données projet'!$A$166,$DL$205^A68,IF(A68='Données projet'!$A$166,'Données projet'!$B$166,DO67+DN68-DW67)))</f>
        <v>155.97275641025641</v>
      </c>
      <c r="DP68" s="17">
        <f>DO68*VLOOKUP('Données projet'!$B$14,Paramètres!$A$1:$I$89,3,0)*VLOOKUP('Données projet'!$B$14,Paramètres!$A$1:$I$89,5,0)</f>
        <v>148.423675</v>
      </c>
      <c r="DQ68" s="13">
        <f t="shared" si="43"/>
        <v>38.220140150790883</v>
      </c>
      <c r="DR68" s="20">
        <f t="shared" ref="DR68:DR131" si="70">(DP68+DQ68)*0.475*44/12</f>
        <v>325.07131138762742</v>
      </c>
      <c r="DS68" s="59">
        <f t="shared" ref="DS68:DS131" si="71">DR68+(DJ68+DK68)*44/12</f>
        <v>589.01451750408262</v>
      </c>
      <c r="DT68" s="59">
        <f ca="1">AVERAGE(OFFSET($DS$3,0,0,'Données projet'!$E$14+1,1))-AVERAGE(OFFSET($H$3,0,0,'Données projet'!$E$14+1,1))</f>
        <v>403.89478276355294</v>
      </c>
      <c r="DU68" s="59">
        <f t="shared" si="44"/>
        <v>241.1593989733278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5.9431089743589762</v>
      </c>
      <c r="N69" s="13">
        <f>IF('Données projet'!$A$36&gt;35,N68+M69-V68,IF(A69&lt;'Données projet'!$A$36,$K$205^A69,IF(A69='Données projet'!$A$36,'Données projet'!$B$36,N68+M69-V68)))</f>
        <v>161.91586538461539</v>
      </c>
      <c r="O69" s="13">
        <f>N69*VLOOKUP('Données projet'!$B$9,Paramètres!$A$1:$I$89,3,0)*VLOOKUP('Données projet'!$B$9,Paramètres!$A$1:$I$89,5,0)</f>
        <v>146.501475</v>
      </c>
      <c r="P69" s="13">
        <f t="shared" ref="P69:P132" si="87">EXP(-1.0587+0.8836*LN(O69)+0.284)</f>
        <v>37.782444550133206</v>
      </c>
      <c r="Q69" s="20">
        <f t="shared" si="54"/>
        <v>320.96115988314858</v>
      </c>
      <c r="R69" s="59">
        <f t="shared" si="55"/>
        <v>585.41421900033561</v>
      </c>
      <c r="S69" s="59">
        <f ca="1">AVERAGE(OFFSET($R$3,0,0,'Données projet'!$E$9+1,1))-AVERAGE(OFFSET($H$3,0,0,'Données projet'!$E$9+1,1))</f>
        <v>388.1278150896951</v>
      </c>
      <c r="T69" s="59">
        <f t="shared" ref="T69:T132" si="88">$T$3</f>
        <v>232.26614607059227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5.9431089743589762</v>
      </c>
      <c r="AI69" s="13">
        <f>IF('Données projet'!$A$62&gt;35,AI68+AH69-AQ68,IF(A69&lt;'Données projet'!$A$62,$AF$205^A69,IF(A69='Données projet'!$A$62,'Données projet'!$B$62,AI68+AH69-AQ68)))</f>
        <v>161.91586538461539</v>
      </c>
      <c r="AJ69" s="13">
        <f>AI69*VLOOKUP('Données projet'!$B$10,Paramètres!$A$1:$I$89,3,0)*VLOOKUP('Données projet'!$B$10,Paramètres!$A$1:$I$89,5,0)</f>
        <v>164.18268750000001</v>
      </c>
      <c r="AK69" s="13">
        <f t="shared" ref="AK69:AK132" si="89">EXP(-1.0587+0.8836*LN(AJ69)+0.284)</f>
        <v>41.784510657121224</v>
      </c>
      <c r="AL69" s="20">
        <f t="shared" si="58"/>
        <v>358.72620345698607</v>
      </c>
      <c r="AM69" s="59">
        <f t="shared" si="59"/>
        <v>623.17926257417321</v>
      </c>
      <c r="AN69" s="59">
        <f ca="1">AVERAGE(OFFSET($AM$3,0,0,'Données projet'!$E$10+1,1))-AVERAGE(OFFSET($H$3,0,0,'Données projet'!$E$10+1,1))</f>
        <v>424.89201140676084</v>
      </c>
      <c r="AO69" s="59">
        <f t="shared" ref="AO69:AO132" si="90">$AO$3</f>
        <v>253.0016648946303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2.2000000000000002</v>
      </c>
      <c r="BD69" s="12">
        <f>IF('Données projet'!$A$88&gt;35,BD68+BC69-BL68,IF(A69&lt;'Données projet'!$A$88,$BA$205^A69,IF(A69='Données projet'!$A$88,'Données projet'!$B$88,BD68+BC69-BL68)))</f>
        <v>142.19999999999993</v>
      </c>
      <c r="BE69" s="13">
        <f>BD69*VLOOKUP('Données projet'!$B$11,Paramètres!$A$1:$I$89,3,0)*VLOOKUP('Données projet'!$B$11,Paramètres!$A$1:$I$89,5,0)</f>
        <v>124.22591999999995</v>
      </c>
      <c r="BF69" s="13">
        <f t="shared" ref="BF69:BF132" si="91">EXP(-1.0587+0.8836*LN(BE69)+0.284)</f>
        <v>32.658631616019996</v>
      </c>
      <c r="BG69" s="20">
        <f t="shared" si="61"/>
        <v>273.24059406456803</v>
      </c>
      <c r="BH69" s="59">
        <f t="shared" si="62"/>
        <v>537.69365318175505</v>
      </c>
      <c r="BI69" s="59">
        <f ca="1">AVERAGE(OFFSET($BH$3,0,0,'Données projet'!$E$11+1,1))-AVERAGE(OFFSET($H$3,0,0,'Données projet'!$E$11+1,1))</f>
        <v>218.97952644043698</v>
      </c>
      <c r="BJ69" s="59">
        <f t="shared" ref="BJ69:BJ132" si="92">$BJ$3</f>
        <v>204.10961748628714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0.51184082187162638</v>
      </c>
      <c r="BQ69" s="21">
        <f>EXP(-LN(2)/25)*BQ68+(1-EXP(-LN(2)/25))/(LN(2)/25)*Calculateur!BL69*Calculateur!BN69*VLOOKUP('Données projet'!$B$11,Paramètres!$A$1:$I$89,3,0)*0.475*44/12</f>
        <v>4.8464007486042311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5.3582415704758573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</v>
      </c>
      <c r="BY69" s="12">
        <f>IF('Données projet'!$A$114&gt;35,BY68+BX69-CG68,IF(A69&lt;'Données projet'!$A$114,$BV$205^A69,IF(A69='Données projet'!$A$114,'Données projet'!$B$114,BY68+BX69-CG68)))</f>
        <v>161.99999999999989</v>
      </c>
      <c r="BZ69" s="13">
        <f>BY69*VLOOKUP('Données projet'!$B$12,Paramètres!$A$1:$I$89,3,0)*VLOOKUP('Données projet'!$B$12,Paramètres!$A$1:$I$89,5,0)</f>
        <v>131.41439999999992</v>
      </c>
      <c r="CA69" s="13">
        <f t="shared" ref="CA69:CA132" si="93">EXP(-1.0587+0.8836*LN(BZ69)+0.284)</f>
        <v>34.322979526010634</v>
      </c>
      <c r="CB69" s="20">
        <f t="shared" si="64"/>
        <v>288.65926934113503</v>
      </c>
      <c r="CC69" s="59">
        <f t="shared" si="65"/>
        <v>553.11232845832205</v>
      </c>
      <c r="CD69" s="59">
        <f ca="1">AVERAGE(OFFSET($CC$3,0,0,'Données projet'!$E$12+1,1))-AVERAGE(OFFSET($H$3,0,0,'Données projet'!$E$12+1,1))</f>
        <v>256.23994291192162</v>
      </c>
      <c r="CE69" s="59">
        <f t="shared" ref="CE69:CE132" si="94">$CE$3</f>
        <v>207.9118653708222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0.41584868845312473</v>
      </c>
      <c r="CL69" s="21">
        <f>EXP(-LN(2)/25)*CL68+(1-EXP(-LN(2)/25))/(LN(2)/25)*Calculateur!CG69*Calculateur!CI69*VLOOKUP('Données projet'!$B$12,Paramètres!$A$1:$I$89,3,0)*0.475*44/12</f>
        <v>5.6495706613990135</v>
      </c>
      <c r="CM69" s="21">
        <f>EXP(-LN(2)/2)*CM68+(1-EXP(-LN(2)/2))/(LN(2)/2)*CG69*CJ69*VLOOKUP('Données projet'!$B$12,Paramètres!$A$1:$I$89,3,0)*0.475*44/12</f>
        <v>2.1694839940249278</v>
      </c>
      <c r="CN69" s="22">
        <f t="shared" si="66"/>
        <v>8.2349033438770665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3.8</v>
      </c>
      <c r="CT69" s="12">
        <f>IF('Données projet'!$A$140&gt;35,CT68+CS69-DB68,IF(A69&lt;'Données projet'!$A$140,$CQ$205^A69,IF(A69='Données projet'!$A$140,'Données projet'!$B$140,CT68+CS69-DB68)))</f>
        <v>156.79999999999981</v>
      </c>
      <c r="CU69" s="17">
        <f>CT69*VLOOKUP('Données projet'!$B$13,Paramètres!$A$1:$I$89,3,0)*VLOOKUP('Données projet'!$B$13,Paramètres!$A$1:$I$89,5,0)</f>
        <v>90.504959999999883</v>
      </c>
      <c r="CV69" s="13">
        <f t="shared" ref="CV69:CV132" si="95">EXP(-1.0587+0.8836*LN(CU69)+0.284)</f>
        <v>24.686969501776428</v>
      </c>
      <c r="CW69" s="20">
        <f t="shared" si="67"/>
        <v>200.62594388226037</v>
      </c>
      <c r="CX69" s="59">
        <f t="shared" si="68"/>
        <v>465.07900299944743</v>
      </c>
      <c r="CY69" s="59">
        <f ca="1">AVERAGE(OFFSET($CX$3,0,0,'Données projet'!$E$13+1,1))-AVERAGE(OFFSET($H$3,0,0,'Données projet'!$E$13+1,1))</f>
        <v>205.74526926885287</v>
      </c>
      <c r="CZ69" s="59">
        <f t="shared" ref="CZ69:CZ132" si="96">$CZ$3</f>
        <v>201.56217137928999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4.9174618453764216</v>
      </c>
      <c r="DH69" s="21">
        <f>EXP(-LN(2)/2)*DH68+(1-EXP(-LN(2)/2))/(LN(2)/2)*DB69*DE69*VLOOKUP('Données projet'!$B$13,Paramètres!$A$1:$I$89,3,0)*0.475*44/12</f>
        <v>2.2710914495566605</v>
      </c>
      <c r="DI69" s="22">
        <f t="shared" si="69"/>
        <v>7.1885532949330821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5.9431089743589762</v>
      </c>
      <c r="DO69" s="12">
        <f>IF('Données projet'!$A$166&gt;35,DO68+DN69-DW68,IF(A69&lt;'Données projet'!$A$166,$DL$205^A69,IF(A69='Données projet'!$A$166,'Données projet'!$B$166,DO68+DN69-DW68)))</f>
        <v>161.91586538461539</v>
      </c>
      <c r="DP69" s="17">
        <f>DO69*VLOOKUP('Données projet'!$B$14,Paramètres!$A$1:$I$89,3,0)*VLOOKUP('Données projet'!$B$14,Paramètres!$A$1:$I$89,5,0)</f>
        <v>154.0791375</v>
      </c>
      <c r="DQ69" s="13">
        <f t="shared" ref="DQ69:DQ132" si="97">EXP(-1.0587+0.8836*LN(DP69)+0.284)</f>
        <v>39.504131726932535</v>
      </c>
      <c r="DR69" s="20">
        <f t="shared" si="70"/>
        <v>337.15752723690747</v>
      </c>
      <c r="DS69" s="59">
        <f t="shared" si="71"/>
        <v>601.61058635409449</v>
      </c>
      <c r="DT69" s="59">
        <f ca="1">AVERAGE(OFFSET($DS$3,0,0,'Données projet'!$E$14+1,1))-AVERAGE(OFFSET($H$3,0,0,'Données projet'!$E$14+1,1))</f>
        <v>403.89478276355294</v>
      </c>
      <c r="DU69" s="59">
        <f t="shared" ref="DU69:DU132" si="98">$DU$3</f>
        <v>241.1593989733278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>
        <f>VLOOKUP(A70,'Données projet'!$A$35:$I$55,2,0)</f>
        <v>167.85897435897436</v>
      </c>
      <c r="L70" s="12">
        <f>VLOOKUP(A70,'Données projet'!$A$35:$I$55,9,0)</f>
        <v>5.9431089743589762</v>
      </c>
      <c r="M70" s="12">
        <f t="array" ref="M70">INDEX(L:L,MIN(IF(ISNUMBER(L70:L266),ROW(L70:L266),"")))</f>
        <v>5.9431089743589762</v>
      </c>
      <c r="N70" s="13">
        <f>IF('Données projet'!$A$36&gt;35,N69+M70-V69,IF(A70&lt;'Données projet'!$A$36,$K$205^A70,IF(A70='Données projet'!$A$36,'Données projet'!$B$36,N69+M70-V69)))</f>
        <v>167.85897435897436</v>
      </c>
      <c r="O70" s="13">
        <f>N70*VLOOKUP('Données projet'!$B$9,Paramètres!$A$1:$I$89,3,0)*VLOOKUP('Données projet'!$B$9,Paramètres!$A$1:$I$89,5,0)</f>
        <v>151.87880000000001</v>
      </c>
      <c r="P70" s="13">
        <f t="shared" si="87"/>
        <v>39.005239858021888</v>
      </c>
      <c r="Q70" s="20">
        <f t="shared" si="54"/>
        <v>332.45636941938818</v>
      </c>
      <c r="R70" s="59">
        <f t="shared" si="55"/>
        <v>597.41043672760509</v>
      </c>
      <c r="S70" s="59">
        <f ca="1">AVERAGE(OFFSET($R$3,0,0,'Données projet'!$E$9+1,1))-AVERAGE(OFFSET($H$3,0,0,'Données projet'!$E$9+1,1))</f>
        <v>388.1278150896951</v>
      </c>
      <c r="T70" s="59">
        <f t="shared" si="88"/>
        <v>232.26614607059227</v>
      </c>
      <c r="U70" s="15">
        <f>IF(ISNA(VLOOKUP(A70,'Données projet'!$A$35:$I$55,3,0)),0,VLOOKUP(A70,'Données projet'!$A$35:$I$55,3,0))</f>
        <v>4</v>
      </c>
      <c r="V70" s="15">
        <f>IF(ISNA(VLOOKUP(A70,'Données projet'!$A$35:$I$55,4,0)),0,VLOOKUP(A70,'Données projet'!$A$35:$I$55,4,0))</f>
        <v>31.993589743589741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167.85897435897436</v>
      </c>
      <c r="AG70" s="12">
        <f>VLOOKUP(A70,'Données projet'!$A$61:$I$81,9,0)</f>
        <v>5.9431089743589762</v>
      </c>
      <c r="AH70" s="12">
        <f t="array" ref="AH70">INDEX(AG:AG,MIN(IF(ISNUMBER(AG70:AG266),ROW(AG70:AG266),"")))</f>
        <v>5.9431089743589762</v>
      </c>
      <c r="AI70" s="13">
        <f>IF('Données projet'!$A$62&gt;35,AI69+AH70-AQ69,IF(A70&lt;'Données projet'!$A$62,$AF$205^A70,IF(A70='Données projet'!$A$62,'Données projet'!$B$62,AI69+AH70-AQ69)))</f>
        <v>167.85897435897436</v>
      </c>
      <c r="AJ70" s="13">
        <f>AI70*VLOOKUP('Données projet'!$B$10,Paramètres!$A$1:$I$89,3,0)*VLOOKUP('Données projet'!$B$10,Paramètres!$A$1:$I$89,5,0)</f>
        <v>170.209</v>
      </c>
      <c r="AK70" s="13">
        <f t="shared" si="89"/>
        <v>43.136829285053246</v>
      </c>
      <c r="AL70" s="20">
        <f t="shared" si="58"/>
        <v>371.57731933813437</v>
      </c>
      <c r="AM70" s="59">
        <f t="shared" si="59"/>
        <v>636.53138664635128</v>
      </c>
      <c r="AN70" s="59">
        <f ca="1">AVERAGE(OFFSET($AM$3,0,0,'Données projet'!$E$10+1,1))-AVERAGE(OFFSET($H$3,0,0,'Données projet'!$E$10+1,1))</f>
        <v>424.89201140676084</v>
      </c>
      <c r="AO70" s="59">
        <f t="shared" si="90"/>
        <v>253.0016648946303</v>
      </c>
      <c r="AP70" s="15">
        <f>IF(ISNA(VLOOKUP(A70,'Données projet'!$A$61:$I$81,3,0)),0,VLOOKUP(A70,'Données projet'!$A$61:$I$81,3,0))</f>
        <v>4</v>
      </c>
      <c r="AQ70" s="15">
        <f>IF(ISNA(VLOOKUP(A70,'Données projet'!$A$61:$I$81,4,0)),0,VLOOKUP(A70,'Données projet'!$A$61:$I$81,4,0))</f>
        <v>31.993589743589741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2.2000000000000002</v>
      </c>
      <c r="BD70" s="12">
        <f>IF('Données projet'!$A$88&gt;35,BD69+BC70-BL69,IF(A70&lt;'Données projet'!$A$88,$BA$205^A70,IF(A70='Données projet'!$A$88,'Données projet'!$B$88,BD69+BC70-BL69)))</f>
        <v>144.39999999999992</v>
      </c>
      <c r="BE70" s="13">
        <f>BD70*VLOOKUP('Données projet'!$B$11,Paramètres!$A$1:$I$89,3,0)*VLOOKUP('Données projet'!$B$11,Paramètres!$A$1:$I$89,5,0)</f>
        <v>126.14783999999995</v>
      </c>
      <c r="BF70" s="13">
        <f t="shared" si="91"/>
        <v>33.104685973525342</v>
      </c>
      <c r="BG70" s="20">
        <f t="shared" si="61"/>
        <v>277.36481607055651</v>
      </c>
      <c r="BH70" s="59">
        <f t="shared" si="62"/>
        <v>542.31888337877342</v>
      </c>
      <c r="BI70" s="59">
        <f ca="1">AVERAGE(OFFSET($BH$3,0,0,'Données projet'!$E$11+1,1))-AVERAGE(OFFSET($H$3,0,0,'Données projet'!$E$11+1,1))</f>
        <v>218.97952644043698</v>
      </c>
      <c r="BJ70" s="59">
        <f t="shared" si="92"/>
        <v>204.10961748628714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0.5018039355467987</v>
      </c>
      <c r="BQ70" s="21">
        <f>EXP(-LN(2)/25)*BQ69+(1-EXP(-LN(2)/25))/(LN(2)/25)*Calculateur!BL70*Calculateur!BN70*VLOOKUP('Données projet'!$B$11,Paramètres!$A$1:$I$89,3,0)*0.475*44/12</f>
        <v>4.7138756652725098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5.2156796008193087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</v>
      </c>
      <c r="BY70" s="12">
        <f>IF('Données projet'!$A$114&gt;35,BY69+BX70-CG69,IF(A70&lt;'Données projet'!$A$114,$BV$205^A70,IF(A70='Données projet'!$A$114,'Données projet'!$B$114,BY69+BX70-CG69)))</f>
        <v>165.99999999999989</v>
      </c>
      <c r="BZ70" s="13">
        <f>BY70*VLOOKUP('Données projet'!$B$12,Paramètres!$A$1:$I$89,3,0)*VLOOKUP('Données projet'!$B$12,Paramètres!$A$1:$I$89,5,0)</f>
        <v>134.65919999999994</v>
      </c>
      <c r="CA70" s="13">
        <f t="shared" si="93"/>
        <v>35.070747374417302</v>
      </c>
      <c r="CB70" s="20">
        <f t="shared" si="64"/>
        <v>295.61299167710996</v>
      </c>
      <c r="CC70" s="59">
        <f t="shared" si="65"/>
        <v>560.56705898532687</v>
      </c>
      <c r="CD70" s="59">
        <f ca="1">AVERAGE(OFFSET($CC$3,0,0,'Données projet'!$E$12+1,1))-AVERAGE(OFFSET($H$3,0,0,'Données projet'!$E$12+1,1))</f>
        <v>256.23994291192162</v>
      </c>
      <c r="CE70" s="59">
        <f t="shared" si="94"/>
        <v>207.9118653708222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0.40769414931521375</v>
      </c>
      <c r="CL70" s="21">
        <f>EXP(-LN(2)/25)*CL69+(1-EXP(-LN(2)/25))/(LN(2)/25)*Calculateur!CG70*Calculateur!CI70*VLOOKUP('Données projet'!$B$12,Paramètres!$A$1:$I$89,3,0)*0.475*44/12</f>
        <v>5.495082854565049</v>
      </c>
      <c r="CM70" s="21">
        <f>EXP(-LN(2)/2)*CM69+(1-EXP(-LN(2)/2))/(LN(2)/2)*CG70*CJ70*VLOOKUP('Données projet'!$B$12,Paramètres!$A$1:$I$89,3,0)*0.475*44/12</f>
        <v>1.5340568438507018</v>
      </c>
      <c r="CN70" s="22">
        <f t="shared" si="66"/>
        <v>7.4368338477309646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3.8</v>
      </c>
      <c r="CT70" s="12">
        <f>IF('Données projet'!$A$140&gt;35,CT69+CS70-DB69,IF(A70&lt;'Données projet'!$A$140,$CQ$205^A70,IF(A70='Données projet'!$A$140,'Données projet'!$B$140,CT69+CS70-DB69)))</f>
        <v>160.59999999999982</v>
      </c>
      <c r="CU70" s="17">
        <f>CT70*VLOOKUP('Données projet'!$B$13,Paramètres!$A$1:$I$89,3,0)*VLOOKUP('Données projet'!$B$13,Paramètres!$A$1:$I$89,5,0)</f>
        <v>92.698319999999896</v>
      </c>
      <c r="CV70" s="13">
        <f t="shared" si="95"/>
        <v>25.214871737366973</v>
      </c>
      <c r="CW70" s="20">
        <f t="shared" si="67"/>
        <v>205.36547560924728</v>
      </c>
      <c r="CX70" s="59">
        <f t="shared" si="68"/>
        <v>470.31954291746422</v>
      </c>
      <c r="CY70" s="59">
        <f ca="1">AVERAGE(OFFSET($CX$3,0,0,'Données projet'!$E$13+1,1))-AVERAGE(OFFSET($H$3,0,0,'Données projet'!$E$13+1,1))</f>
        <v>205.74526926885287</v>
      </c>
      <c r="CZ70" s="59">
        <f t="shared" si="96"/>
        <v>201.56217137928999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4.7829935926165241</v>
      </c>
      <c r="DH70" s="21">
        <f>EXP(-LN(2)/2)*DH69+(1-EXP(-LN(2)/2))/(LN(2)/2)*DB70*DE70*VLOOKUP('Données projet'!$B$13,Paramètres!$A$1:$I$89,3,0)*0.475*44/12</f>
        <v>1.6059041646763008</v>
      </c>
      <c r="DI70" s="22">
        <f t="shared" si="69"/>
        <v>6.3888977572928249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>
        <f>VLOOKUP(A70,'Données projet'!$A$165:$I$185,2,0)</f>
        <v>167.85897435897436</v>
      </c>
      <c r="DM70" s="12">
        <f>VLOOKUP(A70,'Données projet'!$A$165:$I$185,9,0)</f>
        <v>5.9431089743589762</v>
      </c>
      <c r="DN70" s="12">
        <f t="array" ref="DN70">INDEX(DM:DM,MIN(IF(ISNUMBER(DM70:DM266),ROW(DM70:DM266),"")))</f>
        <v>5.9431089743589762</v>
      </c>
      <c r="DO70" s="12">
        <f>IF('Données projet'!$A$166&gt;35,DO69+DN70-DW69,IF(A70&lt;'Données projet'!$A$166,$DL$205^A70,IF(A70='Données projet'!$A$166,'Données projet'!$B$166,DO69+DN70-DW69)))</f>
        <v>167.85897435897436</v>
      </c>
      <c r="DP70" s="17">
        <f>DO70*VLOOKUP('Données projet'!$B$14,Paramètres!$A$1:$I$89,3,0)*VLOOKUP('Données projet'!$B$14,Paramètres!$A$1:$I$89,5,0)</f>
        <v>159.7346</v>
      </c>
      <c r="DQ70" s="13">
        <f t="shared" si="97"/>
        <v>40.782647913300906</v>
      </c>
      <c r="DR70" s="20">
        <f t="shared" si="70"/>
        <v>349.23420678233242</v>
      </c>
      <c r="DS70" s="59">
        <f t="shared" si="71"/>
        <v>614.18827409054938</v>
      </c>
      <c r="DT70" s="59">
        <f ca="1">AVERAGE(OFFSET($DS$3,0,0,'Données projet'!$E$14+1,1))-AVERAGE(OFFSET($H$3,0,0,'Données projet'!$E$14+1,1))</f>
        <v>403.89478276355294</v>
      </c>
      <c r="DU70" s="59">
        <f t="shared" si="98"/>
        <v>241.1593989733278</v>
      </c>
      <c r="DV70" s="15">
        <f>IF(ISNA(VLOOKUP(A70,'Données projet'!$A$165:$I$185,3,0)),0,VLOOKUP(A70,'Données projet'!$A$165:$I$185,3,0))</f>
        <v>4</v>
      </c>
      <c r="DW70" s="15">
        <f>IF(ISNA(VLOOKUP(A70,'Données projet'!$A$165:$I$185,4,0)),0,VLOOKUP(A70,'Données projet'!$A$165:$I$185,4,0))</f>
        <v>31.993589743589741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5.6899038461538431</v>
      </c>
      <c r="N71" s="13">
        <f>IF('Données projet'!$A$36&gt;35,N70+M71-V70,IF(A71&lt;'Données projet'!$A$36,$K$205^A71,IF(A71='Données projet'!$A$36,'Données projet'!$B$36,N70+M71-V70)))</f>
        <v>141.55528846153845</v>
      </c>
      <c r="O71" s="13">
        <f>N71*VLOOKUP('Données projet'!$B$9,Paramètres!$A$1:$I$89,3,0)*VLOOKUP('Données projet'!$B$9,Paramètres!$A$1:$I$89,5,0)</f>
        <v>128.07922499999998</v>
      </c>
      <c r="P71" s="13">
        <f t="shared" si="87"/>
        <v>33.552140849481908</v>
      </c>
      <c r="Q71" s="20">
        <f t="shared" si="54"/>
        <v>281.50796218784762</v>
      </c>
      <c r="R71" s="59">
        <f t="shared" si="55"/>
        <v>546.95434631506646</v>
      </c>
      <c r="S71" s="59">
        <f ca="1">AVERAGE(OFFSET($R$3,0,0,'Données projet'!$E$9+1,1))-AVERAGE(OFFSET($H$3,0,0,'Données projet'!$E$9+1,1))</f>
        <v>388.1278150896951</v>
      </c>
      <c r="T71" s="59">
        <f t="shared" si="88"/>
        <v>232.26614607059227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5.6899038461538431</v>
      </c>
      <c r="AI71" s="13">
        <f>IF('Données projet'!$A$62&gt;35,AI70+AH71-AQ70,IF(A71&lt;'Données projet'!$A$62,$AF$205^A71,IF(A71='Données projet'!$A$62,'Données projet'!$B$62,AI70+AH71-AQ70)))</f>
        <v>141.55528846153845</v>
      </c>
      <c r="AJ71" s="13">
        <f>AI71*VLOOKUP('Données projet'!$B$10,Paramètres!$A$1:$I$89,3,0)*VLOOKUP('Données projet'!$B$10,Paramètres!$A$1:$I$89,5,0)</f>
        <v>143.53706249999999</v>
      </c>
      <c r="AK71" s="13">
        <f t="shared" si="89"/>
        <v>37.106116440776098</v>
      </c>
      <c r="AL71" s="20">
        <f t="shared" si="58"/>
        <v>314.62020332185165</v>
      </c>
      <c r="AM71" s="59">
        <f t="shared" si="59"/>
        <v>580.06658744907054</v>
      </c>
      <c r="AN71" s="59">
        <f ca="1">AVERAGE(OFFSET($AM$3,0,0,'Données projet'!$E$10+1,1))-AVERAGE(OFFSET($H$3,0,0,'Données projet'!$E$10+1,1))</f>
        <v>424.89201140676084</v>
      </c>
      <c r="AO71" s="59">
        <f t="shared" si="90"/>
        <v>253.0016648946303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2.2000000000000002</v>
      </c>
      <c r="BD71" s="12">
        <f>IF('Données projet'!$A$88&gt;35,BD70+BC71-BL70,IF(A71&lt;'Données projet'!$A$88,$BA$205^A71,IF(A71='Données projet'!$A$88,'Données projet'!$B$88,BD70+BC71-BL70)))</f>
        <v>146.59999999999991</v>
      </c>
      <c r="BE71" s="13">
        <f>BD71*VLOOKUP('Données projet'!$B$11,Paramètres!$A$1:$I$89,3,0)*VLOOKUP('Données projet'!$B$11,Paramètres!$A$1:$I$89,5,0)</f>
        <v>128.06975999999995</v>
      </c>
      <c r="BF71" s="13">
        <f t="shared" si="91"/>
        <v>33.549949963691333</v>
      </c>
      <c r="BG71" s="20">
        <f t="shared" si="61"/>
        <v>281.48766152009563</v>
      </c>
      <c r="BH71" s="59">
        <f t="shared" si="62"/>
        <v>546.93404564731441</v>
      </c>
      <c r="BI71" s="59">
        <f ca="1">AVERAGE(OFFSET($BH$3,0,0,'Données projet'!$E$11+1,1))-AVERAGE(OFFSET($H$3,0,0,'Données projet'!$E$11+1,1))</f>
        <v>218.97952644043698</v>
      </c>
      <c r="BJ71" s="59">
        <f t="shared" si="92"/>
        <v>204.10961748628714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0.49196386644090473</v>
      </c>
      <c r="BQ71" s="21">
        <f>EXP(-LN(2)/25)*BQ70+(1-EXP(-LN(2)/25))/(LN(2)/25)*Calculateur!BL71*Calculateur!BN71*VLOOKUP('Données projet'!$B$11,Paramètres!$A$1:$I$89,3,0)*0.475*44/12</f>
        <v>4.5849744873136853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5.0769383537545902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</v>
      </c>
      <c r="BY71" s="12">
        <f>IF('Données projet'!$A$114&gt;35,BY70+BX71-CG70,IF(A71&lt;'Données projet'!$A$114,$BV$205^A71,IF(A71='Données projet'!$A$114,'Données projet'!$B$114,BY70+BX71-CG70)))</f>
        <v>169.99999999999989</v>
      </c>
      <c r="BZ71" s="13">
        <f>BY71*VLOOKUP('Données projet'!$B$12,Paramètres!$A$1:$I$89,3,0)*VLOOKUP('Données projet'!$B$12,Paramètres!$A$1:$I$89,5,0)</f>
        <v>137.90399999999991</v>
      </c>
      <c r="CA71" s="13">
        <f t="shared" si="93"/>
        <v>35.816420593519346</v>
      </c>
      <c r="CB71" s="20">
        <f t="shared" si="64"/>
        <v>302.56306586704608</v>
      </c>
      <c r="CC71" s="59">
        <f t="shared" si="65"/>
        <v>568.00944999426497</v>
      </c>
      <c r="CD71" s="59">
        <f ca="1">AVERAGE(OFFSET($CC$3,0,0,'Données projet'!$E$12+1,1))-AVERAGE(OFFSET($H$3,0,0,'Données projet'!$E$12+1,1))</f>
        <v>256.23994291192162</v>
      </c>
      <c r="CE71" s="59">
        <f t="shared" si="94"/>
        <v>207.9118653708222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0.39969951571601947</v>
      </c>
      <c r="CL71" s="21">
        <f>EXP(-LN(2)/25)*CL70+(1-EXP(-LN(2)/25))/(LN(2)/25)*Calculateur!CG71*Calculateur!CI71*VLOOKUP('Données projet'!$B$12,Paramètres!$A$1:$I$89,3,0)*0.475*44/12</f>
        <v>5.3448195249331194</v>
      </c>
      <c r="CM71" s="21">
        <f>EXP(-LN(2)/2)*CM70+(1-EXP(-LN(2)/2))/(LN(2)/2)*CG71*CJ71*VLOOKUP('Données projet'!$B$12,Paramètres!$A$1:$I$89,3,0)*0.475*44/12</f>
        <v>1.0847419970124641</v>
      </c>
      <c r="CN71" s="22">
        <f t="shared" si="66"/>
        <v>6.8292610376616025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3.8</v>
      </c>
      <c r="CT71" s="12">
        <f>IF('Données projet'!$A$140&gt;35,CT70+CS71-DB70,IF(A71&lt;'Données projet'!$A$140,$CQ$205^A71,IF(A71='Données projet'!$A$140,'Données projet'!$B$140,CT70+CS71-DB70)))</f>
        <v>164.39999999999984</v>
      </c>
      <c r="CU71" s="17">
        <f>CT71*VLOOKUP('Données projet'!$B$13,Paramètres!$A$1:$I$89,3,0)*VLOOKUP('Données projet'!$B$13,Paramètres!$A$1:$I$89,5,0)</f>
        <v>94.891679999999909</v>
      </c>
      <c r="CV71" s="13">
        <f t="shared" si="95"/>
        <v>25.741321896632307</v>
      </c>
      <c r="CW71" s="20">
        <f t="shared" si="67"/>
        <v>210.10247830330107</v>
      </c>
      <c r="CX71" s="59">
        <f t="shared" si="68"/>
        <v>475.54886243051988</v>
      </c>
      <c r="CY71" s="59">
        <f ca="1">AVERAGE(OFFSET($CX$3,0,0,'Données projet'!$E$13+1,1))-AVERAGE(OFFSET($H$3,0,0,'Données projet'!$E$13+1,1))</f>
        <v>205.74526926885287</v>
      </c>
      <c r="CZ71" s="59">
        <f t="shared" si="96"/>
        <v>201.56217137928999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4.6522023812997242</v>
      </c>
      <c r="DH71" s="21">
        <f>EXP(-LN(2)/2)*DH70+(1-EXP(-LN(2)/2))/(LN(2)/2)*DB71*DE71*VLOOKUP('Données projet'!$B$13,Paramètres!$A$1:$I$89,3,0)*0.475*44/12</f>
        <v>1.1355457247783305</v>
      </c>
      <c r="DI71" s="22">
        <f t="shared" si="69"/>
        <v>5.7877481060780545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5.6899038461538431</v>
      </c>
      <c r="DO71" s="12">
        <f>IF('Données projet'!$A$166&gt;35,DO70+DN71-DW70,IF(A71&lt;'Données projet'!$A$166,$DL$205^A71,IF(A71='Données projet'!$A$166,'Données projet'!$B$166,DO70+DN71-DW70)))</f>
        <v>141.55528846153845</v>
      </c>
      <c r="DP71" s="17">
        <f>DO71*VLOOKUP('Données projet'!$B$14,Paramètres!$A$1:$I$89,3,0)*VLOOKUP('Données projet'!$B$14,Paramètres!$A$1:$I$89,5,0)</f>
        <v>134.70401249999998</v>
      </c>
      <c r="DQ71" s="13">
        <f t="shared" si="97"/>
        <v>35.081059672563008</v>
      </c>
      <c r="DR71" s="20">
        <f t="shared" si="70"/>
        <v>295.70900070054716</v>
      </c>
      <c r="DS71" s="59">
        <f t="shared" si="71"/>
        <v>561.15538482776606</v>
      </c>
      <c r="DT71" s="59">
        <f ca="1">AVERAGE(OFFSET($DS$3,0,0,'Données projet'!$E$14+1,1))-AVERAGE(OFFSET($H$3,0,0,'Données projet'!$E$14+1,1))</f>
        <v>403.89478276355294</v>
      </c>
      <c r="DU71" s="59">
        <f t="shared" si="98"/>
        <v>241.1593989733278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5.6899038461538431</v>
      </c>
      <c r="N72" s="13">
        <f>IF('Données projet'!$A$36&gt;35,N71+M72-V71,IF(A72&lt;'Données projet'!$A$36,$K$205^A72,IF(A72='Données projet'!$A$36,'Données projet'!$B$36,N71+M72-V71)))</f>
        <v>147.24519230769229</v>
      </c>
      <c r="O72" s="13">
        <f>N72*VLOOKUP('Données projet'!$B$9,Paramètres!$A$1:$I$89,3,0)*VLOOKUP('Données projet'!$B$9,Paramètres!$A$1:$I$89,5,0)</f>
        <v>133.22744999999998</v>
      </c>
      <c r="P72" s="13">
        <f t="shared" si="87"/>
        <v>34.741060528773644</v>
      </c>
      <c r="Q72" s="20">
        <f t="shared" si="54"/>
        <v>292.545155837614</v>
      </c>
      <c r="R72" s="59">
        <f t="shared" si="55"/>
        <v>558.47531618768062</v>
      </c>
      <c r="S72" s="59">
        <f ca="1">AVERAGE(OFFSET($R$3,0,0,'Données projet'!$E$9+1,1))-AVERAGE(OFFSET($H$3,0,0,'Données projet'!$E$9+1,1))</f>
        <v>388.1278150896951</v>
      </c>
      <c r="T72" s="59">
        <f t="shared" si="88"/>
        <v>232.26614607059227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5.6899038461538431</v>
      </c>
      <c r="AI72" s="13">
        <f>IF('Données projet'!$A$62&gt;35,AI71+AH72-AQ71,IF(A72&lt;'Données projet'!$A$62,$AF$205^A72,IF(A72='Données projet'!$A$62,'Données projet'!$B$62,AI71+AH72-AQ71)))</f>
        <v>147.24519230769229</v>
      </c>
      <c r="AJ72" s="13">
        <f>AI72*VLOOKUP('Données projet'!$B$10,Paramètres!$A$1:$I$89,3,0)*VLOOKUP('Données projet'!$B$10,Paramètres!$A$1:$I$89,5,0)</f>
        <v>149.306625</v>
      </c>
      <c r="AK72" s="13">
        <f t="shared" si="89"/>
        <v>38.420971199416954</v>
      </c>
      <c r="AL72" s="20">
        <f t="shared" si="58"/>
        <v>326.95889671398453</v>
      </c>
      <c r="AM72" s="59">
        <f t="shared" si="59"/>
        <v>592.88905706405103</v>
      </c>
      <c r="AN72" s="59">
        <f ca="1">AVERAGE(OFFSET($AM$3,0,0,'Données projet'!$E$10+1,1))-AVERAGE(OFFSET($H$3,0,0,'Données projet'!$E$10+1,1))</f>
        <v>424.89201140676084</v>
      </c>
      <c r="AO72" s="59">
        <f t="shared" si="90"/>
        <v>253.0016648946303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2.2000000000000002</v>
      </c>
      <c r="BD72" s="12">
        <f>IF('Données projet'!$A$88&gt;35,BD71+BC72-BL71,IF(A72&lt;'Données projet'!$A$88,$BA$205^A72,IF(A72='Données projet'!$A$88,'Données projet'!$B$88,BD71+BC72-BL71)))</f>
        <v>148.7999999999999</v>
      </c>
      <c r="BE72" s="13">
        <f>BD72*VLOOKUP('Données projet'!$B$11,Paramètres!$A$1:$I$89,3,0)*VLOOKUP('Données projet'!$B$11,Paramètres!$A$1:$I$89,5,0)</f>
        <v>129.99167999999992</v>
      </c>
      <c r="BF72" s="13">
        <f t="shared" si="91"/>
        <v>33.994436817469825</v>
      </c>
      <c r="BG72" s="20">
        <f t="shared" si="61"/>
        <v>285.6091534570931</v>
      </c>
      <c r="BH72" s="59">
        <f t="shared" si="62"/>
        <v>551.53931380715971</v>
      </c>
      <c r="BI72" s="59">
        <f ca="1">AVERAGE(OFFSET($BH$3,0,0,'Données projet'!$E$11+1,1))-AVERAGE(OFFSET($H$3,0,0,'Données projet'!$E$11+1,1))</f>
        <v>218.97952644043698</v>
      </c>
      <c r="BJ72" s="59">
        <f t="shared" si="92"/>
        <v>204.10961748628714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0.48231675508832783</v>
      </c>
      <c r="BQ72" s="21">
        <f>EXP(-LN(2)/25)*BQ71+(1-EXP(-LN(2)/25))/(LN(2)/25)*Calculateur!BL72*Calculateur!BN72*VLOOKUP('Données projet'!$B$11,Paramètres!$A$1:$I$89,3,0)*0.475*44/12</f>
        <v>4.4595981188447631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4.9419148739330909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</v>
      </c>
      <c r="BY72" s="12">
        <f>IF('Données projet'!$A$114&gt;35,BY71+BX72-CG71,IF(A72&lt;'Données projet'!$A$114,$BV$205^A72,IF(A72='Données projet'!$A$114,'Données projet'!$B$114,BY71+BX72-CG71)))</f>
        <v>173.99999999999989</v>
      </c>
      <c r="BZ72" s="13">
        <f>BY72*VLOOKUP('Données projet'!$B$12,Paramètres!$A$1:$I$89,3,0)*VLOOKUP('Données projet'!$B$12,Paramètres!$A$1:$I$89,5,0)</f>
        <v>141.14879999999991</v>
      </c>
      <c r="CA72" s="13">
        <f t="shared" si="93"/>
        <v>36.560054140504448</v>
      </c>
      <c r="CB72" s="20">
        <f t="shared" si="64"/>
        <v>309.50958762804504</v>
      </c>
      <c r="CC72" s="59">
        <f t="shared" si="65"/>
        <v>575.43974797811165</v>
      </c>
      <c r="CD72" s="59">
        <f ca="1">AVERAGE(OFFSET($CC$3,0,0,'Données projet'!$E$12+1,1))-AVERAGE(OFFSET($H$3,0,0,'Données projet'!$E$12+1,1))</f>
        <v>256.23994291192162</v>
      </c>
      <c r="CE72" s="59">
        <f t="shared" si="94"/>
        <v>207.9118653708222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0.39186165200546041</v>
      </c>
      <c r="CL72" s="21">
        <f>EXP(-LN(2)/25)*CL71+(1-EXP(-LN(2)/25))/(LN(2)/25)*Calculateur!CG72*Calculateur!CI72*VLOOKUP('Données projet'!$B$12,Paramètres!$A$1:$I$89,3,0)*0.475*44/12</f>
        <v>5.1986651539519801</v>
      </c>
      <c r="CM72" s="21">
        <f>EXP(-LN(2)/2)*CM71+(1-EXP(-LN(2)/2))/(LN(2)/2)*CG72*CJ72*VLOOKUP('Données projet'!$B$12,Paramètres!$A$1:$I$89,3,0)*0.475*44/12</f>
        <v>0.76702842192535114</v>
      </c>
      <c r="CN72" s="22">
        <f t="shared" si="66"/>
        <v>6.3575552278827923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3.8</v>
      </c>
      <c r="CT72" s="12">
        <f>IF('Données projet'!$A$140&gt;35,CT71+CS72-DB71,IF(A72&lt;'Données projet'!$A$140,$CQ$205^A72,IF(A72='Données projet'!$A$140,'Données projet'!$B$140,CT71+CS72-DB71)))</f>
        <v>168.19999999999985</v>
      </c>
      <c r="CU72" s="17">
        <f>CT72*VLOOKUP('Données projet'!$B$13,Paramètres!$A$1:$I$89,3,0)*VLOOKUP('Données projet'!$B$13,Paramètres!$A$1:$I$89,5,0)</f>
        <v>97.085039999999921</v>
      </c>
      <c r="CV72" s="13">
        <f t="shared" si="95"/>
        <v>26.266357406581427</v>
      </c>
      <c r="CW72" s="20">
        <f t="shared" si="67"/>
        <v>214.83701714979586</v>
      </c>
      <c r="CX72" s="59">
        <f t="shared" si="68"/>
        <v>480.76717749986244</v>
      </c>
      <c r="CY72" s="59">
        <f ca="1">AVERAGE(OFFSET($CX$3,0,0,'Données projet'!$E$13+1,1))-AVERAGE(OFFSET($H$3,0,0,'Données projet'!$E$13+1,1))</f>
        <v>205.74526926885287</v>
      </c>
      <c r="CZ72" s="59">
        <f t="shared" si="96"/>
        <v>201.56217137928999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4.524987662534393</v>
      </c>
      <c r="DH72" s="21">
        <f>EXP(-LN(2)/2)*DH71+(1-EXP(-LN(2)/2))/(LN(2)/2)*DB72*DE72*VLOOKUP('Données projet'!$B$13,Paramètres!$A$1:$I$89,3,0)*0.475*44/12</f>
        <v>0.80295208233815052</v>
      </c>
      <c r="DI72" s="22">
        <f t="shared" si="69"/>
        <v>5.3279397448725438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5.6899038461538431</v>
      </c>
      <c r="DO72" s="12">
        <f>IF('Données projet'!$A$166&gt;35,DO71+DN72-DW71,IF(A72&lt;'Données projet'!$A$166,$DL$205^A72,IF(A72='Données projet'!$A$166,'Données projet'!$B$166,DO71+DN72-DW71)))</f>
        <v>147.24519230769229</v>
      </c>
      <c r="DP72" s="17">
        <f>DO72*VLOOKUP('Données projet'!$B$14,Paramètres!$A$1:$I$89,3,0)*VLOOKUP('Données projet'!$B$14,Paramètres!$A$1:$I$89,5,0)</f>
        <v>140.11852499999998</v>
      </c>
      <c r="DQ72" s="13">
        <f t="shared" si="97"/>
        <v>36.324156570678291</v>
      </c>
      <c r="DR72" s="20">
        <f t="shared" si="70"/>
        <v>307.30433706893126</v>
      </c>
      <c r="DS72" s="59">
        <f t="shared" si="71"/>
        <v>573.23449741899776</v>
      </c>
      <c r="DT72" s="59">
        <f ca="1">AVERAGE(OFFSET($DS$3,0,0,'Données projet'!$E$14+1,1))-AVERAGE(OFFSET($H$3,0,0,'Données projet'!$E$14+1,1))</f>
        <v>403.89478276355294</v>
      </c>
      <c r="DU72" s="59">
        <f t="shared" si="98"/>
        <v>241.1593989733278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5.6899038461538431</v>
      </c>
      <c r="N73" s="13">
        <f>IF('Données projet'!$A$36&gt;35,N72+M73-V72,IF(A73&lt;'Données projet'!$A$36,$K$205^A73,IF(A73='Données projet'!$A$36,'Données projet'!$B$36,N72+M73-V72)))</f>
        <v>152.93509615384613</v>
      </c>
      <c r="O73" s="13">
        <f>N73*VLOOKUP('Données projet'!$B$9,Paramètres!$A$1:$I$89,3,0)*VLOOKUP('Données projet'!$B$9,Paramètres!$A$1:$I$89,5,0)</f>
        <v>138.37567499999997</v>
      </c>
      <c r="P73" s="13">
        <f t="shared" si="87"/>
        <v>35.924643086227974</v>
      </c>
      <c r="Q73" s="20">
        <f t="shared" si="54"/>
        <v>303.57305400018032</v>
      </c>
      <c r="R73" s="59">
        <f t="shared" si="55"/>
        <v>569.97859813718981</v>
      </c>
      <c r="S73" s="59">
        <f ca="1">AVERAGE(OFFSET($R$3,0,0,'Données projet'!$E$9+1,1))-AVERAGE(OFFSET($H$3,0,0,'Données projet'!$E$9+1,1))</f>
        <v>388.1278150896951</v>
      </c>
      <c r="T73" s="59">
        <f t="shared" si="88"/>
        <v>232.26614607059227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5.6899038461538431</v>
      </c>
      <c r="AI73" s="13">
        <f>IF('Données projet'!$A$62&gt;35,AI72+AH73-AQ72,IF(A73&lt;'Données projet'!$A$62,$AF$205^A73,IF(A73='Données projet'!$A$62,'Données projet'!$B$62,AI72+AH73-AQ72)))</f>
        <v>152.93509615384613</v>
      </c>
      <c r="AJ73" s="13">
        <f>AI73*VLOOKUP('Données projet'!$B$10,Paramètres!$A$1:$I$89,3,0)*VLOOKUP('Données projet'!$B$10,Paramètres!$A$1:$I$89,5,0)</f>
        <v>155.0761875</v>
      </c>
      <c r="AK73" s="13">
        <f t="shared" si="89"/>
        <v>39.729923507145784</v>
      </c>
      <c r="AL73" s="20">
        <f t="shared" si="58"/>
        <v>339.28731000411216</v>
      </c>
      <c r="AM73" s="59">
        <f t="shared" si="59"/>
        <v>605.69285414112164</v>
      </c>
      <c r="AN73" s="59">
        <f ca="1">AVERAGE(OFFSET($AM$3,0,0,'Données projet'!$E$10+1,1))-AVERAGE(OFFSET($H$3,0,0,'Données projet'!$E$10+1,1))</f>
        <v>424.89201140676084</v>
      </c>
      <c r="AO73" s="59">
        <f t="shared" si="90"/>
        <v>253.0016648946303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151</v>
      </c>
      <c r="BB73" s="12">
        <f>VLOOKUP(A73,'Données projet'!$A$87:$I$107,9,0)</f>
        <v>2.2000000000000002</v>
      </c>
      <c r="BC73" s="12">
        <f t="array" ref="BC73">INDEX(BB:BB,MIN(IF(ISNUMBER(BB73:BB269),ROW(BB73:BB269),"")))</f>
        <v>2.2000000000000002</v>
      </c>
      <c r="BD73" s="12">
        <f>IF('Données projet'!$A$88&gt;35,BD72+BC73-BL72,IF(A73&lt;'Données projet'!$A$88,$BA$205^A73,IF(A73='Données projet'!$A$88,'Données projet'!$B$88,BD72+BC73-BL72)))</f>
        <v>150.99999999999989</v>
      </c>
      <c r="BE73" s="13">
        <f>BD73*VLOOKUP('Données projet'!$B$11,Paramètres!$A$1:$I$89,3,0)*VLOOKUP('Données projet'!$B$11,Paramètres!$A$1:$I$89,5,0)</f>
        <v>131.91359999999992</v>
      </c>
      <c r="BF73" s="13">
        <f t="shared" si="91"/>
        <v>34.438159352115974</v>
      </c>
      <c r="BG73" s="20">
        <f t="shared" si="61"/>
        <v>289.72931420493518</v>
      </c>
      <c r="BH73" s="59">
        <f t="shared" si="62"/>
        <v>556.13485834194466</v>
      </c>
      <c r="BI73" s="59">
        <f ca="1">AVERAGE(OFFSET($BH$3,0,0,'Données projet'!$E$11+1,1))-AVERAGE(OFFSET($H$3,0,0,'Données projet'!$E$11+1,1))</f>
        <v>218.97952644043698</v>
      </c>
      <c r="BJ73" s="59">
        <f t="shared" si="92"/>
        <v>204.10961748628714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5</v>
      </c>
      <c r="BM73" s="16">
        <f>IF(ISNA(VLOOKUP(A73,'Données projet'!$A$87:$I$107,5,0)),0%,VLOOKUP(A73,'Données projet'!$A$87:$I$107,5,0)*VLOOKUP('Données projet'!$B$11,Paramètres!$A$1:$I$89,7,0))</f>
        <v>0.10600000000000001</v>
      </c>
      <c r="BN73" s="16">
        <f>IF(ISNA(VLOOKUP(A73,'Données projet'!$A$87:$I$107,6,0)),0%,VLOOKUP(A73,'Données projet'!$A$87:$I$107,6,0)*VLOOKUP('Données projet'!$B$11,Paramètres!$A$1:$I$89,7,0))</f>
        <v>0.21200000000000002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0.98470044719201022</v>
      </c>
      <c r="BQ73" s="21">
        <f>EXP(-LN(2)/25)*BQ72+(1-EXP(-LN(2)/25))/(LN(2)/25)*Calculateur!BL73*Calculateur!BN73*VLOOKUP('Données projet'!$B$11,Paramètres!$A$1:$I$89,3,0)*0.475*44/12</f>
        <v>5.3573028016939848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6.3420032488859945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178</v>
      </c>
      <c r="BW73" s="12">
        <f>VLOOKUP(A73,'Données projet'!$A$113:$I$133,9,0)</f>
        <v>4</v>
      </c>
      <c r="BX73" s="12">
        <f t="array" ref="BX73">INDEX(BW:BW,MIN(IF(ISNUMBER(BW73:BW269),ROW(BW73:BW269),"")))</f>
        <v>4</v>
      </c>
      <c r="BY73" s="12">
        <f>IF('Données projet'!$A$114&gt;35,BY72+BX73-CG72,IF(A73&lt;'Données projet'!$A$114,$BV$205^A73,IF(A73='Données projet'!$A$114,'Données projet'!$B$114,BY72+BX73-CG72)))</f>
        <v>177.99999999999989</v>
      </c>
      <c r="BZ73" s="13">
        <f>BY73*VLOOKUP('Données projet'!$B$12,Paramètres!$A$1:$I$89,3,0)*VLOOKUP('Données projet'!$B$12,Paramètres!$A$1:$I$89,5,0)</f>
        <v>144.39359999999991</v>
      </c>
      <c r="CA73" s="13">
        <f t="shared" si="93"/>
        <v>37.301700301601691</v>
      </c>
      <c r="CB73" s="20">
        <f t="shared" si="64"/>
        <v>316.45264802528948</v>
      </c>
      <c r="CC73" s="59">
        <f t="shared" si="65"/>
        <v>582.85819216229902</v>
      </c>
      <c r="CD73" s="59">
        <f ca="1">AVERAGE(OFFSET($CC$3,0,0,'Données projet'!$E$12+1,1))-AVERAGE(OFFSET($H$3,0,0,'Données projet'!$E$12+1,1))</f>
        <v>256.23994291192162</v>
      </c>
      <c r="CE73" s="59">
        <f t="shared" si="94"/>
        <v>207.9118653708222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11</v>
      </c>
      <c r="CH73" s="16">
        <f>IF(ISNA(VLOOKUP(A73,'Données projet'!$A$113:$I$133,5,0)),0%,VLOOKUP(A73,'Données projet'!$A$113:$I$133,5,0)*VLOOKUP('Données projet'!$B$12,Paramètres!$A$1:$I$89,7,0))</f>
        <v>4.3000000000000003E-2</v>
      </c>
      <c r="CI73" s="16">
        <f>IF(ISNA(VLOOKUP(A73,'Données projet'!$A$113:$I$133,6,0)),0%,VLOOKUP(A73,'Données projet'!$A$113:$I$133,6,0)*VLOOKUP('Données projet'!$B$12,Paramètres!$A$1:$I$89,7,0))</f>
        <v>0.17200000000000001</v>
      </c>
      <c r="CJ73" s="16">
        <f>IF(ISNA(VLOOKUP(A73,'Données projet'!$A$113:$I$133,7,0)),0%,VLOOKUP(A73,'Données projet'!$A$113:$I$133,7,0))</f>
        <v>0.3</v>
      </c>
      <c r="CK73" s="21">
        <f>EXP(-LN(2)/35)*CK72+(1-EXP(-LN(2)/35))/(LN(2)/35)*CG73*CH73*VLOOKUP('Données projet'!$B$12,Paramètres!$A$1:$I$89,3,0)*0.475*44/12</f>
        <v>0.80834381551952261</v>
      </c>
      <c r="CL73" s="21">
        <f>EXP(-LN(2)/25)*CL72+(1-EXP(-LN(2)/25))/(LN(2)/25)*Calculateur!CG73*Calculateur!CI73*VLOOKUP('Données projet'!$B$12,Paramètres!$A$1:$I$89,3,0)*0.475*44/12</f>
        <v>6.7464922900541726</v>
      </c>
      <c r="CM73" s="21">
        <f>EXP(-LN(2)/2)*CM72+(1-EXP(-LN(2)/2))/(LN(2)/2)*CG73*CJ73*VLOOKUP('Données projet'!$B$12,Paramètres!$A$1:$I$89,3,0)*0.475*44/12</f>
        <v>3.0681548078282725</v>
      </c>
      <c r="CN73" s="22">
        <f t="shared" si="66"/>
        <v>10.622990913401967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172</v>
      </c>
      <c r="CR73" s="12">
        <f>VLOOKUP(A73,'Données projet'!$A$139:$I$159,9,0)</f>
        <v>3.8</v>
      </c>
      <c r="CS73" s="12">
        <f t="array" ref="CS73">INDEX(CR:CR,MIN(IF(ISNUMBER(CR73:CR269),ROW(CR73:CR269),"")))</f>
        <v>3.8</v>
      </c>
      <c r="CT73" s="12">
        <f>IF('Données projet'!$A$140&gt;35,CT72+CS73-DB72,IF(A73&lt;'Données projet'!$A$140,$CQ$205^A73,IF(A73='Données projet'!$A$140,'Données projet'!$B$140,CT72+CS73-DB72)))</f>
        <v>171.99999999999986</v>
      </c>
      <c r="CU73" s="17">
        <f>CT73*VLOOKUP('Données projet'!$B$13,Paramètres!$A$1:$I$89,3,0)*VLOOKUP('Données projet'!$B$13,Paramètres!$A$1:$I$89,5,0)</f>
        <v>99.27839999999992</v>
      </c>
      <c r="CV73" s="13">
        <f t="shared" si="95"/>
        <v>26.790013906580675</v>
      </c>
      <c r="CW73" s="20">
        <f t="shared" si="67"/>
        <v>219.56915422062784</v>
      </c>
      <c r="CX73" s="59">
        <f t="shared" si="68"/>
        <v>485.97469835763729</v>
      </c>
      <c r="CY73" s="59">
        <f ca="1">AVERAGE(OFFSET($CX$3,0,0,'Données projet'!$E$13+1,1))-AVERAGE(OFFSET($H$3,0,0,'Données projet'!$E$13+1,1))</f>
        <v>205.74526926885287</v>
      </c>
      <c r="CZ73" s="59">
        <f t="shared" si="96"/>
        <v>201.56217137928999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15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0.129</v>
      </c>
      <c r="DE73" s="16">
        <f>IF(ISNA(VLOOKUP(A73,'Données projet'!$A$139:$I$159,7,0)),0%,VLOOKUP(A73,'Données projet'!$A$139:$I$159,7,0))</f>
        <v>0.3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5.6310701998914778</v>
      </c>
      <c r="DH73" s="21">
        <f>EXP(-LN(2)/2)*DH72+(1-EXP(-LN(2)/2))/(LN(2)/2)*DB73*DE73*VLOOKUP('Données projet'!$B$13,Paramètres!$A$1:$I$89,3,0)*0.475*44/12</f>
        <v>3.0184896703852004</v>
      </c>
      <c r="DI73" s="22">
        <f t="shared" si="69"/>
        <v>8.6495598702766792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5.6899038461538431</v>
      </c>
      <c r="DO73" s="12">
        <f>IF('Données projet'!$A$166&gt;35,DO72+DN73-DW72,IF(A73&lt;'Données projet'!$A$166,$DL$205^A73,IF(A73='Données projet'!$A$166,'Données projet'!$B$166,DO72+DN73-DW72)))</f>
        <v>152.93509615384613</v>
      </c>
      <c r="DP73" s="17">
        <f>DO73*VLOOKUP('Données projet'!$B$14,Paramètres!$A$1:$I$89,3,0)*VLOOKUP('Données projet'!$B$14,Paramètres!$A$1:$I$89,5,0)</f>
        <v>145.53303749999998</v>
      </c>
      <c r="DQ73" s="13">
        <f t="shared" si="97"/>
        <v>37.5616731426231</v>
      </c>
      <c r="DR73" s="20">
        <f t="shared" si="70"/>
        <v>318.88995436923523</v>
      </c>
      <c r="DS73" s="59">
        <f t="shared" si="71"/>
        <v>585.29549850624471</v>
      </c>
      <c r="DT73" s="59">
        <f ca="1">AVERAGE(OFFSET($DS$3,0,0,'Données projet'!$E$14+1,1))-AVERAGE(OFFSET($H$3,0,0,'Données projet'!$E$14+1,1))</f>
        <v>403.89478276355294</v>
      </c>
      <c r="DU73" s="59">
        <f t="shared" si="98"/>
        <v>241.1593989733278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5.6899038461538431</v>
      </c>
      <c r="N74" s="13">
        <f>IF('Données projet'!$A$36&gt;35,N73+M74-V73,IF(A74&lt;'Données projet'!$A$36,$K$205^A74,IF(A74='Données projet'!$A$36,'Données projet'!$B$36,N73+M74-V73)))</f>
        <v>158.62499999999997</v>
      </c>
      <c r="O74" s="13">
        <f>N74*VLOOKUP('Données projet'!$B$9,Paramètres!$A$1:$I$89,3,0)*VLOOKUP('Données projet'!$B$9,Paramètres!$A$1:$I$89,5,0)</f>
        <v>143.52389999999997</v>
      </c>
      <c r="P74" s="13">
        <f t="shared" si="87"/>
        <v>37.103109825509961</v>
      </c>
      <c r="Q74" s="20">
        <f t="shared" si="54"/>
        <v>314.59204211276312</v>
      </c>
      <c r="R74" s="59">
        <f t="shared" si="55"/>
        <v>581.46472319081113</v>
      </c>
      <c r="S74" s="59">
        <f ca="1">AVERAGE(OFFSET($R$3,0,0,'Données projet'!$E$9+1,1))-AVERAGE(OFFSET($H$3,0,0,'Données projet'!$E$9+1,1))</f>
        <v>388.1278150896951</v>
      </c>
      <c r="T74" s="59">
        <f t="shared" si="88"/>
        <v>232.26614607059227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5.6899038461538431</v>
      </c>
      <c r="AI74" s="13">
        <f>IF('Données projet'!$A$62&gt;35,AI73+AH74-AQ73,IF(A74&lt;'Données projet'!$A$62,$AF$205^A74,IF(A74='Données projet'!$A$62,'Données projet'!$B$62,AI73+AH74-AQ73)))</f>
        <v>158.62499999999997</v>
      </c>
      <c r="AJ74" s="13">
        <f>AI74*VLOOKUP('Données projet'!$B$10,Paramètres!$A$1:$I$89,3,0)*VLOOKUP('Données projet'!$B$10,Paramètres!$A$1:$I$89,5,0)</f>
        <v>160.84574999999998</v>
      </c>
      <c r="AK74" s="13">
        <f t="shared" si="89"/>
        <v>41.033218108988017</v>
      </c>
      <c r="AL74" s="20">
        <f t="shared" si="58"/>
        <v>351.60586945648743</v>
      </c>
      <c r="AM74" s="59">
        <f t="shared" si="59"/>
        <v>618.47855053453532</v>
      </c>
      <c r="AN74" s="59">
        <f ca="1">AVERAGE(OFFSET($AM$3,0,0,'Données projet'!$E$10+1,1))-AVERAGE(OFFSET($H$3,0,0,'Données projet'!$E$10+1,1))</f>
        <v>424.89201140676084</v>
      </c>
      <c r="AO74" s="59">
        <f t="shared" si="90"/>
        <v>253.0016648946303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1.8</v>
      </c>
      <c r="BD74" s="12">
        <f>IF('Données projet'!$A$88&gt;35,BD73+BC74-BL73,IF(A74&lt;'Données projet'!$A$88,$BA$205^A74,IF(A74='Données projet'!$A$88,'Données projet'!$B$88,BD73+BC74-BL73)))</f>
        <v>147.7999999999999</v>
      </c>
      <c r="BE74" s="13">
        <f>BD74*VLOOKUP('Données projet'!$B$11,Paramètres!$A$1:$I$89,3,0)*VLOOKUP('Données projet'!$B$11,Paramètres!$A$1:$I$89,5,0)</f>
        <v>129.11807999999991</v>
      </c>
      <c r="BF74" s="13">
        <f t="shared" si="91"/>
        <v>33.792492849789163</v>
      </c>
      <c r="BG74" s="20">
        <f t="shared" si="61"/>
        <v>283.73591438004928</v>
      </c>
      <c r="BH74" s="59">
        <f t="shared" si="62"/>
        <v>550.60859545809717</v>
      </c>
      <c r="BI74" s="59">
        <f ca="1">AVERAGE(OFFSET($BH$3,0,0,'Données projet'!$E$11+1,1))-AVERAGE(OFFSET($H$3,0,0,'Données projet'!$E$11+1,1))</f>
        <v>218.97952644043698</v>
      </c>
      <c r="BJ74" s="59">
        <f t="shared" si="92"/>
        <v>204.10961748628714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0.96539107203054253</v>
      </c>
      <c r="BQ74" s="21">
        <f>EXP(-LN(2)/25)*BQ73+(1-EXP(-LN(2)/25))/(LN(2)/25)*Calculateur!BL74*Calculateur!BN74*VLOOKUP('Données projet'!$B$11,Paramètres!$A$1:$I$89,3,0)*0.475*44/12</f>
        <v>5.2108070748533528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6.1761981468838956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3.6</v>
      </c>
      <c r="BY74" s="12">
        <f>IF('Données projet'!$A$114&gt;35,BY73+BX74-CG73,IF(A74&lt;'Données projet'!$A$114,$BV$205^A74,IF(A74='Données projet'!$A$114,'Données projet'!$B$114,BY73+BX74-CG73)))</f>
        <v>170.59999999999988</v>
      </c>
      <c r="BZ74" s="13">
        <f>BY74*VLOOKUP('Données projet'!$B$12,Paramètres!$A$1:$I$89,3,0)*VLOOKUP('Données projet'!$B$12,Paramètres!$A$1:$I$89,5,0)</f>
        <v>138.39071999999993</v>
      </c>
      <c r="CA74" s="13">
        <f t="shared" si="93"/>
        <v>35.928094347681508</v>
      </c>
      <c r="CB74" s="20">
        <f t="shared" si="64"/>
        <v>303.60526832221183</v>
      </c>
      <c r="CC74" s="59">
        <f t="shared" si="65"/>
        <v>570.47794940025983</v>
      </c>
      <c r="CD74" s="59">
        <f ca="1">AVERAGE(OFFSET($CC$3,0,0,'Données projet'!$E$12+1,1))-AVERAGE(OFFSET($H$3,0,0,'Données projet'!$E$12+1,1))</f>
        <v>256.23994291192162</v>
      </c>
      <c r="CE74" s="59">
        <f t="shared" si="94"/>
        <v>207.9118653708222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0.79249268633822845</v>
      </c>
      <c r="CL74" s="21">
        <f>EXP(-LN(2)/25)*CL73+(1-EXP(-LN(2)/25))/(LN(2)/25)*Calculateur!CG74*Calculateur!CI74*VLOOKUP('Données projet'!$B$12,Paramètres!$A$1:$I$89,3,0)*0.475*44/12</f>
        <v>6.5620091036000314</v>
      </c>
      <c r="CM74" s="21">
        <f>EXP(-LN(2)/2)*CM73+(1-EXP(-LN(2)/2))/(LN(2)/2)*CG74*CJ74*VLOOKUP('Données projet'!$B$12,Paramètres!$A$1:$I$89,3,0)*0.475*44/12</f>
        <v>2.1695130703454804</v>
      </c>
      <c r="CN74" s="22">
        <f t="shared" si="66"/>
        <v>9.5240148602837404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3.6</v>
      </c>
      <c r="CT74" s="12">
        <f>IF('Données projet'!$A$140&gt;35,CT73+CS74-DB73,IF(A74&lt;'Données projet'!$A$140,$CQ$205^A74,IF(A74='Données projet'!$A$140,'Données projet'!$B$140,CT73+CS74-DB73)))</f>
        <v>160.59999999999985</v>
      </c>
      <c r="CU74" s="17">
        <f>CT74*VLOOKUP('Données projet'!$B$13,Paramètres!$A$1:$I$89,3,0)*VLOOKUP('Données projet'!$B$13,Paramètres!$A$1:$I$89,5,0)</f>
        <v>92.698319999999924</v>
      </c>
      <c r="CV74" s="13">
        <f t="shared" si="95"/>
        <v>25.214871737366995</v>
      </c>
      <c r="CW74" s="20">
        <f t="shared" si="67"/>
        <v>205.36547560924737</v>
      </c>
      <c r="CX74" s="59">
        <f t="shared" si="68"/>
        <v>472.23815668729532</v>
      </c>
      <c r="CY74" s="59">
        <f ca="1">AVERAGE(OFFSET($CX$3,0,0,'Données projet'!$E$13+1,1))-AVERAGE(OFFSET($H$3,0,0,'Données projet'!$E$13+1,1))</f>
        <v>205.74526926885287</v>
      </c>
      <c r="CZ74" s="59">
        <f t="shared" si="96"/>
        <v>201.56217137928999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5.4770882891503332</v>
      </c>
      <c r="DH74" s="21">
        <f>EXP(-LN(2)/2)*DH73+(1-EXP(-LN(2)/2))/(LN(2)/2)*DB74*DE74*VLOOKUP('Données projet'!$B$13,Paramètres!$A$1:$I$89,3,0)*0.475*44/12</f>
        <v>2.1343945148709222</v>
      </c>
      <c r="DI74" s="22">
        <f t="shared" si="69"/>
        <v>7.6114828040212554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5.6899038461538431</v>
      </c>
      <c r="DO74" s="12">
        <f>IF('Données projet'!$A$166&gt;35,DO73+DN74-DW73,IF(A74&lt;'Données projet'!$A$166,$DL$205^A74,IF(A74='Données projet'!$A$166,'Données projet'!$B$166,DO73+DN74-DW73)))</f>
        <v>158.62499999999997</v>
      </c>
      <c r="DP74" s="17">
        <f>DO74*VLOOKUP('Données projet'!$B$14,Paramètres!$A$1:$I$89,3,0)*VLOOKUP('Données projet'!$B$14,Paramètres!$A$1:$I$89,5,0)</f>
        <v>150.94754999999998</v>
      </c>
      <c r="DQ74" s="13">
        <f t="shared" si="97"/>
        <v>38.793840776526004</v>
      </c>
      <c r="DR74" s="20">
        <f t="shared" si="70"/>
        <v>330.46625560244939</v>
      </c>
      <c r="DS74" s="59">
        <f t="shared" si="71"/>
        <v>597.33893668049734</v>
      </c>
      <c r="DT74" s="59">
        <f ca="1">AVERAGE(OFFSET($DS$3,0,0,'Données projet'!$E$14+1,1))-AVERAGE(OFFSET($H$3,0,0,'Données projet'!$E$14+1,1))</f>
        <v>403.89478276355294</v>
      </c>
      <c r="DU74" s="59">
        <f t="shared" si="98"/>
        <v>241.1593989733278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5.6899038461538431</v>
      </c>
      <c r="N75" s="13">
        <f>IF('Données projet'!$A$36&gt;35,N74+M75-V74,IF(A75&lt;'Données projet'!$A$36,$K$205^A75,IF(A75='Données projet'!$A$36,'Données projet'!$B$36,N74+M75-V74)))</f>
        <v>164.31490384615381</v>
      </c>
      <c r="O75" s="13">
        <f>N75*VLOOKUP('Données projet'!$B$9,Paramètres!$A$1:$I$89,3,0)*VLOOKUP('Données projet'!$B$9,Paramètres!$A$1:$I$89,5,0)</f>
        <v>148.67212499999997</v>
      </c>
      <c r="P75" s="13">
        <f t="shared" si="87"/>
        <v>38.276665273939201</v>
      </c>
      <c r="Q75" s="20">
        <f t="shared" si="54"/>
        <v>325.60247639377735</v>
      </c>
      <c r="R75" s="59">
        <f t="shared" si="55"/>
        <v>592.93419063129841</v>
      </c>
      <c r="S75" s="59">
        <f ca="1">AVERAGE(OFFSET($R$3,0,0,'Données projet'!$E$9+1,1))-AVERAGE(OFFSET($H$3,0,0,'Données projet'!$E$9+1,1))</f>
        <v>388.1278150896951</v>
      </c>
      <c r="T75" s="59">
        <f t="shared" si="88"/>
        <v>232.26614607059227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5.6899038461538431</v>
      </c>
      <c r="AI75" s="13">
        <f>IF('Données projet'!$A$62&gt;35,AI74+AH75-AQ74,IF(A75&lt;'Données projet'!$A$62,$AF$205^A75,IF(A75='Données projet'!$A$62,'Données projet'!$B$62,AI74+AH75-AQ74)))</f>
        <v>164.31490384615381</v>
      </c>
      <c r="AJ75" s="13">
        <f>AI75*VLOOKUP('Données projet'!$B$10,Paramètres!$A$1:$I$89,3,0)*VLOOKUP('Données projet'!$B$10,Paramètres!$A$1:$I$89,5,0)</f>
        <v>166.61531249999999</v>
      </c>
      <c r="AK75" s="13">
        <f t="shared" si="89"/>
        <v>42.331081196606618</v>
      </c>
      <c r="AL75" s="20">
        <f t="shared" si="58"/>
        <v>363.9149690215898</v>
      </c>
      <c r="AM75" s="59">
        <f t="shared" si="59"/>
        <v>631.24668325911091</v>
      </c>
      <c r="AN75" s="59">
        <f ca="1">AVERAGE(OFFSET($AM$3,0,0,'Données projet'!$E$10+1,1))-AVERAGE(OFFSET($H$3,0,0,'Données projet'!$E$10+1,1))</f>
        <v>424.89201140676084</v>
      </c>
      <c r="AO75" s="59">
        <f t="shared" si="90"/>
        <v>253.0016648946303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1.8</v>
      </c>
      <c r="BD75" s="12">
        <f>IF('Données projet'!$A$88&gt;35,BD74+BC75-BL74,IF(A75&lt;'Données projet'!$A$88,$BA$205^A75,IF(A75='Données projet'!$A$88,'Données projet'!$B$88,BD74+BC75-BL74)))</f>
        <v>149.59999999999991</v>
      </c>
      <c r="BE75" s="13">
        <f>BD75*VLOOKUP('Données projet'!$B$11,Paramètres!$A$1:$I$89,3,0)*VLOOKUP('Données projet'!$B$11,Paramètres!$A$1:$I$89,5,0)</f>
        <v>130.69055999999992</v>
      </c>
      <c r="BF75" s="13">
        <f t="shared" si="91"/>
        <v>34.155878238422694</v>
      </c>
      <c r="BG75" s="20">
        <f t="shared" si="61"/>
        <v>287.107546598586</v>
      </c>
      <c r="BH75" s="59">
        <f t="shared" si="62"/>
        <v>554.43926083610711</v>
      </c>
      <c r="BI75" s="59">
        <f ca="1">AVERAGE(OFFSET($BH$3,0,0,'Données projet'!$E$11+1,1))-AVERAGE(OFFSET($H$3,0,0,'Données projet'!$E$11+1,1))</f>
        <v>218.97952644043698</v>
      </c>
      <c r="BJ75" s="59">
        <f t="shared" si="92"/>
        <v>204.10961748628714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0.94646034193843531</v>
      </c>
      <c r="BQ75" s="21">
        <f>EXP(-LN(2)/25)*BQ74+(1-EXP(-LN(2)/25))/(LN(2)/25)*Calculateur!BL75*Calculateur!BN75*VLOOKUP('Données projet'!$B$11,Paramètres!$A$1:$I$89,3,0)*0.475*44/12</f>
        <v>5.0683172813670536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6.0147776233054886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3.6</v>
      </c>
      <c r="BY75" s="12">
        <f>IF('Données projet'!$A$114&gt;35,BY74+BX75-CG74,IF(A75&lt;'Données projet'!$A$114,$BV$205^A75,IF(A75='Données projet'!$A$114,'Données projet'!$B$114,BY74+BX75-CG74)))</f>
        <v>174.19999999999987</v>
      </c>
      <c r="BZ75" s="13">
        <f>BY75*VLOOKUP('Données projet'!$B$12,Paramètres!$A$1:$I$89,3,0)*VLOOKUP('Données projet'!$B$12,Paramètres!$A$1:$I$89,5,0)</f>
        <v>141.31103999999991</v>
      </c>
      <c r="CA75" s="13">
        <f t="shared" si="93"/>
        <v>36.597183225222956</v>
      </c>
      <c r="CB75" s="20">
        <f t="shared" si="64"/>
        <v>309.85682211726316</v>
      </c>
      <c r="CC75" s="59">
        <f t="shared" si="65"/>
        <v>577.18853635478422</v>
      </c>
      <c r="CD75" s="59">
        <f ca="1">AVERAGE(OFFSET($CC$3,0,0,'Données projet'!$E$12+1,1))-AVERAGE(OFFSET($H$3,0,0,'Données projet'!$E$12+1,1))</f>
        <v>256.23994291192162</v>
      </c>
      <c r="CE75" s="59">
        <f t="shared" si="94"/>
        <v>207.9118653708222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0.77695238813194534</v>
      </c>
      <c r="CL75" s="21">
        <f>EXP(-LN(2)/25)*CL74+(1-EXP(-LN(2)/25))/(LN(2)/25)*Calculateur!CG75*Calculateur!CI75*VLOOKUP('Données projet'!$B$12,Paramètres!$A$1:$I$89,3,0)*0.475*44/12</f>
        <v>6.3825706195810277</v>
      </c>
      <c r="CM75" s="21">
        <f>EXP(-LN(2)/2)*CM74+(1-EXP(-LN(2)/2))/(LN(2)/2)*CG75*CJ75*VLOOKUP('Données projet'!$B$12,Paramètres!$A$1:$I$89,3,0)*0.475*44/12</f>
        <v>1.5340774039141365</v>
      </c>
      <c r="CN75" s="22">
        <f t="shared" si="66"/>
        <v>8.6936004116271093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3.6</v>
      </c>
      <c r="CT75" s="12">
        <f>IF('Données projet'!$A$140&gt;35,CT74+CS75-DB74,IF(A75&lt;'Données projet'!$A$140,$CQ$205^A75,IF(A75='Données projet'!$A$140,'Données projet'!$B$140,CT74+CS75-DB74)))</f>
        <v>164.19999999999985</v>
      </c>
      <c r="CU75" s="17">
        <f>CT75*VLOOKUP('Données projet'!$B$13,Paramètres!$A$1:$I$89,3,0)*VLOOKUP('Données projet'!$B$13,Paramètres!$A$1:$I$89,5,0)</f>
        <v>94.776239999999916</v>
      </c>
      <c r="CV75" s="13">
        <f t="shared" si="95"/>
        <v>25.713649581337826</v>
      </c>
      <c r="CW75" s="20">
        <f t="shared" si="67"/>
        <v>209.85322435416322</v>
      </c>
      <c r="CX75" s="59">
        <f t="shared" si="68"/>
        <v>477.18493859168433</v>
      </c>
      <c r="CY75" s="59">
        <f ca="1">AVERAGE(OFFSET($CX$3,0,0,'Données projet'!$E$13+1,1))-AVERAGE(OFFSET($H$3,0,0,'Données projet'!$E$13+1,1))</f>
        <v>205.74526926885287</v>
      </c>
      <c r="CZ75" s="59">
        <f t="shared" si="96"/>
        <v>201.56217137928999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5.3273170218559622</v>
      </c>
      <c r="DH75" s="21">
        <f>EXP(-LN(2)/2)*DH74+(1-EXP(-LN(2)/2))/(LN(2)/2)*DB75*DE75*VLOOKUP('Données projet'!$B$13,Paramètres!$A$1:$I$89,3,0)*0.475*44/12</f>
        <v>1.5092448351926007</v>
      </c>
      <c r="DI75" s="22">
        <f t="shared" si="69"/>
        <v>6.8365618570485633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5.6899038461538431</v>
      </c>
      <c r="DO75" s="12">
        <f>IF('Données projet'!$A$166&gt;35,DO74+DN75-DW74,IF(A75&lt;'Données projet'!$A$166,$DL$205^A75,IF(A75='Données projet'!$A$166,'Données projet'!$B$166,DO74+DN75-DW74)))</f>
        <v>164.31490384615381</v>
      </c>
      <c r="DP75" s="17">
        <f>DO75*VLOOKUP('Données projet'!$B$14,Paramètres!$A$1:$I$89,3,0)*VLOOKUP('Données projet'!$B$14,Paramètres!$A$1:$I$89,5,0)</f>
        <v>156.36206249999998</v>
      </c>
      <c r="DQ75" s="13">
        <f t="shared" si="97"/>
        <v>40.020873319698083</v>
      </c>
      <c r="DR75" s="20">
        <f t="shared" si="70"/>
        <v>342.03361321930743</v>
      </c>
      <c r="DS75" s="59">
        <f t="shared" si="71"/>
        <v>609.36532745682848</v>
      </c>
      <c r="DT75" s="59">
        <f ca="1">AVERAGE(OFFSET($DS$3,0,0,'Données projet'!$E$14+1,1))-AVERAGE(OFFSET($H$3,0,0,'Données projet'!$E$14+1,1))</f>
        <v>403.89478276355294</v>
      </c>
      <c r="DU75" s="59">
        <f t="shared" si="98"/>
        <v>241.1593989733278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5.6899038461538431</v>
      </c>
      <c r="N76" s="13">
        <f>IF('Données projet'!$A$36&gt;35,N75+M76-V75,IF(A76&lt;'Données projet'!$A$36,$K$205^A76,IF(A76='Données projet'!$A$36,'Données projet'!$B$36,N75+M76-V75)))</f>
        <v>170.00480769230765</v>
      </c>
      <c r="O76" s="13">
        <f>N76*VLOOKUP('Données projet'!$B$9,Paramètres!$A$1:$I$89,3,0)*VLOOKUP('Données projet'!$B$9,Paramètres!$A$1:$I$89,5,0)</f>
        <v>153.82034999999993</v>
      </c>
      <c r="P76" s="13">
        <f t="shared" si="87"/>
        <v>39.445498990742948</v>
      </c>
      <c r="Q76" s="20">
        <f t="shared" si="54"/>
        <v>336.60468699221047</v>
      </c>
      <c r="R76" s="59">
        <f t="shared" si="55"/>
        <v>604.38747119013226</v>
      </c>
      <c r="S76" s="59">
        <f ca="1">AVERAGE(OFFSET($R$3,0,0,'Données projet'!$E$9+1,1))-AVERAGE(OFFSET($H$3,0,0,'Données projet'!$E$9+1,1))</f>
        <v>388.1278150896951</v>
      </c>
      <c r="T76" s="59">
        <f t="shared" si="88"/>
        <v>232.26614607059227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5.6899038461538431</v>
      </c>
      <c r="AI76" s="13">
        <f>IF('Données projet'!$A$62&gt;35,AI75+AH76-AQ75,IF(A76&lt;'Données projet'!$A$62,$AF$205^A76,IF(A76='Données projet'!$A$62,'Données projet'!$B$62,AI75+AH76-AQ75)))</f>
        <v>170.00480769230765</v>
      </c>
      <c r="AJ76" s="13">
        <f>AI76*VLOOKUP('Données projet'!$B$10,Paramètres!$A$1:$I$89,3,0)*VLOOKUP('Données projet'!$B$10,Paramètres!$A$1:$I$89,5,0)</f>
        <v>172.38487499999997</v>
      </c>
      <c r="AK76" s="13">
        <f t="shared" si="89"/>
        <v>43.623722408092668</v>
      </c>
      <c r="AL76" s="20">
        <f t="shared" si="58"/>
        <v>376.21497381909467</v>
      </c>
      <c r="AM76" s="59">
        <f t="shared" si="59"/>
        <v>643.99775801701639</v>
      </c>
      <c r="AN76" s="59">
        <f ca="1">AVERAGE(OFFSET($AM$3,0,0,'Données projet'!$E$10+1,1))-AVERAGE(OFFSET($H$3,0,0,'Données projet'!$E$10+1,1))</f>
        <v>424.89201140676084</v>
      </c>
      <c r="AO76" s="59">
        <f t="shared" si="90"/>
        <v>253.0016648946303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1.8</v>
      </c>
      <c r="BD76" s="12">
        <f>IF('Données projet'!$A$88&gt;35,BD75+BC76-BL75,IF(A76&lt;'Données projet'!$A$88,$BA$205^A76,IF(A76='Données projet'!$A$88,'Données projet'!$B$88,BD75+BC76-BL75)))</f>
        <v>151.39999999999992</v>
      </c>
      <c r="BE76" s="13">
        <f>BD76*VLOOKUP('Données projet'!$B$11,Paramètres!$A$1:$I$89,3,0)*VLOOKUP('Données projet'!$B$11,Paramètres!$A$1:$I$89,5,0)</f>
        <v>132.26303999999996</v>
      </c>
      <c r="BF76" s="13">
        <f t="shared" si="91"/>
        <v>34.518755036434833</v>
      </c>
      <c r="BG76" s="20">
        <f t="shared" si="61"/>
        <v>290.47829302179059</v>
      </c>
      <c r="BH76" s="59">
        <f t="shared" si="62"/>
        <v>558.26107721971243</v>
      </c>
      <c r="BI76" s="59">
        <f ca="1">AVERAGE(OFFSET($BH$3,0,0,'Données projet'!$E$11+1,1))-AVERAGE(OFFSET($H$3,0,0,'Données projet'!$E$11+1,1))</f>
        <v>218.97952644043698</v>
      </c>
      <c r="BJ76" s="59">
        <f t="shared" si="92"/>
        <v>204.10961748628714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0.92790083191682915</v>
      </c>
      <c r="BQ76" s="21">
        <f>EXP(-LN(2)/25)*BQ75+(1-EXP(-LN(2)/25))/(LN(2)/25)*Calculateur!BL76*Calculateur!BN76*VLOOKUP('Données projet'!$B$11,Paramètres!$A$1:$I$89,3,0)*0.475*44/12</f>
        <v>4.9297238787768496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5.8576247106936785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3.6</v>
      </c>
      <c r="BY76" s="12">
        <f>IF('Données projet'!$A$114&gt;35,BY75+BX76-CG75,IF(A76&lt;'Données projet'!$A$114,$BV$205^A76,IF(A76='Données projet'!$A$114,'Données projet'!$B$114,BY75+BX76-CG75)))</f>
        <v>177.79999999999987</v>
      </c>
      <c r="BZ76" s="13">
        <f>BY76*VLOOKUP('Données projet'!$B$12,Paramètres!$A$1:$I$89,3,0)*VLOOKUP('Données projet'!$B$12,Paramètres!$A$1:$I$89,5,0)</f>
        <v>144.23135999999991</v>
      </c>
      <c r="CA76" s="13">
        <f t="shared" si="93"/>
        <v>37.264664415494032</v>
      </c>
      <c r="CB76" s="20">
        <f t="shared" si="64"/>
        <v>316.10557585698524</v>
      </c>
      <c r="CC76" s="59">
        <f t="shared" si="65"/>
        <v>583.88836005490703</v>
      </c>
      <c r="CD76" s="59">
        <f ca="1">AVERAGE(OFFSET($CC$3,0,0,'Données projet'!$E$12+1,1))-AVERAGE(OFFSET($H$3,0,0,'Données projet'!$E$12+1,1))</f>
        <v>256.23994291192162</v>
      </c>
      <c r="CE76" s="59">
        <f t="shared" si="94"/>
        <v>207.9118653708222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0.76171682569484145</v>
      </c>
      <c r="CL76" s="21">
        <f>EXP(-LN(2)/25)*CL75+(1-EXP(-LN(2)/25))/(LN(2)/25)*Calculateur!CG76*Calculateur!CI76*VLOOKUP('Données projet'!$B$12,Paramètres!$A$1:$I$89,3,0)*0.475*44/12</f>
        <v>6.2080388903437829</v>
      </c>
      <c r="CM76" s="21">
        <f>EXP(-LN(2)/2)*CM75+(1-EXP(-LN(2)/2))/(LN(2)/2)*CG76*CJ76*VLOOKUP('Données projet'!$B$12,Paramètres!$A$1:$I$89,3,0)*0.475*44/12</f>
        <v>1.0847565351727402</v>
      </c>
      <c r="CN76" s="22">
        <f t="shared" si="66"/>
        <v>8.0545122512113636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3.6</v>
      </c>
      <c r="CT76" s="12">
        <f>IF('Données projet'!$A$140&gt;35,CT75+CS76-DB75,IF(A76&lt;'Données projet'!$A$140,$CQ$205^A76,IF(A76='Données projet'!$A$140,'Données projet'!$B$140,CT75+CS76-DB75)))</f>
        <v>167.79999999999984</v>
      </c>
      <c r="CU76" s="17">
        <f>CT76*VLOOKUP('Données projet'!$B$13,Paramètres!$A$1:$I$89,3,0)*VLOOKUP('Données projet'!$B$13,Paramètres!$A$1:$I$89,5,0)</f>
        <v>96.854159999999908</v>
      </c>
      <c r="CV76" s="13">
        <f t="shared" si="95"/>
        <v>26.211156054561137</v>
      </c>
      <c r="CW76" s="20">
        <f t="shared" si="67"/>
        <v>214.33875879502713</v>
      </c>
      <c r="CX76" s="59">
        <f t="shared" si="68"/>
        <v>482.12154299294889</v>
      </c>
      <c r="CY76" s="59">
        <f ca="1">AVERAGE(OFFSET($CX$3,0,0,'Données projet'!$E$13+1,1))-AVERAGE(OFFSET($H$3,0,0,'Données projet'!$E$13+1,1))</f>
        <v>205.74526926885287</v>
      </c>
      <c r="CZ76" s="59">
        <f t="shared" si="96"/>
        <v>201.56217137928999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5.1816412577418847</v>
      </c>
      <c r="DH76" s="21">
        <f>EXP(-LN(2)/2)*DH75+(1-EXP(-LN(2)/2))/(LN(2)/2)*DB76*DE76*VLOOKUP('Données projet'!$B$13,Paramètres!$A$1:$I$89,3,0)*0.475*44/12</f>
        <v>1.0671972574354613</v>
      </c>
      <c r="DI76" s="22">
        <f t="shared" si="69"/>
        <v>6.2488385151773462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5.6899038461538431</v>
      </c>
      <c r="DO76" s="12">
        <f>IF('Données projet'!$A$166&gt;35,DO75+DN76-DW75,IF(A76&lt;'Données projet'!$A$166,$DL$205^A76,IF(A76='Données projet'!$A$166,'Données projet'!$B$166,DO75+DN76-DW75)))</f>
        <v>170.00480769230765</v>
      </c>
      <c r="DP76" s="17">
        <f>DO76*VLOOKUP('Données projet'!$B$14,Paramètres!$A$1:$I$89,3,0)*VLOOKUP('Données projet'!$B$14,Paramètres!$A$1:$I$89,5,0)</f>
        <v>161.77657499999998</v>
      </c>
      <c r="DQ76" s="13">
        <f t="shared" si="97"/>
        <v>41.242968969285535</v>
      </c>
      <c r="DR76" s="20">
        <f t="shared" si="70"/>
        <v>353.5923724131722</v>
      </c>
      <c r="DS76" s="59">
        <f t="shared" si="71"/>
        <v>621.37515661109398</v>
      </c>
      <c r="DT76" s="59">
        <f ca="1">AVERAGE(OFFSET($DS$3,0,0,'Données projet'!$E$14+1,1))-AVERAGE(OFFSET($H$3,0,0,'Données projet'!$E$14+1,1))</f>
        <v>403.89478276355294</v>
      </c>
      <c r="DU76" s="59">
        <f t="shared" si="98"/>
        <v>241.1593989733278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5.6899038461538431</v>
      </c>
      <c r="N77" s="13">
        <f>IF('Données projet'!$A$36&gt;35,N76+M77-V76,IF(A77&lt;'Données projet'!$A$36,$K$205^A77,IF(A77='Données projet'!$A$36,'Données projet'!$B$36,N76+M77-V76)))</f>
        <v>175.69471153846149</v>
      </c>
      <c r="O77" s="13">
        <f>N77*VLOOKUP('Données projet'!$B$9,Paramètres!$A$1:$I$89,3,0)*VLOOKUP('Données projet'!$B$9,Paramètres!$A$1:$I$89,5,0)</f>
        <v>158.96857499999996</v>
      </c>
      <c r="P77" s="13">
        <f t="shared" si="87"/>
        <v>40.609787126426944</v>
      </c>
      <c r="Q77" s="20">
        <f t="shared" si="54"/>
        <v>347.59898070352688</v>
      </c>
      <c r="R77" s="59">
        <f t="shared" si="55"/>
        <v>615.82500980647774</v>
      </c>
      <c r="S77" s="59">
        <f ca="1">AVERAGE(OFFSET($R$3,0,0,'Données projet'!$E$9+1,1))-AVERAGE(OFFSET($H$3,0,0,'Données projet'!$E$9+1,1))</f>
        <v>388.1278150896951</v>
      </c>
      <c r="T77" s="59">
        <f t="shared" si="88"/>
        <v>232.26614607059227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5.6899038461538431</v>
      </c>
      <c r="AI77" s="13">
        <f>IF('Données projet'!$A$62&gt;35,AI76+AH77-AQ76,IF(A77&lt;'Données projet'!$A$62,$AF$205^A77,IF(A77='Données projet'!$A$62,'Données projet'!$B$62,AI76+AH77-AQ76)))</f>
        <v>175.69471153846149</v>
      </c>
      <c r="AJ77" s="13">
        <f>AI77*VLOOKUP('Données projet'!$B$10,Paramètres!$A$1:$I$89,3,0)*VLOOKUP('Données projet'!$B$10,Paramètres!$A$1:$I$89,5,0)</f>
        <v>178.15443749999994</v>
      </c>
      <c r="AK77" s="13">
        <f t="shared" si="89"/>
        <v>44.911336552510832</v>
      </c>
      <c r="AL77" s="20">
        <f t="shared" si="58"/>
        <v>388.50622314145625</v>
      </c>
      <c r="AM77" s="59">
        <f t="shared" si="59"/>
        <v>656.73225224440716</v>
      </c>
      <c r="AN77" s="59">
        <f ca="1">AVERAGE(OFFSET($AM$3,0,0,'Données projet'!$E$10+1,1))-AVERAGE(OFFSET($H$3,0,0,'Données projet'!$E$10+1,1))</f>
        <v>424.89201140676084</v>
      </c>
      <c r="AO77" s="59">
        <f t="shared" si="90"/>
        <v>253.0016648946303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1.8</v>
      </c>
      <c r="BD77" s="12">
        <f>IF('Données projet'!$A$88&gt;35,BD76+BC77-BL76,IF(A77&lt;'Données projet'!$A$88,$BA$205^A77,IF(A77='Données projet'!$A$88,'Données projet'!$B$88,BD76+BC77-BL76)))</f>
        <v>153.19999999999993</v>
      </c>
      <c r="BE77" s="13">
        <f>BD77*VLOOKUP('Données projet'!$B$11,Paramètres!$A$1:$I$89,3,0)*VLOOKUP('Données projet'!$B$11,Paramètres!$A$1:$I$89,5,0)</f>
        <v>133.83551999999997</v>
      </c>
      <c r="BF77" s="13">
        <f t="shared" si="91"/>
        <v>34.881129989958559</v>
      </c>
      <c r="BG77" s="20">
        <f t="shared" si="61"/>
        <v>293.84816539917779</v>
      </c>
      <c r="BH77" s="59">
        <f t="shared" si="62"/>
        <v>562.07419450212865</v>
      </c>
      <c r="BI77" s="59">
        <f ca="1">AVERAGE(OFFSET($BH$3,0,0,'Données projet'!$E$11+1,1))-AVERAGE(OFFSET($H$3,0,0,'Données projet'!$E$11+1,1))</f>
        <v>218.97952644043698</v>
      </c>
      <c r="BJ77" s="59">
        <f t="shared" si="92"/>
        <v>204.10961748628714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0.90970526256656337</v>
      </c>
      <c r="BQ77" s="21">
        <f>EXP(-LN(2)/25)*BQ76+(1-EXP(-LN(2)/25))/(LN(2)/25)*Calculateur!BL77*Calculateur!BN77*VLOOKUP('Données projet'!$B$11,Paramètres!$A$1:$I$89,3,0)*0.475*44/12</f>
        <v>4.7949203200687851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5.704625582635348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3.6</v>
      </c>
      <c r="BY77" s="12">
        <f>IF('Données projet'!$A$114&gt;35,BY76+BX77-CG76,IF(A77&lt;'Données projet'!$A$114,$BV$205^A77,IF(A77='Données projet'!$A$114,'Données projet'!$B$114,BY76+BX77-CG76)))</f>
        <v>181.39999999999986</v>
      </c>
      <c r="BZ77" s="13">
        <f>BY77*VLOOKUP('Données projet'!$B$12,Paramètres!$A$1:$I$89,3,0)*VLOOKUP('Données projet'!$B$12,Paramètres!$A$1:$I$89,5,0)</f>
        <v>147.15167999999989</v>
      </c>
      <c r="CA77" s="13">
        <f t="shared" si="93"/>
        <v>37.930574221315439</v>
      </c>
      <c r="CB77" s="20">
        <f t="shared" si="64"/>
        <v>322.35159276879085</v>
      </c>
      <c r="CC77" s="59">
        <f t="shared" si="65"/>
        <v>590.57762187174171</v>
      </c>
      <c r="CD77" s="59">
        <f ca="1">AVERAGE(OFFSET($CC$3,0,0,'Données projet'!$E$12+1,1))-AVERAGE(OFFSET($H$3,0,0,'Données projet'!$E$12+1,1))</f>
        <v>256.23994291192162</v>
      </c>
      <c r="CE77" s="59">
        <f t="shared" si="94"/>
        <v>207.9118653708222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0.74678002334435367</v>
      </c>
      <c r="CL77" s="21">
        <f>EXP(-LN(2)/25)*CL76+(1-EXP(-LN(2)/25))/(LN(2)/25)*Calculateur!CG77*Calculateur!CI77*VLOOKUP('Données projet'!$B$12,Paramètres!$A$1:$I$89,3,0)*0.475*44/12</f>
        <v>6.0382797404207551</v>
      </c>
      <c r="CM77" s="21">
        <f>EXP(-LN(2)/2)*CM76+(1-EXP(-LN(2)/2))/(LN(2)/2)*CG77*CJ77*VLOOKUP('Données projet'!$B$12,Paramètres!$A$1:$I$89,3,0)*0.475*44/12</f>
        <v>0.76703870195706825</v>
      </c>
      <c r="CN77" s="22">
        <f t="shared" si="66"/>
        <v>7.5520984657221764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3.6</v>
      </c>
      <c r="CT77" s="12">
        <f>IF('Données projet'!$A$140&gt;35,CT76+CS77-DB76,IF(A77&lt;'Données projet'!$A$140,$CQ$205^A77,IF(A77='Données projet'!$A$140,'Données projet'!$B$140,CT76+CS77-DB76)))</f>
        <v>171.39999999999984</v>
      </c>
      <c r="CU77" s="17">
        <f>CT77*VLOOKUP('Données projet'!$B$13,Paramètres!$A$1:$I$89,3,0)*VLOOKUP('Données projet'!$B$13,Paramètres!$A$1:$I$89,5,0)</f>
        <v>98.9320799999999</v>
      </c>
      <c r="CV77" s="13">
        <f t="shared" si="95"/>
        <v>26.707421574831194</v>
      </c>
      <c r="CW77" s="20">
        <f t="shared" si="67"/>
        <v>218.82213190949747</v>
      </c>
      <c r="CX77" s="59">
        <f t="shared" si="68"/>
        <v>487.0481610124483</v>
      </c>
      <c r="CY77" s="59">
        <f ca="1">AVERAGE(OFFSET($CX$3,0,0,'Données projet'!$E$13+1,1))-AVERAGE(OFFSET($H$3,0,0,'Données projet'!$E$13+1,1))</f>
        <v>205.74526926885287</v>
      </c>
      <c r="CZ77" s="59">
        <f t="shared" si="96"/>
        <v>201.56217137928999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5.0399490050582623</v>
      </c>
      <c r="DH77" s="21">
        <f>EXP(-LN(2)/2)*DH76+(1-EXP(-LN(2)/2))/(LN(2)/2)*DB77*DE77*VLOOKUP('Données projet'!$B$13,Paramètres!$A$1:$I$89,3,0)*0.475*44/12</f>
        <v>0.75462241759630044</v>
      </c>
      <c r="DI77" s="22">
        <f t="shared" si="69"/>
        <v>5.7945714226545624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5.6899038461538431</v>
      </c>
      <c r="DO77" s="12">
        <f>IF('Données projet'!$A$166&gt;35,DO76+DN77-DW76,IF(A77&lt;'Données projet'!$A$166,$DL$205^A77,IF(A77='Données projet'!$A$166,'Données projet'!$B$166,DO76+DN77-DW76)))</f>
        <v>175.69471153846149</v>
      </c>
      <c r="DP77" s="17">
        <f>DO77*VLOOKUP('Données projet'!$B$14,Paramètres!$A$1:$I$89,3,0)*VLOOKUP('Données projet'!$B$14,Paramètres!$A$1:$I$89,5,0)</f>
        <v>167.19108749999995</v>
      </c>
      <c r="DQ77" s="13">
        <f t="shared" si="97"/>
        <v>42.460311902698287</v>
      </c>
      <c r="DR77" s="20">
        <f t="shared" si="70"/>
        <v>365.14285395969938</v>
      </c>
      <c r="DS77" s="59">
        <f t="shared" si="71"/>
        <v>633.36888306265018</v>
      </c>
      <c r="DT77" s="59">
        <f ca="1">AVERAGE(OFFSET($DS$3,0,0,'Données projet'!$E$14+1,1))-AVERAGE(OFFSET($H$3,0,0,'Données projet'!$E$14+1,1))</f>
        <v>403.89478276355294</v>
      </c>
      <c r="DU77" s="59">
        <f t="shared" si="98"/>
        <v>241.1593989733278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181.38461538461536</v>
      </c>
      <c r="L78" s="12">
        <f>VLOOKUP(A78,'Données projet'!$A$35:$I$55,9,0)</f>
        <v>5.6899038461538431</v>
      </c>
      <c r="M78" s="12">
        <f t="array" ref="M78">INDEX(L:L,MIN(IF(ISNUMBER(L78:L274),ROW(L78:L274),"")))</f>
        <v>5.6899038461538431</v>
      </c>
      <c r="N78" s="13">
        <f>IF('Données projet'!$A$36&gt;35,N77+M78-V77,IF(A78&lt;'Données projet'!$A$36,$K$205^A78,IF(A78='Données projet'!$A$36,'Données projet'!$B$36,N77+M78-V77)))</f>
        <v>181.38461538461533</v>
      </c>
      <c r="O78" s="13">
        <f>N78*VLOOKUP('Données projet'!$B$9,Paramètres!$A$1:$I$89,3,0)*VLOOKUP('Données projet'!$B$9,Paramètres!$A$1:$I$89,5,0)</f>
        <v>164.11679999999993</v>
      </c>
      <c r="P78" s="13">
        <f t="shared" si="87"/>
        <v>41.769693774469289</v>
      </c>
      <c r="Q78" s="20">
        <f t="shared" si="54"/>
        <v>358.58564332386726</v>
      </c>
      <c r="R78" s="59">
        <f t="shared" si="55"/>
        <v>627.24722802369206</v>
      </c>
      <c r="S78" s="59">
        <f ca="1">AVERAGE(OFFSET($R$3,0,0,'Données projet'!$E$9+1,1))-AVERAGE(OFFSET($H$3,0,0,'Données projet'!$E$9+1,1))</f>
        <v>388.1278150896951</v>
      </c>
      <c r="T78" s="59">
        <f t="shared" si="88"/>
        <v>232.26614607059227</v>
      </c>
      <c r="U78" s="15">
        <f>IF(ISNA(VLOOKUP(A78,'Données projet'!$A$35:$I$55,3,0)),0,VLOOKUP(A78,'Données projet'!$A$35:$I$55,3,0))</f>
        <v>5</v>
      </c>
      <c r="V78" s="15">
        <f>IF(ISNA(VLOOKUP(A78,'Données projet'!$A$35:$I$55,4,0)),0,VLOOKUP(A78,'Données projet'!$A$35:$I$55,4,0))</f>
        <v>30.916666666666664</v>
      </c>
      <c r="W78" s="16">
        <f>IF(ISNA(VLOOKUP(A78,'Données projet'!$A$35:$I$55,5,0)),0%,VLOOKUP(A78,'Données projet'!$A$35:$I$55,5,0)*VLOOKUP('Données projet'!$B$9,Paramètres!$A$1:$I$89,7,0))</f>
        <v>0.30099999999999999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9.3080532995629337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9.3080532995629337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181.38461538461536</v>
      </c>
      <c r="AG78" s="12">
        <f>VLOOKUP(A78,'Données projet'!$A$61:$I$81,9,0)</f>
        <v>5.6899038461538431</v>
      </c>
      <c r="AH78" s="12">
        <f t="array" ref="AH78">INDEX(AG:AG,MIN(IF(ISNUMBER(AG78:AG274),ROW(AG78:AG274),"")))</f>
        <v>5.6899038461538431</v>
      </c>
      <c r="AI78" s="13">
        <f>IF('Données projet'!$A$62&gt;35,AI77+AH78-AQ77,IF(A78&lt;'Données projet'!$A$62,$AF$205^A78,IF(A78='Données projet'!$A$62,'Données projet'!$B$62,AI77+AH78-AQ77)))</f>
        <v>181.38461538461533</v>
      </c>
      <c r="AJ78" s="13">
        <f>AI78*VLOOKUP('Données projet'!$B$10,Paramètres!$A$1:$I$89,3,0)*VLOOKUP('Données projet'!$B$10,Paramètres!$A$1:$I$89,5,0)</f>
        <v>183.92399999999995</v>
      </c>
      <c r="AK78" s="13">
        <f t="shared" si="89"/>
        <v>46.194105104770117</v>
      </c>
      <c r="AL78" s="20">
        <f t="shared" si="58"/>
        <v>400.78903305747446</v>
      </c>
      <c r="AM78" s="59">
        <f t="shared" si="59"/>
        <v>669.45061775729926</v>
      </c>
      <c r="AN78" s="59">
        <f ca="1">AVERAGE(OFFSET($AM$3,0,0,'Données projet'!$E$10+1,1))-AVERAGE(OFFSET($H$3,0,0,'Données projet'!$E$10+1,1))</f>
        <v>424.89201140676084</v>
      </c>
      <c r="AO78" s="59">
        <f t="shared" si="90"/>
        <v>253.0016648946303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30.916666666666664</v>
      </c>
      <c r="AR78" s="16">
        <f>IF(ISNA(VLOOKUP(A78,'Données projet'!$A$61:$I$81,5,0)),0%,VLOOKUP(A78,'Données projet'!$A$61:$I$81,5,0)*VLOOKUP('Données projet'!$B$10,Paramètres!$A$1:$I$89,7,0))</f>
        <v>0.30099999999999999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10.431439042613633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10.431439042613633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155</v>
      </c>
      <c r="BB78" s="12">
        <f>VLOOKUP(A78,'Données projet'!$A$87:$I$107,9,0)</f>
        <v>1.8</v>
      </c>
      <c r="BC78" s="12">
        <f t="array" ref="BC78">INDEX(BB:BB,MIN(IF(ISNUMBER(BB78:BB274),ROW(BB78:BB274),"")))</f>
        <v>1.8</v>
      </c>
      <c r="BD78" s="12">
        <f>IF('Données projet'!$A$88&gt;35,BD77+BC78-BL77,IF(A78&lt;'Données projet'!$A$88,$BA$205^A78,IF(A78='Données projet'!$A$88,'Données projet'!$B$88,BD77+BC78-BL77)))</f>
        <v>154.99999999999994</v>
      </c>
      <c r="BE78" s="13">
        <f>BD78*VLOOKUP('Données projet'!$B$11,Paramètres!$A$1:$I$89,3,0)*VLOOKUP('Données projet'!$B$11,Paramètres!$A$1:$I$89,5,0)</f>
        <v>135.40799999999999</v>
      </c>
      <c r="BF78" s="13">
        <f t="shared" si="91"/>
        <v>35.243009677478732</v>
      </c>
      <c r="BG78" s="20">
        <f t="shared" si="61"/>
        <v>297.21717518827546</v>
      </c>
      <c r="BH78" s="59">
        <f t="shared" si="62"/>
        <v>565.87875988810026</v>
      </c>
      <c r="BI78" s="59">
        <f ca="1">AVERAGE(OFFSET($BH$3,0,0,'Données projet'!$E$11+1,1))-AVERAGE(OFFSET($H$3,0,0,'Données projet'!$E$11+1,1))</f>
        <v>218.97952644043698</v>
      </c>
      <c r="BJ78" s="59">
        <f t="shared" si="92"/>
        <v>204.10961748628714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4</v>
      </c>
      <c r="BM78" s="16">
        <f>IF(ISNA(VLOOKUP(A78,'Données projet'!$A$87:$I$107,5,0)),0%,VLOOKUP(A78,'Données projet'!$A$87:$I$107,5,0)*VLOOKUP('Données projet'!$B$11,Paramètres!$A$1:$I$89,7,0))</f>
        <v>0.13250000000000001</v>
      </c>
      <c r="BN78" s="16">
        <f>IF(ISNA(VLOOKUP(A78,'Données projet'!$A$87:$I$107,6,0)),0%,VLOOKUP(A78,'Données projet'!$A$87:$I$107,6,0)*VLOOKUP('Données projet'!$B$11,Paramètres!$A$1:$I$89,7,0))</f>
        <v>0.13250000000000001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1.403708126719847</v>
      </c>
      <c r="BQ78" s="21">
        <f>EXP(-LN(2)/25)*BQ77+(1-EXP(-LN(2)/25))/(LN(2)/25)*Calculateur!BL78*Calculateur!BN78*VLOOKUP('Données projet'!$B$11,Paramètres!$A$1:$I$89,3,0)*0.475*44/12</f>
        <v>5.1736292857271557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6.5773374124470028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185</v>
      </c>
      <c r="BW78" s="12">
        <f>VLOOKUP(A78,'Données projet'!$A$113:$I$133,9,0)</f>
        <v>3.6</v>
      </c>
      <c r="BX78" s="12">
        <f t="array" ref="BX78">INDEX(BW:BW,MIN(IF(ISNUMBER(BW78:BW274),ROW(BW78:BW274),"")))</f>
        <v>3.6</v>
      </c>
      <c r="BY78" s="12">
        <f>IF('Données projet'!$A$114&gt;35,BY77+BX78-CG77,IF(A78&lt;'Données projet'!$A$114,$BV$205^A78,IF(A78='Données projet'!$A$114,'Données projet'!$B$114,BY77+BX78-CG77)))</f>
        <v>184.99999999999986</v>
      </c>
      <c r="BZ78" s="13">
        <f>BY78*VLOOKUP('Données projet'!$B$12,Paramètres!$A$1:$I$89,3,0)*VLOOKUP('Données projet'!$B$12,Paramètres!$A$1:$I$89,5,0)</f>
        <v>150.07199999999989</v>
      </c>
      <c r="CA78" s="13">
        <f t="shared" si="93"/>
        <v>38.594947422201457</v>
      </c>
      <c r="CB78" s="20">
        <f t="shared" si="64"/>
        <v>328.59493342700068</v>
      </c>
      <c r="CC78" s="59">
        <f t="shared" si="65"/>
        <v>597.25651812682554</v>
      </c>
      <c r="CD78" s="59">
        <f ca="1">AVERAGE(OFFSET($CC$3,0,0,'Données projet'!$E$12+1,1))-AVERAGE(OFFSET($H$3,0,0,'Données projet'!$E$12+1,1))</f>
        <v>256.23994291192162</v>
      </c>
      <c r="CE78" s="59">
        <f t="shared" si="94"/>
        <v>207.9118653708222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11</v>
      </c>
      <c r="CH78" s="16">
        <f>IF(ISNA(VLOOKUP(A78,'Données projet'!$A$113:$I$133,5,0)),0%,VLOOKUP(A78,'Données projet'!$A$113:$I$133,5,0)*VLOOKUP('Données projet'!$B$12,Paramètres!$A$1:$I$89,7,0))</f>
        <v>4.3000000000000003E-2</v>
      </c>
      <c r="CI78" s="16">
        <f>IF(ISNA(VLOOKUP(A78,'Données projet'!$A$113:$I$133,6,0)),0%,VLOOKUP(A78,'Données projet'!$A$113:$I$133,6,0)*VLOOKUP('Données projet'!$B$12,Paramètres!$A$1:$I$89,7,0))</f>
        <v>0.17200000000000001</v>
      </c>
      <c r="CJ78" s="16">
        <f>IF(ISNA(VLOOKUP(A78,'Données projet'!$A$113:$I$133,7,0)),0%,VLOOKUP(A78,'Données projet'!$A$113:$I$133,7,0))</f>
        <v>0.3</v>
      </c>
      <c r="CK78" s="21">
        <f>EXP(-LN(2)/35)*CK77+(1-EXP(-LN(2)/35))/(LN(2)/35)*CG78*CH78*VLOOKUP('Données projet'!$B$12,Paramètres!$A$1:$I$89,3,0)*0.475*44/12</f>
        <v>1.1563024540752913</v>
      </c>
      <c r="CL78" s="21">
        <f>EXP(-LN(2)/25)*CL77+(1-EXP(-LN(2)/25))/(LN(2)/25)*Calculateur!CG78*Calculateur!CI78*VLOOKUP('Données projet'!$B$12,Paramètres!$A$1:$I$89,3,0)*0.475*44/12</f>
        <v>7.5631475715025465</v>
      </c>
      <c r="CM78" s="21">
        <f>EXP(-LN(2)/2)*CM77+(1-EXP(-LN(2)/2))/(LN(2)/2)*CG78*CJ78*VLOOKUP('Données projet'!$B$12,Paramètres!$A$1:$I$89,3,0)*0.475*44/12</f>
        <v>3.0681620769084104</v>
      </c>
      <c r="CN78" s="22">
        <f t="shared" si="66"/>
        <v>11.78761210248625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175</v>
      </c>
      <c r="CR78" s="12">
        <f>VLOOKUP(A78,'Données projet'!$A$139:$I$159,9,0)</f>
        <v>3.6</v>
      </c>
      <c r="CS78" s="12">
        <f t="array" ref="CS78">INDEX(CR:CR,MIN(IF(ISNUMBER(CR78:CR274),ROW(CR78:CR274),"")))</f>
        <v>3.6</v>
      </c>
      <c r="CT78" s="12">
        <f>IF('Données projet'!$A$140&gt;35,CT77+CS78-DB77,IF(A78&lt;'Données projet'!$A$140,$CQ$205^A78,IF(A78='Données projet'!$A$140,'Données projet'!$B$140,CT77+CS78-DB77)))</f>
        <v>174.99999999999983</v>
      </c>
      <c r="CU78" s="17">
        <f>CT78*VLOOKUP('Données projet'!$B$13,Paramètres!$A$1:$I$89,3,0)*VLOOKUP('Données projet'!$B$13,Paramètres!$A$1:$I$89,5,0)</f>
        <v>101.00999999999992</v>
      </c>
      <c r="CV78" s="13">
        <f t="shared" si="95"/>
        <v>27.202475209169581</v>
      </c>
      <c r="CW78" s="20">
        <f t="shared" si="67"/>
        <v>223.30339432263688</v>
      </c>
      <c r="CX78" s="59">
        <f t="shared" si="68"/>
        <v>491.96497902246165</v>
      </c>
      <c r="CY78" s="59">
        <f ca="1">AVERAGE(OFFSET($CX$3,0,0,'Données projet'!$E$13+1,1))-AVERAGE(OFFSET($H$3,0,0,'Données projet'!$E$13+1,1))</f>
        <v>205.74526926885287</v>
      </c>
      <c r="CZ78" s="59">
        <f t="shared" si="96"/>
        <v>201.56217137928999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14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0.129</v>
      </c>
      <c r="DE78" s="16">
        <f>IF(ISNA(VLOOKUP(A78,'Données projet'!$A$139:$I$159,7,0)),0%,VLOOKUP(A78,'Données projet'!$A$139:$I$159,7,0))</f>
        <v>0.3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6.0499619932268685</v>
      </c>
      <c r="DH78" s="21">
        <f>EXP(-LN(2)/2)*DH77+(1-EXP(-LN(2)/2))/(LN(2)/2)*DB78*DE78*VLOOKUP('Données projet'!$B$13,Paramètres!$A$1:$I$89,3,0)*0.475*44/12</f>
        <v>2.820934316180697</v>
      </c>
      <c r="DI78" s="22">
        <f t="shared" si="69"/>
        <v>8.8708963094075663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181.38461538461536</v>
      </c>
      <c r="DM78" s="12">
        <f>VLOOKUP(A78,'Données projet'!$A$165:$I$185,9,0)</f>
        <v>5.6899038461538431</v>
      </c>
      <c r="DN78" s="12">
        <f t="array" ref="DN78">INDEX(DM:DM,MIN(IF(ISNUMBER(DM78:DM274),ROW(DM78:DM274),"")))</f>
        <v>5.6899038461538431</v>
      </c>
      <c r="DO78" s="12">
        <f>IF('Données projet'!$A$166&gt;35,DO77+DN78-DW77,IF(A78&lt;'Données projet'!$A$166,$DL$205^A78,IF(A78='Données projet'!$A$166,'Données projet'!$B$166,DO77+DN78-DW77)))</f>
        <v>181.38461538461533</v>
      </c>
      <c r="DP78" s="17">
        <f>DO78*VLOOKUP('Données projet'!$B$14,Paramètres!$A$1:$I$89,3,0)*VLOOKUP('Données projet'!$B$14,Paramètres!$A$1:$I$89,5,0)</f>
        <v>172.60559999999995</v>
      </c>
      <c r="DQ78" s="13">
        <f t="shared" si="97"/>
        <v>43.673073690898889</v>
      </c>
      <c r="DR78" s="20">
        <f t="shared" si="70"/>
        <v>376.68535667831543</v>
      </c>
      <c r="DS78" s="59">
        <f t="shared" si="71"/>
        <v>645.34694137814017</v>
      </c>
      <c r="DT78" s="59">
        <f ca="1">AVERAGE(OFFSET($DS$3,0,0,'Données projet'!$E$14+1,1))-AVERAGE(OFFSET($H$3,0,0,'Données projet'!$E$14+1,1))</f>
        <v>403.89478276355294</v>
      </c>
      <c r="DU78" s="59">
        <f t="shared" si="98"/>
        <v>241.1593989733278</v>
      </c>
      <c r="DV78" s="15">
        <f>IF(ISNA(VLOOKUP(A78,'Données projet'!$A$165:$I$185,3,0)),0,VLOOKUP(A78,'Données projet'!$A$165:$I$185,3,0))</f>
        <v>5</v>
      </c>
      <c r="DW78" s="15">
        <f>IF(ISNA(VLOOKUP(A78,'Données projet'!$A$165:$I$185,4,0)),0,VLOOKUP(A78,'Données projet'!$A$165:$I$185,4,0))</f>
        <v>30.916666666666664</v>
      </c>
      <c r="DX78" s="16">
        <f>IF(ISNA(VLOOKUP(A78,'Données projet'!$A$165:$I$185,5,0)),0%,VLOOKUP(A78,'Données projet'!$A$165:$I$185,5,0)*VLOOKUP('Données projet'!$B$14,Paramètres!$A$1:$I$89,7,0))</f>
        <v>0.30099999999999999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9.7895043322989483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9.7895043322989483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5.5042735042735051</v>
      </c>
      <c r="N79" s="13">
        <f>IF('Données projet'!$A$36&gt;35,N78+M79-V78,IF(A79&lt;'Données projet'!$A$36,$K$205^A79,IF(A79='Données projet'!$A$36,'Données projet'!$B$36,N78+M79-V78)))</f>
        <v>155.97222222222217</v>
      </c>
      <c r="O79" s="13">
        <f>N79*VLOOKUP('Données projet'!$B$9,Paramètres!$A$1:$I$89,3,0)*VLOOKUP('Données projet'!$B$9,Paramètres!$A$1:$I$89,5,0)</f>
        <v>141.12366666666662</v>
      </c>
      <c r="P79" s="13">
        <f t="shared" si="87"/>
        <v>36.554301861544381</v>
      </c>
      <c r="Q79" s="20">
        <f t="shared" si="54"/>
        <v>309.45579518663413</v>
      </c>
      <c r="R79" s="59">
        <f t="shared" si="55"/>
        <v>578.54537956748356</v>
      </c>
      <c r="S79" s="59">
        <f ca="1">AVERAGE(OFFSET($R$3,0,0,'Données projet'!$E$9+1,1))-AVERAGE(OFFSET($H$3,0,0,'Données projet'!$E$9+1,1))</f>
        <v>388.1278150896951</v>
      </c>
      <c r="T79" s="59">
        <f t="shared" si="88"/>
        <v>232.26614607059227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9.1255280517104254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9.1255280517104254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5.5042735042735051</v>
      </c>
      <c r="AI79" s="13">
        <f>IF('Données projet'!$A$62&gt;35,AI78+AH79-AQ78,IF(A79&lt;'Données projet'!$A$62,$AF$205^A79,IF(A79='Données projet'!$A$62,'Données projet'!$B$62,AI78+AH79-AQ78)))</f>
        <v>155.97222222222217</v>
      </c>
      <c r="AJ79" s="13">
        <f>AI79*VLOOKUP('Données projet'!$B$10,Paramètres!$A$1:$I$89,3,0)*VLOOKUP('Données projet'!$B$10,Paramètres!$A$1:$I$89,5,0)</f>
        <v>158.15583333333331</v>
      </c>
      <c r="AK79" s="13">
        <f t="shared" si="89"/>
        <v>40.426278232755124</v>
      </c>
      <c r="AL79" s="20">
        <f t="shared" si="58"/>
        <v>345.86384431093734</v>
      </c>
      <c r="AM79" s="59">
        <f t="shared" si="59"/>
        <v>614.95342869178671</v>
      </c>
      <c r="AN79" s="59">
        <f ca="1">AVERAGE(OFFSET($AM$3,0,0,'Données projet'!$E$10+1,1))-AVERAGE(OFFSET($H$3,0,0,'Données projet'!$E$10+1,1))</f>
        <v>424.89201140676084</v>
      </c>
      <c r="AO79" s="59">
        <f t="shared" si="90"/>
        <v>253.0016648946303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10.226884885537546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10.226884885537546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1.6</v>
      </c>
      <c r="BD79" s="12">
        <f>IF('Données projet'!$A$88&gt;35,BD78+BC79-BL78,IF(A79&lt;'Données projet'!$A$88,$BA$205^A79,IF(A79='Données projet'!$A$88,'Données projet'!$B$88,BD78+BC79-BL78)))</f>
        <v>152.59999999999994</v>
      </c>
      <c r="BE79" s="13">
        <f>BD79*VLOOKUP('Données projet'!$B$11,Paramètres!$A$1:$I$89,3,0)*VLOOKUP('Données projet'!$B$11,Paramètres!$A$1:$I$89,5,0)</f>
        <v>133.31135999999998</v>
      </c>
      <c r="BF79" s="13">
        <f t="shared" si="91"/>
        <v>34.760393689821633</v>
      </c>
      <c r="BG79" s="20">
        <f t="shared" si="61"/>
        <v>292.72497100977256</v>
      </c>
      <c r="BH79" s="59">
        <f t="shared" si="62"/>
        <v>561.81455539062199</v>
      </c>
      <c r="BI79" s="59">
        <f ca="1">AVERAGE(OFFSET($BH$3,0,0,'Données projet'!$E$11+1,1))-AVERAGE(OFFSET($H$3,0,0,'Données projet'!$E$11+1,1))</f>
        <v>218.97952644043698</v>
      </c>
      <c r="BJ79" s="59">
        <f t="shared" si="92"/>
        <v>204.10961748628714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1.3761822665322876</v>
      </c>
      <c r="BQ79" s="21">
        <f>EXP(-LN(2)/25)*BQ78+(1-EXP(-LN(2)/25))/(LN(2)/25)*Calculateur!BL79*Calculateur!BN79*VLOOKUP('Données projet'!$B$11,Paramètres!$A$1:$I$89,3,0)*0.475*44/12</f>
        <v>5.0321561208396073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6.4083383873718951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3.6</v>
      </c>
      <c r="BY79" s="12">
        <f>IF('Données projet'!$A$114&gt;35,BY78+BX79-CG78,IF(A79&lt;'Données projet'!$A$114,$BV$205^A79,IF(A79='Données projet'!$A$114,'Données projet'!$B$114,BY78+BX79-CG78)))</f>
        <v>177.59999999999985</v>
      </c>
      <c r="BZ79" s="13">
        <f>BY79*VLOOKUP('Données projet'!$B$12,Paramètres!$A$1:$I$89,3,0)*VLOOKUP('Données projet'!$B$12,Paramètres!$A$1:$I$89,5,0)</f>
        <v>144.06911999999991</v>
      </c>
      <c r="CA79" s="13">
        <f t="shared" si="93"/>
        <v>37.22762367982471</v>
      </c>
      <c r="CB79" s="20">
        <f t="shared" si="64"/>
        <v>315.75849524236122</v>
      </c>
      <c r="CC79" s="59">
        <f t="shared" si="65"/>
        <v>584.84807962321065</v>
      </c>
      <c r="CD79" s="59">
        <f ca="1">AVERAGE(OFFSET($CC$3,0,0,'Données projet'!$E$12+1,1))-AVERAGE(OFFSET($H$3,0,0,'Données projet'!$E$12+1,1))</f>
        <v>256.23994291192162</v>
      </c>
      <c r="CE79" s="59">
        <f t="shared" si="94"/>
        <v>207.9118653708222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1.1336280682257318</v>
      </c>
      <c r="CL79" s="21">
        <f>EXP(-LN(2)/25)*CL78+(1-EXP(-LN(2)/25))/(LN(2)/25)*Calculateur!CG79*Calculateur!CI79*VLOOKUP('Données projet'!$B$12,Paramètres!$A$1:$I$89,3,0)*0.475*44/12</f>
        <v>7.3563329034311646</v>
      </c>
      <c r="CM79" s="21">
        <f>EXP(-LN(2)/2)*CM78+(1-EXP(-LN(2)/2))/(LN(2)/2)*CG79*CJ79*VLOOKUP('Données projet'!$B$12,Paramètres!$A$1:$I$89,3,0)*0.475*44/12</f>
        <v>2.1695182103613386</v>
      </c>
      <c r="CN79" s="22">
        <f t="shared" si="66"/>
        <v>10.659479182018236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3.4</v>
      </c>
      <c r="CT79" s="12">
        <f>IF('Données projet'!$A$140&gt;35,CT78+CS79-DB78,IF(A79&lt;'Données projet'!$A$140,$CQ$205^A79,IF(A79='Données projet'!$A$140,'Données projet'!$B$140,CT78+CS79-DB78)))</f>
        <v>164.39999999999984</v>
      </c>
      <c r="CU79" s="17">
        <f>CT79*VLOOKUP('Données projet'!$B$13,Paramètres!$A$1:$I$89,3,0)*VLOOKUP('Données projet'!$B$13,Paramètres!$A$1:$I$89,5,0)</f>
        <v>94.891679999999909</v>
      </c>
      <c r="CV79" s="13">
        <f t="shared" si="95"/>
        <v>25.741321896632307</v>
      </c>
      <c r="CW79" s="20">
        <f t="shared" si="67"/>
        <v>210.10247830330107</v>
      </c>
      <c r="CX79" s="59">
        <f t="shared" si="68"/>
        <v>479.19206268415053</v>
      </c>
      <c r="CY79" s="59">
        <f ca="1">AVERAGE(OFFSET($CX$3,0,0,'Données projet'!$E$13+1,1))-AVERAGE(OFFSET($H$3,0,0,'Données projet'!$E$13+1,1))</f>
        <v>205.74526926885287</v>
      </c>
      <c r="CZ79" s="59">
        <f t="shared" si="96"/>
        <v>201.56217137928999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5.884525464368406</v>
      </c>
      <c r="DH79" s="21">
        <f>EXP(-LN(2)/2)*DH78+(1-EXP(-LN(2)/2))/(LN(2)/2)*DB79*DE79*VLOOKUP('Données projet'!$B$13,Paramètres!$A$1:$I$89,3,0)*0.475*44/12</f>
        <v>1.9947017842532073</v>
      </c>
      <c r="DI79" s="22">
        <f t="shared" si="69"/>
        <v>7.8792272486216133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5.5042735042735051</v>
      </c>
      <c r="DO79" s="12">
        <f>IF('Données projet'!$A$166&gt;35,DO78+DN79-DW78,IF(A79&lt;'Données projet'!$A$166,$DL$205^A79,IF(A79='Données projet'!$A$166,'Données projet'!$B$166,DO78+DN79-DW78)))</f>
        <v>155.97222222222217</v>
      </c>
      <c r="DP79" s="17">
        <f>DO79*VLOOKUP('Données projet'!$B$14,Paramètres!$A$1:$I$89,3,0)*VLOOKUP('Données projet'!$B$14,Paramètres!$A$1:$I$89,5,0)</f>
        <v>148.42316666666662</v>
      </c>
      <c r="DQ79" s="13">
        <f t="shared" si="97"/>
        <v>38.220024488050548</v>
      </c>
      <c r="DR79" s="20">
        <f t="shared" si="70"/>
        <v>325.07022459446569</v>
      </c>
      <c r="DS79" s="59">
        <f t="shared" si="71"/>
        <v>594.15980897531517</v>
      </c>
      <c r="DT79" s="59">
        <f ca="1">AVERAGE(OFFSET($DS$3,0,0,'Données projet'!$E$14+1,1))-AVERAGE(OFFSET($H$3,0,0,'Données projet'!$E$14+1,1))</f>
        <v>403.89478276355294</v>
      </c>
      <c r="DU79" s="59">
        <f t="shared" si="98"/>
        <v>241.1593989733278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9.5975381233506205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9.5975381233506205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5.5042735042735051</v>
      </c>
      <c r="N80" s="13">
        <f>IF('Données projet'!$A$36&gt;35,N79+M80-V79,IF(A80&lt;'Données projet'!$A$36,$K$205^A80,IF(A80='Données projet'!$A$36,'Données projet'!$B$36,N79+M80-V79)))</f>
        <v>161.47649572649567</v>
      </c>
      <c r="O80" s="13">
        <f>N80*VLOOKUP('Données projet'!$B$9,Paramètres!$A$1:$I$89,3,0)*VLOOKUP('Données projet'!$B$9,Paramètres!$A$1:$I$89,5,0)</f>
        <v>146.10393333333329</v>
      </c>
      <c r="P80" s="13">
        <f t="shared" si="87"/>
        <v>37.691838944088502</v>
      </c>
      <c r="Q80" s="20">
        <f t="shared" si="54"/>
        <v>320.11097004984299</v>
      </c>
      <c r="R80" s="59">
        <f t="shared" si="55"/>
        <v>589.62112927411522</v>
      </c>
      <c r="S80" s="59">
        <f ca="1">AVERAGE(OFFSET($R$3,0,0,'Données projet'!$E$9+1,1))-AVERAGE(OFFSET($H$3,0,0,'Données projet'!$E$9+1,1))</f>
        <v>388.1278150896951</v>
      </c>
      <c r="T80" s="59">
        <f t="shared" si="88"/>
        <v>232.26614607059227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8.9465820126388955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8.9465820126388955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5.5042735042735051</v>
      </c>
      <c r="AI80" s="13">
        <f>IF('Données projet'!$A$62&gt;35,AI79+AH80-AQ79,IF(A80&lt;'Données projet'!$A$62,$AF$205^A80,IF(A80='Données projet'!$A$62,'Données projet'!$B$62,AI79+AH80-AQ79)))</f>
        <v>161.47649572649567</v>
      </c>
      <c r="AJ80" s="13">
        <f>AI80*VLOOKUP('Données projet'!$B$10,Paramètres!$A$1:$I$89,3,0)*VLOOKUP('Données projet'!$B$10,Paramètres!$A$1:$I$89,5,0)</f>
        <v>163.73716666666661</v>
      </c>
      <c r="AK80" s="13">
        <f t="shared" si="89"/>
        <v>41.68430774657778</v>
      </c>
      <c r="AL80" s="20">
        <f t="shared" si="58"/>
        <v>357.77573460306729</v>
      </c>
      <c r="AM80" s="59">
        <f t="shared" si="59"/>
        <v>627.28589382733958</v>
      </c>
      <c r="AN80" s="59">
        <f ca="1">AVERAGE(OFFSET($AM$3,0,0,'Données projet'!$E$10+1,1))-AVERAGE(OFFSET($H$3,0,0,'Données projet'!$E$10+1,1))</f>
        <v>424.89201140676084</v>
      </c>
      <c r="AO80" s="59">
        <f t="shared" si="90"/>
        <v>253.0016648946303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10.026341910716004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10.026341910716004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1.6</v>
      </c>
      <c r="BD80" s="12">
        <f>IF('Données projet'!$A$88&gt;35,BD79+BC80-BL79,IF(A80&lt;'Données projet'!$A$88,$BA$205^A80,IF(A80='Données projet'!$A$88,'Données projet'!$B$88,BD79+BC80-BL79)))</f>
        <v>154.19999999999993</v>
      </c>
      <c r="BE80" s="13">
        <f>BD80*VLOOKUP('Données projet'!$B$11,Paramètres!$A$1:$I$89,3,0)*VLOOKUP('Données projet'!$B$11,Paramètres!$A$1:$I$89,5,0)</f>
        <v>134.70911999999996</v>
      </c>
      <c r="BF80" s="13">
        <f t="shared" si="91"/>
        <v>35.082234990312983</v>
      </c>
      <c r="BG80" s="20">
        <f t="shared" si="61"/>
        <v>295.71994327479496</v>
      </c>
      <c r="BH80" s="59">
        <f t="shared" si="62"/>
        <v>565.23010249906724</v>
      </c>
      <c r="BI80" s="59">
        <f ca="1">AVERAGE(OFFSET($BH$3,0,0,'Données projet'!$E$11+1,1))-AVERAGE(OFFSET($H$3,0,0,'Données projet'!$E$11+1,1))</f>
        <v>218.97952644043698</v>
      </c>
      <c r="BJ80" s="59">
        <f t="shared" si="92"/>
        <v>204.10961748628714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1.3491961716738894</v>
      </c>
      <c r="BQ80" s="21">
        <f>EXP(-LN(2)/25)*BQ79+(1-EXP(-LN(2)/25))/(LN(2)/25)*Calculateur!BL80*Calculateur!BN80*VLOOKUP('Données projet'!$B$11,Paramètres!$A$1:$I$89,3,0)*0.475*44/12</f>
        <v>4.8945515470856593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6.2437477187595487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3.6</v>
      </c>
      <c r="BY80" s="12">
        <f>IF('Données projet'!$A$114&gt;35,BY79+BX80-CG79,IF(A80&lt;'Données projet'!$A$114,$BV$205^A80,IF(A80='Données projet'!$A$114,'Données projet'!$B$114,BY79+BX80-CG79)))</f>
        <v>181.19999999999985</v>
      </c>
      <c r="BZ80" s="13">
        <f>BY80*VLOOKUP('Données projet'!$B$12,Paramètres!$A$1:$I$89,3,0)*VLOOKUP('Données projet'!$B$12,Paramètres!$A$1:$I$89,5,0)</f>
        <v>146.98943999999989</v>
      </c>
      <c r="CA80" s="13">
        <f t="shared" si="93"/>
        <v>37.89361985872371</v>
      </c>
      <c r="CB80" s="20">
        <f t="shared" si="64"/>
        <v>322.00466258727687</v>
      </c>
      <c r="CC80" s="59">
        <f t="shared" si="65"/>
        <v>591.51482181154915</v>
      </c>
      <c r="CD80" s="59">
        <f ca="1">AVERAGE(OFFSET($CC$3,0,0,'Données projet'!$E$12+1,1))-AVERAGE(OFFSET($H$3,0,0,'Données projet'!$E$12+1,1))</f>
        <v>256.23994291192162</v>
      </c>
      <c r="CE80" s="59">
        <f t="shared" si="94"/>
        <v>207.9118653708222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1.1113983132526724</v>
      </c>
      <c r="CL80" s="21">
        <f>EXP(-LN(2)/25)*CL79+(1-EXP(-LN(2)/25))/(LN(2)/25)*Calculateur!CG80*Calculateur!CI80*VLOOKUP('Données projet'!$B$12,Paramètres!$A$1:$I$89,3,0)*0.475*44/12</f>
        <v>7.155173593334105</v>
      </c>
      <c r="CM80" s="21">
        <f>EXP(-LN(2)/2)*CM79+(1-EXP(-LN(2)/2))/(LN(2)/2)*CG80*CJ80*VLOOKUP('Données projet'!$B$12,Paramètres!$A$1:$I$89,3,0)*0.475*44/12</f>
        <v>1.5340810384542054</v>
      </c>
      <c r="CN80" s="22">
        <f t="shared" si="66"/>
        <v>9.8006529450409836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3.4</v>
      </c>
      <c r="CT80" s="12">
        <f>IF('Données projet'!$A$140&gt;35,CT79+CS80-DB79,IF(A80&lt;'Données projet'!$A$140,$CQ$205^A80,IF(A80='Données projet'!$A$140,'Données projet'!$B$140,CT79+CS80-DB79)))</f>
        <v>167.79999999999984</v>
      </c>
      <c r="CU80" s="17">
        <f>CT80*VLOOKUP('Données projet'!$B$13,Paramètres!$A$1:$I$89,3,0)*VLOOKUP('Données projet'!$B$13,Paramètres!$A$1:$I$89,5,0)</f>
        <v>96.854159999999908</v>
      </c>
      <c r="CV80" s="13">
        <f t="shared" si="95"/>
        <v>26.211156054561137</v>
      </c>
      <c r="CW80" s="20">
        <f t="shared" si="67"/>
        <v>214.33875879502713</v>
      </c>
      <c r="CX80" s="59">
        <f t="shared" si="68"/>
        <v>483.84891801929939</v>
      </c>
      <c r="CY80" s="59">
        <f ca="1">AVERAGE(OFFSET($CX$3,0,0,'Données projet'!$E$13+1,1))-AVERAGE(OFFSET($H$3,0,0,'Données projet'!$E$13+1,1))</f>
        <v>205.74526926885287</v>
      </c>
      <c r="CZ80" s="59">
        <f t="shared" si="96"/>
        <v>201.56217137928999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5.7236128060915066</v>
      </c>
      <c r="DH80" s="21">
        <f>EXP(-LN(2)/2)*DH79+(1-EXP(-LN(2)/2))/(LN(2)/2)*DB80*DE80*VLOOKUP('Données projet'!$B$13,Paramètres!$A$1:$I$89,3,0)*0.475*44/12</f>
        <v>1.4104671580903487</v>
      </c>
      <c r="DI80" s="22">
        <f t="shared" si="69"/>
        <v>7.1340799641818551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5.5042735042735051</v>
      </c>
      <c r="DO80" s="12">
        <f>IF('Données projet'!$A$166&gt;35,DO79+DN80-DW79,IF(A80&lt;'Données projet'!$A$166,$DL$205^A80,IF(A80='Données projet'!$A$166,'Données projet'!$B$166,DO79+DN80-DW79)))</f>
        <v>161.47649572649567</v>
      </c>
      <c r="DP80" s="17">
        <f>DO80*VLOOKUP('Données projet'!$B$14,Paramètres!$A$1:$I$89,3,0)*VLOOKUP('Données projet'!$B$14,Paramètres!$A$1:$I$89,5,0)</f>
        <v>153.66103333333328</v>
      </c>
      <c r="DQ80" s="13">
        <f t="shared" si="97"/>
        <v>39.409397364479119</v>
      </c>
      <c r="DR80" s="20">
        <f t="shared" si="70"/>
        <v>336.26433346535657</v>
      </c>
      <c r="DS80" s="59">
        <f t="shared" si="71"/>
        <v>605.77449268962891</v>
      </c>
      <c r="DT80" s="59">
        <f ca="1">AVERAGE(OFFSET($DS$3,0,0,'Données projet'!$E$14+1,1))-AVERAGE(OFFSET($H$3,0,0,'Données projet'!$E$14+1,1))</f>
        <v>403.89478276355294</v>
      </c>
      <c r="DU80" s="59">
        <f t="shared" si="98"/>
        <v>241.1593989733278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9.4093362546719437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9.4093362546719437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5.5042735042735051</v>
      </c>
      <c r="N81" s="13">
        <f>IF('Données projet'!$A$36&gt;35,N80+M81-V80,IF(A81&lt;'Données projet'!$A$36,$K$205^A81,IF(A81='Données projet'!$A$36,'Données projet'!$B$36,N80+M81-V80)))</f>
        <v>166.98076923076917</v>
      </c>
      <c r="O81" s="13">
        <f>N81*VLOOKUP('Données projet'!$B$9,Paramètres!$A$1:$I$89,3,0)*VLOOKUP('Données projet'!$B$9,Paramètres!$A$1:$I$89,5,0)</f>
        <v>151.08419999999992</v>
      </c>
      <c r="P81" s="13">
        <f t="shared" si="87"/>
        <v>38.824870591002266</v>
      </c>
      <c r="Q81" s="20">
        <f t="shared" si="54"/>
        <v>330.75829794599554</v>
      </c>
      <c r="R81" s="59">
        <f t="shared" si="55"/>
        <v>600.68173598042176</v>
      </c>
      <c r="S81" s="59">
        <f ca="1">AVERAGE(OFFSET($R$3,0,0,'Données projet'!$E$9+1,1))-AVERAGE(OFFSET($H$3,0,0,'Données projet'!$E$9+1,1))</f>
        <v>388.1278150896951</v>
      </c>
      <c r="T81" s="59">
        <f t="shared" si="88"/>
        <v>232.26614607059227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8.7711449962472532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8.7711449962472532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5.5042735042735051</v>
      </c>
      <c r="AI81" s="13">
        <f>IF('Données projet'!$A$62&gt;35,AI80+AH81-AQ80,IF(A81&lt;'Données projet'!$A$62,$AF$205^A81,IF(A81='Données projet'!$A$62,'Données projet'!$B$62,AI80+AH81-AQ80)))</f>
        <v>166.98076923076917</v>
      </c>
      <c r="AJ81" s="13">
        <f>AI81*VLOOKUP('Données projet'!$B$10,Paramètres!$A$1:$I$89,3,0)*VLOOKUP('Données projet'!$B$10,Paramètres!$A$1:$I$89,5,0)</f>
        <v>169.31849999999994</v>
      </c>
      <c r="AK81" s="13">
        <f t="shared" si="89"/>
        <v>42.93735459119118</v>
      </c>
      <c r="AL81" s="20">
        <f t="shared" si="58"/>
        <v>369.67894674632447</v>
      </c>
      <c r="AM81" s="59">
        <f t="shared" si="59"/>
        <v>639.60238478075075</v>
      </c>
      <c r="AN81" s="59">
        <f ca="1">AVERAGE(OFFSET($AM$3,0,0,'Données projet'!$E$10+1,1))-AVERAGE(OFFSET($H$3,0,0,'Données projet'!$E$10+1,1))</f>
        <v>424.89201140676084</v>
      </c>
      <c r="AO81" s="59">
        <f t="shared" si="90"/>
        <v>253.0016648946303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9.8297314613115763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9.8297314613115763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1.6</v>
      </c>
      <c r="BD81" s="12">
        <f>IF('Données projet'!$A$88&gt;35,BD80+BC81-BL80,IF(A81&lt;'Données projet'!$A$88,$BA$205^A81,IF(A81='Données projet'!$A$88,'Données projet'!$B$88,BD80+BC81-BL80)))</f>
        <v>155.79999999999993</v>
      </c>
      <c r="BE81" s="13">
        <f>BD81*VLOOKUP('Données projet'!$B$11,Paramètres!$A$1:$I$89,3,0)*VLOOKUP('Données projet'!$B$11,Paramètres!$A$1:$I$89,5,0)</f>
        <v>136.10687999999993</v>
      </c>
      <c r="BF81" s="13">
        <f t="shared" si="91"/>
        <v>35.403687803916242</v>
      </c>
      <c r="BG81" s="20">
        <f t="shared" si="61"/>
        <v>298.71423892515395</v>
      </c>
      <c r="BH81" s="59">
        <f t="shared" si="62"/>
        <v>568.63767695958018</v>
      </c>
      <c r="BI81" s="59">
        <f ca="1">AVERAGE(OFFSET($BH$3,0,0,'Données projet'!$E$11+1,1))-AVERAGE(OFFSET($H$3,0,0,'Données projet'!$E$11+1,1))</f>
        <v>218.97952644043698</v>
      </c>
      <c r="BJ81" s="59">
        <f t="shared" si="92"/>
        <v>204.10961748628714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1.3227392576757717</v>
      </c>
      <c r="BQ81" s="21">
        <f>EXP(-LN(2)/25)*BQ80+(1-EXP(-LN(2)/25))/(LN(2)/25)*Calculateur!BL81*Calculateur!BN81*VLOOKUP('Données projet'!$B$11,Paramètres!$A$1:$I$89,3,0)*0.475*44/12</f>
        <v>4.7607097776373228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6.0834490353130946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3.6</v>
      </c>
      <c r="BY81" s="12">
        <f>IF('Données projet'!$A$114&gt;35,BY80+BX81-CG80,IF(A81&lt;'Données projet'!$A$114,$BV$205^A81,IF(A81='Données projet'!$A$114,'Données projet'!$B$114,BY80+BX81-CG80)))</f>
        <v>184.79999999999984</v>
      </c>
      <c r="BZ81" s="13">
        <f>BY81*VLOOKUP('Données projet'!$B$12,Paramètres!$A$1:$I$89,3,0)*VLOOKUP('Données projet'!$B$12,Paramètres!$A$1:$I$89,5,0)</f>
        <v>149.90975999999989</v>
      </c>
      <c r="CA81" s="13">
        <f t="shared" si="93"/>
        <v>38.558077538852132</v>
      </c>
      <c r="CB81" s="20">
        <f t="shared" si="64"/>
        <v>328.24815038016726</v>
      </c>
      <c r="CC81" s="59">
        <f t="shared" si="65"/>
        <v>598.17158841459354</v>
      </c>
      <c r="CD81" s="59">
        <f ca="1">AVERAGE(OFFSET($CC$3,0,0,'Données projet'!$E$12+1,1))-AVERAGE(OFFSET($H$3,0,0,'Données projet'!$E$12+1,1))</f>
        <v>256.23994291192162</v>
      </c>
      <c r="CE81" s="59">
        <f t="shared" si="94"/>
        <v>207.9118653708222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1.0896044702158227</v>
      </c>
      <c r="CL81" s="21">
        <f>EXP(-LN(2)/25)*CL80+(1-EXP(-LN(2)/25))/(LN(2)/25)*Calculateur!CG81*Calculateur!CI81*VLOOKUP('Données projet'!$B$12,Paramètres!$A$1:$I$89,3,0)*0.475*44/12</f>
        <v>6.9595149951501583</v>
      </c>
      <c r="CM81" s="21">
        <f>EXP(-LN(2)/2)*CM80+(1-EXP(-LN(2)/2))/(LN(2)/2)*CG81*CJ81*VLOOKUP('Données projet'!$B$12,Paramètres!$A$1:$I$89,3,0)*0.475*44/12</f>
        <v>1.0847591051806695</v>
      </c>
      <c r="CN81" s="22">
        <f t="shared" si="66"/>
        <v>9.133878570546651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3.4</v>
      </c>
      <c r="CT81" s="12">
        <f>IF('Données projet'!$A$140&gt;35,CT80+CS81-DB80,IF(A81&lt;'Données projet'!$A$140,$CQ$205^A81,IF(A81='Données projet'!$A$140,'Données projet'!$B$140,CT80+CS81-DB80)))</f>
        <v>171.19999999999985</v>
      </c>
      <c r="CU81" s="17">
        <f>CT81*VLOOKUP('Données projet'!$B$13,Paramètres!$A$1:$I$89,3,0)*VLOOKUP('Données projet'!$B$13,Paramètres!$A$1:$I$89,5,0)</f>
        <v>98.816639999999921</v>
      </c>
      <c r="CV81" s="13">
        <f t="shared" si="95"/>
        <v>26.679883323936014</v>
      </c>
      <c r="CW81" s="20">
        <f t="shared" si="67"/>
        <v>218.57311145585507</v>
      </c>
      <c r="CX81" s="59">
        <f t="shared" si="68"/>
        <v>488.49654949028127</v>
      </c>
      <c r="CY81" s="59">
        <f ca="1">AVERAGE(OFFSET($CX$3,0,0,'Données projet'!$E$13+1,1))-AVERAGE(OFFSET($H$3,0,0,'Données projet'!$E$13+1,1))</f>
        <v>205.74526926885287</v>
      </c>
      <c r="CZ81" s="59">
        <f t="shared" si="96"/>
        <v>201.56217137928999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5.5671003129172183</v>
      </c>
      <c r="DH81" s="21">
        <f>EXP(-LN(2)/2)*DH80+(1-EXP(-LN(2)/2))/(LN(2)/2)*DB81*DE81*VLOOKUP('Données projet'!$B$13,Paramètres!$A$1:$I$89,3,0)*0.475*44/12</f>
        <v>0.99735089212660377</v>
      </c>
      <c r="DI81" s="22">
        <f t="shared" si="69"/>
        <v>6.564451205043822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5.5042735042735051</v>
      </c>
      <c r="DO81" s="12">
        <f>IF('Données projet'!$A$166&gt;35,DO80+DN81-DW80,IF(A81&lt;'Données projet'!$A$166,$DL$205^A81,IF(A81='Données projet'!$A$166,'Données projet'!$B$166,DO80+DN81-DW80)))</f>
        <v>166.98076923076917</v>
      </c>
      <c r="DP81" s="17">
        <f>DO81*VLOOKUP('Données projet'!$B$14,Paramètres!$A$1:$I$89,3,0)*VLOOKUP('Données projet'!$B$14,Paramètres!$A$1:$I$89,5,0)</f>
        <v>158.89889999999994</v>
      </c>
      <c r="DQ81" s="13">
        <f t="shared" si="97"/>
        <v>40.59405949958991</v>
      </c>
      <c r="DR81" s="20">
        <f t="shared" si="70"/>
        <v>347.45023779511899</v>
      </c>
      <c r="DS81" s="59">
        <f t="shared" si="71"/>
        <v>617.37367582954516</v>
      </c>
      <c r="DT81" s="59">
        <f ca="1">AVERAGE(OFFSET($DS$3,0,0,'Données projet'!$E$14+1,1))-AVERAGE(OFFSET($H$3,0,0,'Données projet'!$E$14+1,1))</f>
        <v>403.89478276355294</v>
      </c>
      <c r="DU81" s="59">
        <f t="shared" si="98"/>
        <v>241.1593989733278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9.2248249098462498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9.2248249098462498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5.5042735042735051</v>
      </c>
      <c r="N82" s="13">
        <f>IF('Données projet'!$A$36&gt;35,N81+M82-V81,IF(A82&lt;'Données projet'!$A$36,$K$205^A82,IF(A82='Données projet'!$A$36,'Données projet'!$B$36,N81+M82-V81)))</f>
        <v>172.48504273504267</v>
      </c>
      <c r="O82" s="13">
        <f>N82*VLOOKUP('Données projet'!$B$9,Paramètres!$A$1:$I$89,3,0)*VLOOKUP('Données projet'!$B$9,Paramètres!$A$1:$I$89,5,0)</f>
        <v>156.06446666666659</v>
      </c>
      <c r="P82" s="13">
        <f t="shared" si="87"/>
        <v>39.953562347640762</v>
      </c>
      <c r="Q82" s="20">
        <f t="shared" si="54"/>
        <v>341.39806719991861</v>
      </c>
      <c r="R82" s="59">
        <f t="shared" si="55"/>
        <v>611.72761458109562</v>
      </c>
      <c r="S82" s="59">
        <f ca="1">AVERAGE(OFFSET($R$3,0,0,'Données projet'!$E$9+1,1))-AVERAGE(OFFSET($H$3,0,0,'Données projet'!$E$9+1,1))</f>
        <v>388.1278150896951</v>
      </c>
      <c r="T82" s="59">
        <f t="shared" si="88"/>
        <v>232.26614607059227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8.5991481927410369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8.5991481927410369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5.5042735042735051</v>
      </c>
      <c r="AI82" s="13">
        <f>IF('Données projet'!$A$62&gt;35,AI81+AH82-AQ81,IF(A82&lt;'Données projet'!$A$62,$AF$205^A82,IF(A82='Données projet'!$A$62,'Données projet'!$B$62,AI81+AH82-AQ81)))</f>
        <v>172.48504273504267</v>
      </c>
      <c r="AJ82" s="13">
        <f>AI82*VLOOKUP('Données projet'!$B$10,Paramètres!$A$1:$I$89,3,0)*VLOOKUP('Données projet'!$B$10,Paramètres!$A$1:$I$89,5,0)</f>
        <v>174.89983333333328</v>
      </c>
      <c r="AK82" s="13">
        <f t="shared" si="89"/>
        <v>44.185601847169707</v>
      </c>
      <c r="AL82" s="20">
        <f t="shared" si="58"/>
        <v>381.57379960604271</v>
      </c>
      <c r="AM82" s="59">
        <f t="shared" si="59"/>
        <v>651.90334698721972</v>
      </c>
      <c r="AN82" s="59">
        <f ca="1">AVERAGE(OFFSET($AM$3,0,0,'Données projet'!$E$10+1,1))-AVERAGE(OFFSET($H$3,0,0,'Données projet'!$E$10+1,1))</f>
        <v>424.89201140676084</v>
      </c>
      <c r="AO82" s="59">
        <f t="shared" si="90"/>
        <v>253.0016648946303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9.636976422899437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9.636976422899437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1.6</v>
      </c>
      <c r="BD82" s="12">
        <f>IF('Données projet'!$A$88&gt;35,BD81+BC82-BL81,IF(A82&lt;'Données projet'!$A$88,$BA$205^A82,IF(A82='Données projet'!$A$88,'Données projet'!$B$88,BD81+BC82-BL81)))</f>
        <v>157.39999999999992</v>
      </c>
      <c r="BE82" s="13">
        <f>BD82*VLOOKUP('Données projet'!$B$11,Paramètres!$A$1:$I$89,3,0)*VLOOKUP('Données projet'!$B$11,Paramètres!$A$1:$I$89,5,0)</f>
        <v>137.50463999999994</v>
      </c>
      <c r="BF82" s="13">
        <f t="shared" si="91"/>
        <v>35.724756582112299</v>
      </c>
      <c r="BG82" s="20">
        <f t="shared" si="61"/>
        <v>301.70786571384548</v>
      </c>
      <c r="BH82" s="59">
        <f t="shared" si="62"/>
        <v>572.03741309502243</v>
      </c>
      <c r="BI82" s="59">
        <f ca="1">AVERAGE(OFFSET($BH$3,0,0,'Données projet'!$E$11+1,1))-AVERAGE(OFFSET($H$3,0,0,'Données projet'!$E$11+1,1))</f>
        <v>218.97952644043698</v>
      </c>
      <c r="BJ82" s="59">
        <f t="shared" si="92"/>
        <v>204.10961748628714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1.2968011476240331</v>
      </c>
      <c r="BQ82" s="21">
        <f>EXP(-LN(2)/25)*BQ81+(1-EXP(-LN(2)/25))/(LN(2)/25)*Calculateur!BL82*Calculateur!BN82*VLOOKUP('Données projet'!$B$11,Paramètres!$A$1:$I$89,3,0)*0.475*44/12</f>
        <v>4.6305279184129837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5.927329066037017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3.6</v>
      </c>
      <c r="BY82" s="12">
        <f>IF('Données projet'!$A$114&gt;35,BY81+BX82-CG81,IF(A82&lt;'Données projet'!$A$114,$BV$205^A82,IF(A82='Données projet'!$A$114,'Données projet'!$B$114,BY81+BX82-CG81)))</f>
        <v>188.39999999999984</v>
      </c>
      <c r="BZ82" s="13">
        <f>BY82*VLOOKUP('Données projet'!$B$12,Paramètres!$A$1:$I$89,3,0)*VLOOKUP('Données projet'!$B$12,Paramètres!$A$1:$I$89,5,0)</f>
        <v>152.83007999999987</v>
      </c>
      <c r="CA82" s="13">
        <f t="shared" si="93"/>
        <v>39.221030145920366</v>
      </c>
      <c r="CB82" s="20">
        <f t="shared" si="64"/>
        <v>334.48901683747772</v>
      </c>
      <c r="CC82" s="59">
        <f t="shared" si="65"/>
        <v>604.81856421865473</v>
      </c>
      <c r="CD82" s="59">
        <f ca="1">AVERAGE(OFFSET($CC$3,0,0,'Données projet'!$E$12+1,1))-AVERAGE(OFFSET($H$3,0,0,'Données projet'!$E$12+1,1))</f>
        <v>256.23994291192162</v>
      </c>
      <c r="CE82" s="59">
        <f t="shared" si="94"/>
        <v>207.9118653708222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1.0682379911479942</v>
      </c>
      <c r="CL82" s="21">
        <f>EXP(-LN(2)/25)*CL81+(1-EXP(-LN(2)/25))/(LN(2)/25)*Calculateur!CG82*Calculateur!CI82*VLOOKUP('Données projet'!$B$12,Paramètres!$A$1:$I$89,3,0)*0.475*44/12</f>
        <v>6.7692066916227898</v>
      </c>
      <c r="CM82" s="21">
        <f>EXP(-LN(2)/2)*CM81+(1-EXP(-LN(2)/2))/(LN(2)/2)*CG82*CJ82*VLOOKUP('Données projet'!$B$12,Paramètres!$A$1:$I$89,3,0)*0.475*44/12</f>
        <v>0.76704051922710281</v>
      </c>
      <c r="CN82" s="22">
        <f t="shared" si="66"/>
        <v>8.6044852019978855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3.4</v>
      </c>
      <c r="CT82" s="12">
        <f>IF('Données projet'!$A$140&gt;35,CT81+CS82-DB81,IF(A82&lt;'Données projet'!$A$140,$CQ$205^A82,IF(A82='Données projet'!$A$140,'Données projet'!$B$140,CT81+CS82-DB81)))</f>
        <v>174.59999999999985</v>
      </c>
      <c r="CU82" s="17">
        <f>CT82*VLOOKUP('Données projet'!$B$13,Paramètres!$A$1:$I$89,3,0)*VLOOKUP('Données projet'!$B$13,Paramètres!$A$1:$I$89,5,0)</f>
        <v>100.77911999999992</v>
      </c>
      <c r="CV82" s="13">
        <f t="shared" si="95"/>
        <v>27.147528221039611</v>
      </c>
      <c r="CW82" s="20">
        <f t="shared" si="67"/>
        <v>222.80557898497716</v>
      </c>
      <c r="CX82" s="59">
        <f t="shared" si="68"/>
        <v>493.13512636615411</v>
      </c>
      <c r="CY82" s="59">
        <f ca="1">AVERAGE(OFFSET($CX$3,0,0,'Données projet'!$E$13+1,1))-AVERAGE(OFFSET($H$3,0,0,'Données projet'!$E$13+1,1))</f>
        <v>205.74526926885287</v>
      </c>
      <c r="CZ82" s="59">
        <f t="shared" si="96"/>
        <v>201.56217137928999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5.4148676620994154</v>
      </c>
      <c r="DH82" s="21">
        <f>EXP(-LN(2)/2)*DH81+(1-EXP(-LN(2)/2))/(LN(2)/2)*DB82*DE82*VLOOKUP('Données projet'!$B$13,Paramètres!$A$1:$I$89,3,0)*0.475*44/12</f>
        <v>0.70523357904517447</v>
      </c>
      <c r="DI82" s="22">
        <f t="shared" si="69"/>
        <v>6.1201012411445896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5.5042735042735051</v>
      </c>
      <c r="DO82" s="12">
        <f>IF('Données projet'!$A$166&gt;35,DO81+DN82-DW81,IF(A82&lt;'Données projet'!$A$166,$DL$205^A82,IF(A82='Données projet'!$A$166,'Données projet'!$B$166,DO81+DN82-DW81)))</f>
        <v>172.48504273504267</v>
      </c>
      <c r="DP82" s="17">
        <f>DO82*VLOOKUP('Données projet'!$B$14,Paramètres!$A$1:$I$89,3,0)*VLOOKUP('Données projet'!$B$14,Paramètres!$A$1:$I$89,5,0)</f>
        <v>164.1367666666666</v>
      </c>
      <c r="DQ82" s="13">
        <f t="shared" si="97"/>
        <v>41.774183982382013</v>
      </c>
      <c r="DR82" s="20">
        <f t="shared" si="70"/>
        <v>358.62823904709302</v>
      </c>
      <c r="DS82" s="59">
        <f t="shared" si="71"/>
        <v>628.95778642826997</v>
      </c>
      <c r="DT82" s="59">
        <f ca="1">AVERAGE(OFFSET($DS$3,0,0,'Données projet'!$E$14+1,1))-AVERAGE(OFFSET($H$3,0,0,'Données projet'!$E$14+1,1))</f>
        <v>403.89478276355294</v>
      </c>
      <c r="DU82" s="59">
        <f t="shared" si="98"/>
        <v>241.1593989733278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9.0439317199517806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9.0439317199517806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5.5042735042735051</v>
      </c>
      <c r="N83" s="13">
        <f>IF('Données projet'!$A$36&gt;35,N82+M83-V82,IF(A83&lt;'Données projet'!$A$36,$K$205^A83,IF(A83='Données projet'!$A$36,'Données projet'!$B$36,N82+M83-V82)))</f>
        <v>177.98931623931617</v>
      </c>
      <c r="O83" s="13">
        <f>N83*VLOOKUP('Données projet'!$B$9,Paramètres!$A$1:$I$89,3,0)*VLOOKUP('Données projet'!$B$9,Paramètres!$A$1:$I$89,5,0)</f>
        <v>161.04473333333328</v>
      </c>
      <c r="P83" s="13">
        <f t="shared" si="87"/>
        <v>41.078068593790562</v>
      </c>
      <c r="Q83" s="20">
        <f t="shared" si="54"/>
        <v>352.03054668974067</v>
      </c>
      <c r="R83" s="59">
        <f t="shared" si="55"/>
        <v>622.75915832842679</v>
      </c>
      <c r="S83" s="59">
        <f ca="1">AVERAGE(OFFSET($R$3,0,0,'Données projet'!$E$9+1,1))-AVERAGE(OFFSET($H$3,0,0,'Données projet'!$E$9+1,1))</f>
        <v>388.1278150896951</v>
      </c>
      <c r="T83" s="59">
        <f t="shared" si="88"/>
        <v>232.26614607059227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8.4305241416438861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8.4305241416438861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5.5042735042735051</v>
      </c>
      <c r="AI83" s="13">
        <f>IF('Données projet'!$A$62&gt;35,AI82+AH83-AQ82,IF(A83&lt;'Données projet'!$A$62,$AF$205^A83,IF(A83='Données projet'!$A$62,'Données projet'!$B$62,AI82+AH83-AQ82)))</f>
        <v>177.98931623931617</v>
      </c>
      <c r="AJ83" s="13">
        <f>AI83*VLOOKUP('Données projet'!$B$10,Paramètres!$A$1:$I$89,3,0)*VLOOKUP('Données projet'!$B$10,Paramètres!$A$1:$I$89,5,0)</f>
        <v>180.48116666666661</v>
      </c>
      <c r="AK83" s="13">
        <f t="shared" si="89"/>
        <v>45.429220246818225</v>
      </c>
      <c r="AL83" s="20">
        <f t="shared" si="58"/>
        <v>393.46059054098606</v>
      </c>
      <c r="AM83" s="59">
        <f t="shared" si="59"/>
        <v>664.18920217967218</v>
      </c>
      <c r="AN83" s="59">
        <f ca="1">AVERAGE(OFFSET($AM$3,0,0,'Données projet'!$E$10+1,1))-AVERAGE(OFFSET($H$3,0,0,'Données projet'!$E$10+1,1))</f>
        <v>424.89201140676084</v>
      </c>
      <c r="AO83" s="59">
        <f t="shared" si="90"/>
        <v>253.0016648946303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9.4480011932215948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9.4480011932215948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159</v>
      </c>
      <c r="BB83" s="12">
        <f>VLOOKUP(A83,'Données projet'!$A$87:$I$107,9,0)</f>
        <v>1.6</v>
      </c>
      <c r="BC83" s="12">
        <f t="array" ref="BC83">INDEX(BB:BB,MIN(IF(ISNUMBER(BB83:BB279),ROW(BB83:BB279),"")))</f>
        <v>1.6</v>
      </c>
      <c r="BD83" s="12">
        <f>IF('Données projet'!$A$88&gt;35,BD82+BC83-BL82,IF(A83&lt;'Données projet'!$A$88,$BA$205^A83,IF(A83='Données projet'!$A$88,'Données projet'!$B$88,BD82+BC83-BL82)))</f>
        <v>158.99999999999991</v>
      </c>
      <c r="BE83" s="13">
        <f>BD83*VLOOKUP('Données projet'!$B$11,Paramètres!$A$1:$I$89,3,0)*VLOOKUP('Données projet'!$B$11,Paramètres!$A$1:$I$89,5,0)</f>
        <v>138.90239999999994</v>
      </c>
      <c r="BF83" s="13">
        <f t="shared" si="91"/>
        <v>36.045445680666425</v>
      </c>
      <c r="BG83" s="20">
        <f t="shared" si="61"/>
        <v>304.70083122716056</v>
      </c>
      <c r="BH83" s="59">
        <f t="shared" si="62"/>
        <v>575.42944286584668</v>
      </c>
      <c r="BI83" s="59">
        <f ca="1">AVERAGE(OFFSET($BH$3,0,0,'Données projet'!$E$11+1,1))-AVERAGE(OFFSET($H$3,0,0,'Données projet'!$E$11+1,1))</f>
        <v>218.97952644043698</v>
      </c>
      <c r="BJ83" s="59">
        <f t="shared" si="92"/>
        <v>204.10961748628714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3</v>
      </c>
      <c r="BM83" s="16">
        <f>IF(ISNA(VLOOKUP(A83,'Données projet'!$A$87:$I$107,5,0)),0%,VLOOKUP(A83,'Données projet'!$A$87:$I$107,5,0)*VLOOKUP('Données projet'!$B$11,Paramètres!$A$1:$I$89,7,0))</f>
        <v>0.17490000000000003</v>
      </c>
      <c r="BN83" s="16">
        <f>IF(ISNA(VLOOKUP(A83,'Données projet'!$A$87:$I$107,6,0)),0%,VLOOKUP(A83,'Données projet'!$A$87:$I$107,6,0)*VLOOKUP('Données projet'!$B$11,Paramètres!$A$1:$I$89,7,0))</f>
        <v>0.17490000000000003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1.7780948812816484</v>
      </c>
      <c r="BQ83" s="21">
        <f>EXP(-LN(2)/25)*BQ82+(1-EXP(-LN(2)/25))/(LN(2)/25)*Calculateur!BL83*Calculateur!BN83*VLOOKUP('Données projet'!$B$11,Paramètres!$A$1:$I$89,3,0)*0.475*44/12</f>
        <v>5.0086339398000073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6.7867288210816561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192</v>
      </c>
      <c r="BW83" s="12">
        <f>VLOOKUP(A83,'Données projet'!$A$113:$I$133,9,0)</f>
        <v>3.6</v>
      </c>
      <c r="BX83" s="12">
        <f t="array" ref="BX83">INDEX(BW:BW,MIN(IF(ISNUMBER(BW83:BW279),ROW(BW83:BW279),"")))</f>
        <v>3.6</v>
      </c>
      <c r="BY83" s="12">
        <f>IF('Données projet'!$A$114&gt;35,BY82+BX83-CG82,IF(A83&lt;'Données projet'!$A$114,$BV$205^A83,IF(A83='Données projet'!$A$114,'Données projet'!$B$114,BY82+BX83-CG82)))</f>
        <v>191.99999999999983</v>
      </c>
      <c r="BZ83" s="13">
        <f>BY83*VLOOKUP('Données projet'!$B$12,Paramètres!$A$1:$I$89,3,0)*VLOOKUP('Données projet'!$B$12,Paramètres!$A$1:$I$89,5,0)</f>
        <v>155.75039999999987</v>
      </c>
      <c r="CA83" s="13">
        <f t="shared" si="93"/>
        <v>39.882509755133718</v>
      </c>
      <c r="CB83" s="20">
        <f t="shared" si="64"/>
        <v>340.72731782352434</v>
      </c>
      <c r="CC83" s="59">
        <f t="shared" si="65"/>
        <v>611.45592946221041</v>
      </c>
      <c r="CD83" s="59">
        <f ca="1">AVERAGE(OFFSET($CC$3,0,0,'Données projet'!$E$12+1,1))-AVERAGE(OFFSET($H$3,0,0,'Données projet'!$E$12+1,1))</f>
        <v>256.23994291192162</v>
      </c>
      <c r="CE83" s="59">
        <f t="shared" si="94"/>
        <v>207.9118653708222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11</v>
      </c>
      <c r="CH83" s="16">
        <f>IF(ISNA(VLOOKUP(A83,'Données projet'!$A$113:$I$133,5,0)),0%,VLOOKUP(A83,'Données projet'!$A$113:$I$133,5,0)*VLOOKUP('Données projet'!$B$12,Paramètres!$A$1:$I$89,7,0))</f>
        <v>8.6000000000000007E-2</v>
      </c>
      <c r="CI83" s="16">
        <f>IF(ISNA(VLOOKUP(A83,'Données projet'!$A$113:$I$133,6,0)),0%,VLOOKUP(A83,'Données projet'!$A$113:$I$133,6,0)*VLOOKUP('Données projet'!$B$12,Paramètres!$A$1:$I$89,7,0))</f>
        <v>0.215</v>
      </c>
      <c r="CJ83" s="16">
        <f>IF(ISNA(VLOOKUP(A83,'Données projet'!$A$113:$I$133,7,0)),0%,VLOOKUP(A83,'Données projet'!$A$113:$I$133,7,0))</f>
        <v>0.2</v>
      </c>
      <c r="CK83" s="21">
        <f>EXP(-LN(2)/35)*CK82+(1-EXP(-LN(2)/35))/(LN(2)/35)*CG83*CH83*VLOOKUP('Données projet'!$B$12,Paramètres!$A$1:$I$89,3,0)*0.475*44/12</f>
        <v>1.8956231586981844</v>
      </c>
      <c r="CL83" s="21">
        <f>EXP(-LN(2)/25)*CL82+(1-EXP(-LN(2)/25))/(LN(2)/25)*Calculateur!CG83*Calculateur!CI83*VLOOKUP('Données projet'!$B$12,Paramètres!$A$1:$I$89,3,0)*0.475*44/12</f>
        <v>8.6965835138169147</v>
      </c>
      <c r="CM83" s="21">
        <f>EXP(-LN(2)/2)*CM82+(1-EXP(-LN(2)/2))/(LN(2)/2)*CG83*CJ83*VLOOKUP('Données projet'!$B$12,Paramètres!$A$1:$I$89,3,0)*0.475*44/12</f>
        <v>2.2262354254716952</v>
      </c>
      <c r="CN83" s="22">
        <f t="shared" si="66"/>
        <v>12.818442097986793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178</v>
      </c>
      <c r="CR83" s="12">
        <f>VLOOKUP(A83,'Données projet'!$A$139:$I$159,9,0)</f>
        <v>3.4</v>
      </c>
      <c r="CS83" s="12">
        <f t="array" ref="CS83">INDEX(CR:CR,MIN(IF(ISNUMBER(CR83:CR279),ROW(CR83:CR279),"")))</f>
        <v>3.4</v>
      </c>
      <c r="CT83" s="12">
        <f>IF('Données projet'!$A$140&gt;35,CT82+CS83-DB82,IF(A83&lt;'Données projet'!$A$140,$CQ$205^A83,IF(A83='Données projet'!$A$140,'Données projet'!$B$140,CT82+CS83-DB82)))</f>
        <v>177.99999999999986</v>
      </c>
      <c r="CU83" s="17">
        <f>CT83*VLOOKUP('Données projet'!$B$13,Paramètres!$A$1:$I$89,3,0)*VLOOKUP('Données projet'!$B$13,Paramètres!$A$1:$I$89,5,0)</f>
        <v>102.74159999999992</v>
      </c>
      <c r="CV83" s="13">
        <f t="shared" si="95"/>
        <v>27.614114252722253</v>
      </c>
      <c r="CW83" s="20">
        <f t="shared" si="67"/>
        <v>227.03620232349112</v>
      </c>
      <c r="CX83" s="59">
        <f t="shared" si="68"/>
        <v>497.76481396217724</v>
      </c>
      <c r="CY83" s="59">
        <f ca="1">AVERAGE(OFFSET($CX$3,0,0,'Données projet'!$E$13+1,1))-AVERAGE(OFFSET($H$3,0,0,'Données projet'!$E$13+1,1))</f>
        <v>205.74526926885287</v>
      </c>
      <c r="CZ83" s="59">
        <f t="shared" si="96"/>
        <v>201.56217137928999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13</v>
      </c>
      <c r="DC83" s="16">
        <f>IF(ISNA(VLOOKUP(A83,'Données projet'!$A$139:$I$159,5,0)),0%,VLOOKUP(A83,'Données projet'!$A$139:$I$159,5,0)*VLOOKUP('Données projet'!$B$13,Paramètres!$A$1:$I$89,7,0))</f>
        <v>4.3000000000000003E-2</v>
      </c>
      <c r="DD83" s="16">
        <f>IF(ISNA(VLOOKUP(A83,'Données projet'!$A$139:$I$159,6,0)),0%,VLOOKUP(A83,'Données projet'!$A$139:$I$159,6,0)*VLOOKUP('Données projet'!$B$13,Paramètres!$A$1:$I$89,7,0))</f>
        <v>0.17200000000000001</v>
      </c>
      <c r="DE83" s="16">
        <f>IF(ISNA(VLOOKUP(A83,'Données projet'!$A$139:$I$159,7,0)),0%,VLOOKUP(A83,'Données projet'!$A$139:$I$159,7,0))</f>
        <v>0.3</v>
      </c>
      <c r="DF83" s="21">
        <f>EXP(-LN(2)/35)*DF82+(1-EXP(-LN(2)/35))/(LN(2)/35)*DB83*DC83*VLOOKUP('Données projet'!$B$13,Paramètres!$A$1:$I$89,3,0)*0.475*44/12</f>
        <v>0.35668532421412819</v>
      </c>
      <c r="DG83" s="21">
        <f>EXP(-LN(2)/25)*DG82+(1-EXP(-LN(2)/25))/(LN(2)/25)*Calculateur!DB83*Calculateur!DD83*VLOOKUP('Données projet'!$B$13,Paramètres!$A$1:$I$89,3,0)*0.475*44/12</f>
        <v>6.6879214938635272</v>
      </c>
      <c r="DH83" s="21">
        <f>EXP(-LN(2)/2)*DH82+(1-EXP(-LN(2)/2))/(LN(2)/2)*DB83*DE83*VLOOKUP('Données projet'!$B$13,Paramètres!$A$1:$I$89,3,0)*0.475*44/12</f>
        <v>2.622630012993199</v>
      </c>
      <c r="DI83" s="22">
        <f t="shared" si="69"/>
        <v>9.6672368310708539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5.5042735042735051</v>
      </c>
      <c r="DO83" s="12">
        <f>IF('Données projet'!$A$166&gt;35,DO82+DN83-DW82,IF(A83&lt;'Données projet'!$A$166,$DL$205^A83,IF(A83='Données projet'!$A$166,'Données projet'!$B$166,DO82+DN83-DW82)))</f>
        <v>177.98931623931617</v>
      </c>
      <c r="DP83" s="17">
        <f>DO83*VLOOKUP('Données projet'!$B$14,Paramètres!$A$1:$I$89,3,0)*VLOOKUP('Données projet'!$B$14,Paramètres!$A$1:$I$89,5,0)</f>
        <v>169.37463333333326</v>
      </c>
      <c r="DQ83" s="13">
        <f t="shared" si="97"/>
        <v>42.949932227488745</v>
      </c>
      <c r="DR83" s="20">
        <f t="shared" si="70"/>
        <v>369.79861835176501</v>
      </c>
      <c r="DS83" s="59">
        <f t="shared" si="71"/>
        <v>640.52722999045113</v>
      </c>
      <c r="DT83" s="59">
        <f ca="1">AVERAGE(OFFSET($DS$3,0,0,'Données projet'!$E$14+1,1))-AVERAGE(OFFSET($H$3,0,0,'Données projet'!$E$14+1,1))</f>
        <v>403.89478276355294</v>
      </c>
      <c r="DU83" s="59">
        <f t="shared" si="98"/>
        <v>241.1593989733278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8.8665857351771908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8.8665857351771908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5.5042735042735051</v>
      </c>
      <c r="N84" s="13">
        <f>IF('Données projet'!$A$36&gt;35,N83+M84-V83,IF(A84&lt;'Données projet'!$A$36,$K$205^A84,IF(A84='Données projet'!$A$36,'Données projet'!$B$36,N83+M84-V83)))</f>
        <v>183.49358974358967</v>
      </c>
      <c r="O84" s="13">
        <f>N84*VLOOKUP('Données projet'!$B$9,Paramètres!$A$1:$I$89,3,0)*VLOOKUP('Données projet'!$B$9,Paramètres!$A$1:$I$89,5,0)</f>
        <v>166.02499999999992</v>
      </c>
      <c r="P84" s="13">
        <f t="shared" si="87"/>
        <v>42.198533618502132</v>
      </c>
      <c r="Q84" s="20">
        <f t="shared" si="54"/>
        <v>362.65598771889108</v>
      </c>
      <c r="R84" s="59">
        <f t="shared" si="55"/>
        <v>633.77674074239258</v>
      </c>
      <c r="S84" s="59">
        <f ca="1">AVERAGE(OFFSET($R$3,0,0,'Données projet'!$E$9+1,1))-AVERAGE(OFFSET($H$3,0,0,'Données projet'!$E$9+1,1))</f>
        <v>388.1278150896951</v>
      </c>
      <c r="T84" s="59">
        <f t="shared" si="88"/>
        <v>232.26614607059227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8.265206705338235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8.265206705338235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5.5042735042735051</v>
      </c>
      <c r="AI84" s="13">
        <f>IF('Données projet'!$A$62&gt;35,AI83+AH84-AQ83,IF(A84&lt;'Données projet'!$A$62,$AF$205^A84,IF(A84='Données projet'!$A$62,'Données projet'!$B$62,AI83+AH84-AQ83)))</f>
        <v>183.49358974358967</v>
      </c>
      <c r="AJ84" s="13">
        <f>AI84*VLOOKUP('Données projet'!$B$10,Paramètres!$A$1:$I$89,3,0)*VLOOKUP('Données projet'!$B$10,Paramètres!$A$1:$I$89,5,0)</f>
        <v>186.06249999999994</v>
      </c>
      <c r="AK84" s="13">
        <f t="shared" si="89"/>
        <v>46.668369362854641</v>
      </c>
      <c r="AL84" s="20">
        <f t="shared" si="58"/>
        <v>405.33959747363838</v>
      </c>
      <c r="AM84" s="59">
        <f t="shared" si="59"/>
        <v>676.46035049713987</v>
      </c>
      <c r="AN84" s="59">
        <f ca="1">AVERAGE(OFFSET($AM$3,0,0,'Données projet'!$E$10+1,1))-AVERAGE(OFFSET($H$3,0,0,'Données projet'!$E$10+1,1))</f>
        <v>424.89201140676084</v>
      </c>
      <c r="AO84" s="59">
        <f t="shared" si="90"/>
        <v>253.0016648946303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9.2627316525342263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9.2627316525342263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155.99999999999991</v>
      </c>
      <c r="BE84" s="13">
        <f>BD84*VLOOKUP('Données projet'!$B$11,Paramètres!$A$1:$I$89,3,0)*VLOOKUP('Données projet'!$B$11,Paramètres!$A$1:$I$89,5,0)</f>
        <v>136.28159999999994</v>
      </c>
      <c r="BF84" s="13">
        <f t="shared" si="91"/>
        <v>35.443842312892279</v>
      </c>
      <c r="BG84" s="20">
        <f t="shared" si="61"/>
        <v>299.08847869495395</v>
      </c>
      <c r="BH84" s="59">
        <f t="shared" si="62"/>
        <v>570.20923171845538</v>
      </c>
      <c r="BI84" s="59">
        <f ca="1">AVERAGE(OFFSET($BH$3,0,0,'Données projet'!$E$11+1,1))-AVERAGE(OFFSET($H$3,0,0,'Données projet'!$E$11+1,1))</f>
        <v>218.97952644043698</v>
      </c>
      <c r="BJ84" s="59">
        <f t="shared" si="92"/>
        <v>204.10961748628714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1.7432275251905043</v>
      </c>
      <c r="BQ84" s="21">
        <f>EXP(-LN(2)/25)*BQ83+(1-EXP(-LN(2)/25))/(LN(2)/25)*Calculateur!BL84*Calculateur!BN84*VLOOKUP('Données projet'!$B$11,Paramètres!$A$1:$I$89,3,0)*0.475*44/12</f>
        <v>4.8716725813235646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6.6149001065140691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3.2</v>
      </c>
      <c r="BY84" s="12">
        <f>IF('Données projet'!$A$114&gt;35,BY83+BX84-CG83,IF(A84&lt;'Données projet'!$A$114,$BV$205^A84,IF(A84='Données projet'!$A$114,'Données projet'!$B$114,BY83+BX84-CG83)))</f>
        <v>184.19999999999982</v>
      </c>
      <c r="BZ84" s="13">
        <f>BY84*VLOOKUP('Données projet'!$B$12,Paramètres!$A$1:$I$89,3,0)*VLOOKUP('Données projet'!$B$12,Paramètres!$A$1:$I$89,5,0)</f>
        <v>149.42303999999987</v>
      </c>
      <c r="CA84" s="13">
        <f t="shared" si="93"/>
        <v>38.447439996669907</v>
      </c>
      <c r="CB84" s="20">
        <f t="shared" si="64"/>
        <v>327.20775266086656</v>
      </c>
      <c r="CC84" s="59">
        <f t="shared" si="65"/>
        <v>598.328505684368</v>
      </c>
      <c r="CD84" s="59">
        <f ca="1">AVERAGE(OFFSET($CC$3,0,0,'Données projet'!$E$12+1,1))-AVERAGE(OFFSET($H$3,0,0,'Données projet'!$E$12+1,1))</f>
        <v>256.23994291192162</v>
      </c>
      <c r="CE84" s="59">
        <f t="shared" si="94"/>
        <v>207.9118653708222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1.8584511447720731</v>
      </c>
      <c r="CL84" s="21">
        <f>EXP(-LN(2)/25)*CL83+(1-EXP(-LN(2)/25))/(LN(2)/25)*Calculateur!CG84*Calculateur!CI84*VLOOKUP('Données projet'!$B$12,Paramètres!$A$1:$I$89,3,0)*0.475*44/12</f>
        <v>8.4587749802981413</v>
      </c>
      <c r="CM84" s="21">
        <f>EXP(-LN(2)/2)*CM83+(1-EXP(-LN(2)/2))/(LN(2)/2)*CG84*CJ84*VLOOKUP('Données projet'!$B$12,Paramètres!$A$1:$I$89,3,0)*0.475*44/12</f>
        <v>1.5741861658687546</v>
      </c>
      <c r="CN84" s="22">
        <f t="shared" si="66"/>
        <v>11.891412290938968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3</v>
      </c>
      <c r="CT84" s="12">
        <f>IF('Données projet'!$A$140&gt;35,CT83+CS84-DB83,IF(A84&lt;'Données projet'!$A$140,$CQ$205^A84,IF(A84='Données projet'!$A$140,'Données projet'!$B$140,CT83+CS84-DB83)))</f>
        <v>167.99999999999986</v>
      </c>
      <c r="CU84" s="17">
        <f>CT84*VLOOKUP('Données projet'!$B$13,Paramètres!$A$1:$I$89,3,0)*VLOOKUP('Données projet'!$B$13,Paramètres!$A$1:$I$89,5,0)</f>
        <v>96.969599999999915</v>
      </c>
      <c r="CV84" s="13">
        <f t="shared" si="95"/>
        <v>26.238758642904312</v>
      </c>
      <c r="CW84" s="20">
        <f t="shared" si="67"/>
        <v>214.58789130305817</v>
      </c>
      <c r="CX84" s="59">
        <f t="shared" si="68"/>
        <v>485.70864432655958</v>
      </c>
      <c r="CY84" s="59">
        <f ca="1">AVERAGE(OFFSET($CX$3,0,0,'Données projet'!$E$13+1,1))-AVERAGE(OFFSET($H$3,0,0,'Données projet'!$E$13+1,1))</f>
        <v>205.74526926885287</v>
      </c>
      <c r="CZ84" s="59">
        <f t="shared" si="96"/>
        <v>201.56217137928999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0.34969094256285499</v>
      </c>
      <c r="DG84" s="21">
        <f>EXP(-LN(2)/25)*DG83+(1-EXP(-LN(2)/25))/(LN(2)/25)*Calculateur!DB84*Calculateur!DD84*VLOOKUP('Données projet'!$B$13,Paramètres!$A$1:$I$89,3,0)*0.475*44/12</f>
        <v>6.505039928911323</v>
      </c>
      <c r="DH84" s="21">
        <f>EXP(-LN(2)/2)*DH83+(1-EXP(-LN(2)/2))/(LN(2)/2)*DB84*DE84*VLOOKUP('Données projet'!$B$13,Paramètres!$A$1:$I$89,3,0)*0.475*44/12</f>
        <v>1.8544794667308544</v>
      </c>
      <c r="DI84" s="22">
        <f t="shared" si="69"/>
        <v>8.7092103382050325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5.5042735042735051</v>
      </c>
      <c r="DO84" s="12">
        <f>IF('Données projet'!$A$166&gt;35,DO83+DN84-DW83,IF(A84&lt;'Données projet'!$A$166,$DL$205^A84,IF(A84='Données projet'!$A$166,'Données projet'!$B$166,DO83+DN84-DW83)))</f>
        <v>183.49358974358967</v>
      </c>
      <c r="DP84" s="17">
        <f>DO84*VLOOKUP('Données projet'!$B$14,Paramètres!$A$1:$I$89,3,0)*VLOOKUP('Données projet'!$B$14,Paramètres!$A$1:$I$89,5,0)</f>
        <v>174.61249999999993</v>
      </c>
      <c r="DQ84" s="13">
        <f t="shared" si="97"/>
        <v>44.121455098987823</v>
      </c>
      <c r="DR84" s="20">
        <f t="shared" si="70"/>
        <v>380.96163846407029</v>
      </c>
      <c r="DS84" s="59">
        <f t="shared" si="71"/>
        <v>652.08239148757173</v>
      </c>
      <c r="DT84" s="59">
        <f ca="1">AVERAGE(OFFSET($DS$3,0,0,'Données projet'!$E$14+1,1))-AVERAGE(OFFSET($H$3,0,0,'Données projet'!$E$14+1,1))</f>
        <v>403.89478276355294</v>
      </c>
      <c r="DU84" s="59">
        <f t="shared" si="98"/>
        <v>241.1593989733278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8.6927173969936611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8.6927173969936611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5.5042735042735051</v>
      </c>
      <c r="N85" s="13">
        <f>IF('Données projet'!$A$36&gt;35,N84+M85-V84,IF(A85&lt;'Données projet'!$A$36,$K$205^A85,IF(A85='Données projet'!$A$36,'Données projet'!$B$36,N84+M85-V84)))</f>
        <v>188.99786324786317</v>
      </c>
      <c r="O85" s="13">
        <f>N85*VLOOKUP('Données projet'!$B$9,Paramètres!$A$1:$I$89,3,0)*VLOOKUP('Données projet'!$B$9,Paramètres!$A$1:$I$89,5,0)</f>
        <v>171.00526666666659</v>
      </c>
      <c r="P85" s="13">
        <f t="shared" si="87"/>
        <v>43.31509256233069</v>
      </c>
      <c r="Q85" s="20">
        <f t="shared" si="54"/>
        <v>373.27462565717025</v>
      </c>
      <c r="R85" s="59">
        <f t="shared" si="55"/>
        <v>644.78071728915734</v>
      </c>
      <c r="S85" s="59">
        <f ca="1">AVERAGE(OFFSET($R$3,0,0,'Données projet'!$E$9+1,1))-AVERAGE(OFFSET($H$3,0,0,'Données projet'!$E$9+1,1))</f>
        <v>388.1278150896951</v>
      </c>
      <c r="T85" s="59">
        <f t="shared" si="88"/>
        <v>232.26614607059227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8.1031310431248578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8.1031310431248578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5.5042735042735051</v>
      </c>
      <c r="AI85" s="13">
        <f>IF('Données projet'!$A$62&gt;35,AI84+AH85-AQ84,IF(A85&lt;'Données projet'!$A$62,$AF$205^A85,IF(A85='Données projet'!$A$62,'Données projet'!$B$62,AI84+AH85-AQ84)))</f>
        <v>188.99786324786317</v>
      </c>
      <c r="AJ85" s="13">
        <f>AI85*VLOOKUP('Données projet'!$B$10,Paramètres!$A$1:$I$89,3,0)*VLOOKUP('Données projet'!$B$10,Paramètres!$A$1:$I$89,5,0)</f>
        <v>191.64383333333325</v>
      </c>
      <c r="AK85" s="13">
        <f t="shared" si="89"/>
        <v>47.903198650456822</v>
      </c>
      <c r="AL85" s="20">
        <f t="shared" si="58"/>
        <v>417.21108070510104</v>
      </c>
      <c r="AM85" s="59">
        <f t="shared" si="59"/>
        <v>688.71717233708807</v>
      </c>
      <c r="AN85" s="59">
        <f ca="1">AVERAGE(OFFSET($AM$3,0,0,'Données projet'!$E$10+1,1))-AVERAGE(OFFSET($H$3,0,0,'Données projet'!$E$10+1,1))</f>
        <v>424.89201140676084</v>
      </c>
      <c r="AO85" s="59">
        <f t="shared" si="90"/>
        <v>253.0016648946303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9.0810951345364757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9.0810951345364757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155.99999999999991</v>
      </c>
      <c r="BE85" s="13">
        <f>BD85*VLOOKUP('Données projet'!$B$11,Paramètres!$A$1:$I$89,3,0)*VLOOKUP('Données projet'!$B$11,Paramètres!$A$1:$I$89,5,0)</f>
        <v>136.28159999999994</v>
      </c>
      <c r="BF85" s="13">
        <f t="shared" si="91"/>
        <v>35.443842312892279</v>
      </c>
      <c r="BG85" s="20">
        <f t="shared" si="61"/>
        <v>299.08847869495395</v>
      </c>
      <c r="BH85" s="59">
        <f t="shared" si="62"/>
        <v>570.59457032694104</v>
      </c>
      <c r="BI85" s="59">
        <f ca="1">AVERAGE(OFFSET($BH$3,0,0,'Données projet'!$E$11+1,1))-AVERAGE(OFFSET($H$3,0,0,'Données projet'!$E$11+1,1))</f>
        <v>218.97952644043698</v>
      </c>
      <c r="BJ85" s="59">
        <f t="shared" si="92"/>
        <v>204.10961748628714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1.7090438966853203</v>
      </c>
      <c r="BQ85" s="21">
        <f>EXP(-LN(2)/25)*BQ84+(1-EXP(-LN(2)/25))/(LN(2)/25)*Calculateur!BL85*Calculateur!BN85*VLOOKUP('Données projet'!$B$11,Paramètres!$A$1:$I$89,3,0)*0.475*44/12</f>
        <v>4.7384564383971455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6.4475003350824656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3.2</v>
      </c>
      <c r="BY85" s="12">
        <f>IF('Données projet'!$A$114&gt;35,BY84+BX85-CG84,IF(A85&lt;'Données projet'!$A$114,$BV$205^A85,IF(A85='Données projet'!$A$114,'Données projet'!$B$114,BY84+BX85-CG84)))</f>
        <v>187.39999999999981</v>
      </c>
      <c r="BZ85" s="13">
        <f>BY85*VLOOKUP('Données projet'!$B$12,Paramètres!$A$1:$I$89,3,0)*VLOOKUP('Données projet'!$B$12,Paramètres!$A$1:$I$89,5,0)</f>
        <v>152.01887999999985</v>
      </c>
      <c r="CA85" s="13">
        <f t="shared" si="93"/>
        <v>39.037025744724865</v>
      </c>
      <c r="CB85" s="20">
        <f t="shared" si="64"/>
        <v>332.7557025053955</v>
      </c>
      <c r="CC85" s="59">
        <f t="shared" si="65"/>
        <v>604.26179413738259</v>
      </c>
      <c r="CD85" s="59">
        <f ca="1">AVERAGE(OFFSET($CC$3,0,0,'Données projet'!$E$12+1,1))-AVERAGE(OFFSET($H$3,0,0,'Données projet'!$E$12+1,1))</f>
        <v>256.23994291192162</v>
      </c>
      <c r="CE85" s="59">
        <f t="shared" si="94"/>
        <v>207.9118653708222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1.822008051366363</v>
      </c>
      <c r="CL85" s="21">
        <f>EXP(-LN(2)/25)*CL84+(1-EXP(-LN(2)/25))/(LN(2)/25)*Calculateur!CG85*Calculateur!CI85*VLOOKUP('Données projet'!$B$12,Paramètres!$A$1:$I$89,3,0)*0.475*44/12</f>
        <v>8.2274693336342448</v>
      </c>
      <c r="CM85" s="21">
        <f>EXP(-LN(2)/2)*CM84+(1-EXP(-LN(2)/2))/(LN(2)/2)*CG85*CJ85*VLOOKUP('Données projet'!$B$12,Paramètres!$A$1:$I$89,3,0)*0.475*44/12</f>
        <v>1.1131177127358478</v>
      </c>
      <c r="CN85" s="22">
        <f t="shared" si="66"/>
        <v>11.162595097736455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3</v>
      </c>
      <c r="CT85" s="12">
        <f>IF('Données projet'!$A$140&gt;35,CT84+CS85-DB84,IF(A85&lt;'Données projet'!$A$140,$CQ$205^A85,IF(A85='Données projet'!$A$140,'Données projet'!$B$140,CT84+CS85-DB84)))</f>
        <v>170.99999999999986</v>
      </c>
      <c r="CU85" s="17">
        <f>CT85*VLOOKUP('Données projet'!$B$13,Paramètres!$A$1:$I$89,3,0)*VLOOKUP('Données projet'!$B$13,Paramètres!$A$1:$I$89,5,0)</f>
        <v>98.701199999999915</v>
      </c>
      <c r="CV85" s="13">
        <f t="shared" si="95"/>
        <v>26.652341328097918</v>
      </c>
      <c r="CW85" s="20">
        <f t="shared" si="67"/>
        <v>218.32408447977036</v>
      </c>
      <c r="CX85" s="59">
        <f t="shared" si="68"/>
        <v>489.8301761117574</v>
      </c>
      <c r="CY85" s="59">
        <f ca="1">AVERAGE(OFFSET($CX$3,0,0,'Données projet'!$E$13+1,1))-AVERAGE(OFFSET($H$3,0,0,'Données projet'!$E$13+1,1))</f>
        <v>205.74526926885287</v>
      </c>
      <c r="CZ85" s="59">
        <f t="shared" si="96"/>
        <v>201.56217137928999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0.34283371646961169</v>
      </c>
      <c r="DG85" s="21">
        <f>EXP(-LN(2)/25)*DG84+(1-EXP(-LN(2)/25))/(LN(2)/25)*Calculateur!DB85*Calculateur!DD85*VLOOKUP('Données projet'!$B$13,Paramètres!$A$1:$I$89,3,0)*0.475*44/12</f>
        <v>6.3271592699700605</v>
      </c>
      <c r="DH85" s="21">
        <f>EXP(-LN(2)/2)*DH84+(1-EXP(-LN(2)/2))/(LN(2)/2)*DB85*DE85*VLOOKUP('Données projet'!$B$13,Paramètres!$A$1:$I$89,3,0)*0.475*44/12</f>
        <v>1.3113150064965997</v>
      </c>
      <c r="DI85" s="22">
        <f t="shared" si="69"/>
        <v>7.9813079929362711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5.5042735042735051</v>
      </c>
      <c r="DO85" s="12">
        <f>IF('Données projet'!$A$166&gt;35,DO84+DN85-DW84,IF(A85&lt;'Données projet'!$A$166,$DL$205^A85,IF(A85='Données projet'!$A$166,'Données projet'!$B$166,DO84+DN85-DW84)))</f>
        <v>188.99786324786317</v>
      </c>
      <c r="DP85" s="17">
        <f>DO85*VLOOKUP('Données projet'!$B$14,Paramètres!$A$1:$I$89,3,0)*VLOOKUP('Données projet'!$B$14,Paramètres!$A$1:$I$89,5,0)</f>
        <v>179.85036666666659</v>
      </c>
      <c r="DQ85" s="13">
        <f t="shared" si="97"/>
        <v>45.288893895579243</v>
      </c>
      <c r="DR85" s="20">
        <f t="shared" si="70"/>
        <v>392.11754547924482</v>
      </c>
      <c r="DS85" s="59">
        <f t="shared" si="71"/>
        <v>663.6236371112318</v>
      </c>
      <c r="DT85" s="59">
        <f ca="1">AVERAGE(OFFSET($DS$3,0,0,'Données projet'!$E$14+1,1))-AVERAGE(OFFSET($H$3,0,0,'Données projet'!$E$14+1,1))</f>
        <v>403.89478276355294</v>
      </c>
      <c r="DU85" s="59">
        <f t="shared" si="98"/>
        <v>241.1593989733278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8.522258510872696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8.522258510872696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5.5042735042735051</v>
      </c>
      <c r="N86" s="13">
        <f>IF('Données projet'!$A$36&gt;35,N85+M86-V85,IF(A86&lt;'Données projet'!$A$36,$K$205^A86,IF(A86='Données projet'!$A$36,'Données projet'!$B$36,N85+M86-V85)))</f>
        <v>194.50213675213666</v>
      </c>
      <c r="O86" s="13">
        <f>N86*VLOOKUP('Données projet'!$B$9,Paramètres!$A$1:$I$89,3,0)*VLOOKUP('Données projet'!$B$9,Paramètres!$A$1:$I$89,5,0)</f>
        <v>175.98553333333325</v>
      </c>
      <c r="P86" s="13">
        <f t="shared" si="87"/>
        <v>44.427872246727624</v>
      </c>
      <c r="Q86" s="20">
        <f t="shared" si="54"/>
        <v>383.88668138527265</v>
      </c>
      <c r="R86" s="59">
        <f t="shared" si="55"/>
        <v>655.77142686237607</v>
      </c>
      <c r="S86" s="59">
        <f ca="1">AVERAGE(OFFSET($R$3,0,0,'Données projet'!$E$9+1,1))-AVERAGE(OFFSET($H$3,0,0,'Données projet'!$E$9+1,1))</f>
        <v>388.1278150896951</v>
      </c>
      <c r="T86" s="59">
        <f t="shared" si="88"/>
        <v>232.26614607059227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7.9442335857910917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7.9442335857910917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5.5042735042735051</v>
      </c>
      <c r="AI86" s="13">
        <f>IF('Données projet'!$A$62&gt;35,AI85+AH86-AQ85,IF(A86&lt;'Données projet'!$A$62,$AF$205^A86,IF(A86='Données projet'!$A$62,'Données projet'!$B$62,AI85+AH86-AQ85)))</f>
        <v>194.50213675213666</v>
      </c>
      <c r="AJ86" s="13">
        <f>AI86*VLOOKUP('Données projet'!$B$10,Paramètres!$A$1:$I$89,3,0)*VLOOKUP('Données projet'!$B$10,Paramètres!$A$1:$I$89,5,0)</f>
        <v>197.22516666666658</v>
      </c>
      <c r="AK86" s="13">
        <f t="shared" si="89"/>
        <v>49.133848364506264</v>
      </c>
      <c r="AL86" s="20">
        <f t="shared" si="58"/>
        <v>429.07528451262601</v>
      </c>
      <c r="AM86" s="59">
        <f t="shared" si="59"/>
        <v>700.96002998972949</v>
      </c>
      <c r="AN86" s="59">
        <f ca="1">AVERAGE(OFFSET($AM$3,0,0,'Données projet'!$E$10+1,1))-AVERAGE(OFFSET($H$3,0,0,'Données projet'!$E$10+1,1))</f>
        <v>424.89201140676084</v>
      </c>
      <c r="AO86" s="59">
        <f t="shared" si="90"/>
        <v>253.0016648946303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8.9030203978693248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8.9030203978693248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155.99999999999991</v>
      </c>
      <c r="BE86" s="13">
        <f>BD86*VLOOKUP('Données projet'!$B$11,Paramètres!$A$1:$I$89,3,0)*VLOOKUP('Données projet'!$B$11,Paramètres!$A$1:$I$89,5,0)</f>
        <v>136.28159999999994</v>
      </c>
      <c r="BF86" s="13">
        <f t="shared" si="91"/>
        <v>35.443842312892279</v>
      </c>
      <c r="BG86" s="20">
        <f t="shared" si="61"/>
        <v>299.08847869495395</v>
      </c>
      <c r="BH86" s="59">
        <f t="shared" si="62"/>
        <v>570.97322417205737</v>
      </c>
      <c r="BI86" s="59">
        <f ca="1">AVERAGE(OFFSET($BH$3,0,0,'Données projet'!$E$11+1,1))-AVERAGE(OFFSET($H$3,0,0,'Données projet'!$E$11+1,1))</f>
        <v>218.97952644043698</v>
      </c>
      <c r="BJ86" s="59">
        <f t="shared" si="92"/>
        <v>204.10961748628714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1.6755305882851683</v>
      </c>
      <c r="BQ86" s="21">
        <f>EXP(-LN(2)/25)*BQ85+(1-EXP(-LN(2)/25))/(LN(2)/25)*Calculateur!BL86*Calculateur!BN86*VLOOKUP('Données projet'!$B$11,Paramètres!$A$1:$I$89,3,0)*0.475*44/12</f>
        <v>4.6088830979045809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6.2844136861897493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3.2</v>
      </c>
      <c r="BY86" s="12">
        <f>IF('Données projet'!$A$114&gt;35,BY85+BX86-CG85,IF(A86&lt;'Données projet'!$A$114,$BV$205^A86,IF(A86='Données projet'!$A$114,'Données projet'!$B$114,BY85+BX86-CG85)))</f>
        <v>190.5999999999998</v>
      </c>
      <c r="BZ86" s="13">
        <f>BY86*VLOOKUP('Données projet'!$B$12,Paramètres!$A$1:$I$89,3,0)*VLOOKUP('Données projet'!$B$12,Paramètres!$A$1:$I$89,5,0)</f>
        <v>154.61471999999983</v>
      </c>
      <c r="CA86" s="13">
        <f t="shared" si="93"/>
        <v>39.625440724013274</v>
      </c>
      <c r="CB86" s="20">
        <f t="shared" si="64"/>
        <v>338.30161326098943</v>
      </c>
      <c r="CC86" s="59">
        <f t="shared" si="65"/>
        <v>610.18635873809285</v>
      </c>
      <c r="CD86" s="59">
        <f ca="1">AVERAGE(OFFSET($CC$3,0,0,'Données projet'!$E$12+1,1))-AVERAGE(OFFSET($H$3,0,0,'Données projet'!$E$12+1,1))</f>
        <v>256.23994291192162</v>
      </c>
      <c r="CE86" s="59">
        <f t="shared" si="94"/>
        <v>207.9118653708222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1.7862795847942468</v>
      </c>
      <c r="CL86" s="21">
        <f>EXP(-LN(2)/25)*CL85+(1-EXP(-LN(2)/25))/(LN(2)/25)*Calculateur!CG86*Calculateur!CI86*VLOOKUP('Données projet'!$B$12,Paramètres!$A$1:$I$89,3,0)*0.475*44/12</f>
        <v>8.0024887520422077</v>
      </c>
      <c r="CM86" s="21">
        <f>EXP(-LN(2)/2)*CM85+(1-EXP(-LN(2)/2))/(LN(2)/2)*CG86*CJ86*VLOOKUP('Données projet'!$B$12,Paramètres!$A$1:$I$89,3,0)*0.475*44/12</f>
        <v>0.78709308293437741</v>
      </c>
      <c r="CN86" s="22">
        <f t="shared" si="66"/>
        <v>10.575861419770833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3</v>
      </c>
      <c r="CT86" s="12">
        <f>IF('Données projet'!$A$140&gt;35,CT85+CS86-DB85,IF(A86&lt;'Données projet'!$A$140,$CQ$205^A86,IF(A86='Données projet'!$A$140,'Données projet'!$B$140,CT85+CS86-DB85)))</f>
        <v>173.99999999999986</v>
      </c>
      <c r="CU86" s="17">
        <f>CT86*VLOOKUP('Données projet'!$B$13,Paramètres!$A$1:$I$89,3,0)*VLOOKUP('Données projet'!$B$13,Paramètres!$A$1:$I$89,5,0)</f>
        <v>100.43279999999993</v>
      </c>
      <c r="CV86" s="13">
        <f t="shared" si="95"/>
        <v>27.065080249927675</v>
      </c>
      <c r="CW86" s="20">
        <f t="shared" si="67"/>
        <v>222.05880810195723</v>
      </c>
      <c r="CX86" s="59">
        <f t="shared" si="68"/>
        <v>493.94355357906068</v>
      </c>
      <c r="CY86" s="59">
        <f ca="1">AVERAGE(OFFSET($CX$3,0,0,'Données projet'!$E$13+1,1))-AVERAGE(OFFSET($H$3,0,0,'Données projet'!$E$13+1,1))</f>
        <v>205.74526926885287</v>
      </c>
      <c r="CZ86" s="59">
        <f t="shared" si="96"/>
        <v>201.56217137928999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0.33611095639756194</v>
      </c>
      <c r="DG86" s="21">
        <f>EXP(-LN(2)/25)*DG85+(1-EXP(-LN(2)/25))/(LN(2)/25)*Calculateur!DB86*Calculateur!DD86*VLOOKUP('Données projet'!$B$13,Paramètres!$A$1:$I$89,3,0)*0.475*44/12</f>
        <v>6.1541427670018845</v>
      </c>
      <c r="DH86" s="21">
        <f>EXP(-LN(2)/2)*DH85+(1-EXP(-LN(2)/2))/(LN(2)/2)*DB86*DE86*VLOOKUP('Données projet'!$B$13,Paramètres!$A$1:$I$89,3,0)*0.475*44/12</f>
        <v>0.92723973336542731</v>
      </c>
      <c r="DI86" s="22">
        <f t="shared" si="69"/>
        <v>7.4174934567648734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5.5042735042735051</v>
      </c>
      <c r="DO86" s="12">
        <f>IF('Données projet'!$A$166&gt;35,DO85+DN86-DW85,IF(A86&lt;'Données projet'!$A$166,$DL$205^A86,IF(A86='Données projet'!$A$166,'Données projet'!$B$166,DO85+DN86-DW85)))</f>
        <v>194.50213675213666</v>
      </c>
      <c r="DP86" s="17">
        <f>DO86*VLOOKUP('Données projet'!$B$14,Paramètres!$A$1:$I$89,3,0)*VLOOKUP('Données projet'!$B$14,Paramètres!$A$1:$I$89,5,0)</f>
        <v>185.08823333333325</v>
      </c>
      <c r="DQ86" s="13">
        <f t="shared" si="97"/>
        <v>46.452381217770373</v>
      </c>
      <c r="DR86" s="20">
        <f t="shared" si="70"/>
        <v>403.26657034317213</v>
      </c>
      <c r="DS86" s="59">
        <f t="shared" si="71"/>
        <v>675.15131582027561</v>
      </c>
      <c r="DT86" s="59">
        <f ca="1">AVERAGE(OFFSET($DS$3,0,0,'Données projet'!$E$14+1,1))-AVERAGE(OFFSET($H$3,0,0,'Données projet'!$E$14+1,1))</f>
        <v>403.89478276355294</v>
      </c>
      <c r="DU86" s="59">
        <f t="shared" si="98"/>
        <v>241.1593989733278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8.3551422195389087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8.3551422195389087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200.00641025641025</v>
      </c>
      <c r="L87" s="12">
        <f>VLOOKUP(A87,'Données projet'!$A$35:$I$55,9,0)</f>
        <v>5.5042735042735051</v>
      </c>
      <c r="M87" s="12">
        <f t="array" ref="M87">INDEX(L:L,MIN(IF(ISNUMBER(L87:L283),ROW(L87:L283),"")))</f>
        <v>5.5042735042735051</v>
      </c>
      <c r="N87" s="13">
        <f>IF('Données projet'!$A$36&gt;35,N86+M87-V86,IF(A87&lt;'Données projet'!$A$36,$K$205^A87,IF(A87='Données projet'!$A$36,'Données projet'!$B$36,N86+M87-V86)))</f>
        <v>200.00641025641016</v>
      </c>
      <c r="O87" s="13">
        <f>N87*VLOOKUP('Données projet'!$B$9,Paramètres!$A$1:$I$89,3,0)*VLOOKUP('Données projet'!$B$9,Paramètres!$A$1:$I$89,5,0)</f>
        <v>180.96579999999992</v>
      </c>
      <c r="P87" s="13">
        <f t="shared" si="87"/>
        <v>45.536991906907375</v>
      </c>
      <c r="Q87" s="20">
        <f t="shared" si="54"/>
        <v>394.49236257119691</v>
      </c>
      <c r="R87" s="59">
        <f t="shared" si="55"/>
        <v>666.74919309574716</v>
      </c>
      <c r="S87" s="59">
        <f ca="1">AVERAGE(OFFSET($R$3,0,0,'Données projet'!$E$9+1,1))-AVERAGE(OFFSET($H$3,0,0,'Données projet'!$E$9+1,1))</f>
        <v>388.1278150896951</v>
      </c>
      <c r="T87" s="59">
        <f t="shared" si="88"/>
        <v>232.26614607059227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35.083333333333329</v>
      </c>
      <c r="W87" s="16">
        <f>IF(ISNA(VLOOKUP(A87,'Données projet'!$A$35:$I$55,5,0)),0%,VLOOKUP(A87,'Données projet'!$A$35:$I$55,5,0)*VLOOKUP('Données projet'!$B$9,Paramètres!$A$1:$I$89,7,0))</f>
        <v>0.30099999999999999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18.350959932823301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18.350959932823301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200.00641025641025</v>
      </c>
      <c r="AG87" s="12">
        <f>VLOOKUP(A87,'Données projet'!$A$61:$I$81,9,0)</f>
        <v>5.5042735042735051</v>
      </c>
      <c r="AH87" s="12">
        <f t="array" ref="AH87">INDEX(AG:AG,MIN(IF(ISNUMBER(AG87:AG283),ROW(AG87:AG283),"")))</f>
        <v>5.5042735042735051</v>
      </c>
      <c r="AI87" s="13">
        <f>IF('Données projet'!$A$62&gt;35,AI86+AH87-AQ86,IF(A87&lt;'Données projet'!$A$62,$AF$205^A87,IF(A87='Données projet'!$A$62,'Données projet'!$B$62,AI86+AH87-AQ86)))</f>
        <v>200.00641025641016</v>
      </c>
      <c r="AJ87" s="13">
        <f>AI87*VLOOKUP('Données projet'!$B$10,Paramètres!$A$1:$I$89,3,0)*VLOOKUP('Données projet'!$B$10,Paramètres!$A$1:$I$89,5,0)</f>
        <v>202.80649999999991</v>
      </c>
      <c r="AK87" s="13">
        <f t="shared" si="89"/>
        <v>50.360450370083477</v>
      </c>
      <c r="AL87" s="20">
        <f t="shared" si="58"/>
        <v>440.93243856122854</v>
      </c>
      <c r="AM87" s="59">
        <f t="shared" si="59"/>
        <v>713.18926908577885</v>
      </c>
      <c r="AN87" s="59">
        <f ca="1">AVERAGE(OFFSET($AM$3,0,0,'Données projet'!$E$10+1,1))-AVERAGE(OFFSET($H$3,0,0,'Données projet'!$E$10+1,1))</f>
        <v>424.89201140676084</v>
      </c>
      <c r="AO87" s="59">
        <f t="shared" si="90"/>
        <v>253.0016648946303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35.083333333333329</v>
      </c>
      <c r="AR87" s="16">
        <f>IF(ISNA(VLOOKUP(A87,'Données projet'!$A$61:$I$81,5,0)),0%,VLOOKUP(A87,'Données projet'!$A$61:$I$81,5,0)*VLOOKUP('Données projet'!$B$10,Paramètres!$A$1:$I$89,7,0))</f>
        <v>0.30099999999999999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20.565730959198525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20.565730959198525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155.99999999999991</v>
      </c>
      <c r="BE87" s="13">
        <f>BD87*VLOOKUP('Données projet'!$B$11,Paramètres!$A$1:$I$89,3,0)*VLOOKUP('Données projet'!$B$11,Paramètres!$A$1:$I$89,5,0)</f>
        <v>136.28159999999994</v>
      </c>
      <c r="BF87" s="13">
        <f t="shared" si="91"/>
        <v>35.443842312892279</v>
      </c>
      <c r="BG87" s="20">
        <f t="shared" si="61"/>
        <v>299.08847869495395</v>
      </c>
      <c r="BH87" s="59">
        <f t="shared" si="62"/>
        <v>571.34530921950432</v>
      </c>
      <c r="BI87" s="59">
        <f ca="1">AVERAGE(OFFSET($BH$3,0,0,'Données projet'!$E$11+1,1))-AVERAGE(OFFSET($H$3,0,0,'Données projet'!$E$11+1,1))</f>
        <v>218.97952644043698</v>
      </c>
      <c r="BJ87" s="59">
        <f t="shared" si="92"/>
        <v>204.10961748628714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1.6426744554216437</v>
      </c>
      <c r="BQ87" s="21">
        <f>EXP(-LN(2)/25)*BQ86+(1-EXP(-LN(2)/25))/(LN(2)/25)*Calculateur!BL87*Calculateur!BN87*VLOOKUP('Données projet'!$B$11,Paramètres!$A$1:$I$89,3,0)*0.475*44/12</f>
        <v>4.482852947221752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6.1255274026433959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3.2</v>
      </c>
      <c r="BY87" s="12">
        <f>IF('Données projet'!$A$114&gt;35,BY86+BX87-CG86,IF(A87&lt;'Données projet'!$A$114,$BV$205^A87,IF(A87='Données projet'!$A$114,'Données projet'!$B$114,BY86+BX87-CG86)))</f>
        <v>193.79999999999978</v>
      </c>
      <c r="BZ87" s="13">
        <f>BY87*VLOOKUP('Données projet'!$B$12,Paramètres!$A$1:$I$89,3,0)*VLOOKUP('Données projet'!$B$12,Paramètres!$A$1:$I$89,5,0)</f>
        <v>157.21055999999984</v>
      </c>
      <c r="CA87" s="13">
        <f t="shared" si="93"/>
        <v>40.212706859295977</v>
      </c>
      <c r="CB87" s="20">
        <f t="shared" si="64"/>
        <v>343.8455231132736</v>
      </c>
      <c r="CC87" s="59">
        <f t="shared" si="65"/>
        <v>616.10235363782385</v>
      </c>
      <c r="CD87" s="59">
        <f ca="1">AVERAGE(OFFSET($CC$3,0,0,'Données projet'!$E$12+1,1))-AVERAGE(OFFSET($H$3,0,0,'Données projet'!$E$12+1,1))</f>
        <v>256.23994291192162</v>
      </c>
      <c r="CE87" s="59">
        <f t="shared" si="94"/>
        <v>207.9118653708222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1.7512517316593967</v>
      </c>
      <c r="CL87" s="21">
        <f>EXP(-LN(2)/25)*CL86+(1-EXP(-LN(2)/25))/(LN(2)/25)*Calculateur!CG87*Calculateur!CI87*VLOOKUP('Données projet'!$B$12,Paramètres!$A$1:$I$89,3,0)*0.475*44/12</f>
        <v>7.78366027628502</v>
      </c>
      <c r="CM87" s="21">
        <f>EXP(-LN(2)/2)*CM86+(1-EXP(-LN(2)/2))/(LN(2)/2)*CG87*CJ87*VLOOKUP('Données projet'!$B$12,Paramètres!$A$1:$I$89,3,0)*0.475*44/12</f>
        <v>0.5565588563679239</v>
      </c>
      <c r="CN87" s="22">
        <f t="shared" si="66"/>
        <v>10.09147086431234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3</v>
      </c>
      <c r="CT87" s="12">
        <f>IF('Données projet'!$A$140&gt;35,CT86+CS87-DB86,IF(A87&lt;'Données projet'!$A$140,$CQ$205^A87,IF(A87='Données projet'!$A$140,'Données projet'!$B$140,CT86+CS87-DB86)))</f>
        <v>176.99999999999986</v>
      </c>
      <c r="CU87" s="17">
        <f>CT87*VLOOKUP('Données projet'!$B$13,Paramètres!$A$1:$I$89,3,0)*VLOOKUP('Données projet'!$B$13,Paramètres!$A$1:$I$89,5,0)</f>
        <v>102.16439999999993</v>
      </c>
      <c r="CV87" s="13">
        <f t="shared" si="95"/>
        <v>27.476991634717848</v>
      </c>
      <c r="CW87" s="20">
        <f t="shared" si="67"/>
        <v>225.79209043046674</v>
      </c>
      <c r="CX87" s="59">
        <f t="shared" si="68"/>
        <v>498.04892095501702</v>
      </c>
      <c r="CY87" s="59">
        <f ca="1">AVERAGE(OFFSET($CX$3,0,0,'Données projet'!$E$13+1,1))-AVERAGE(OFFSET($H$3,0,0,'Données projet'!$E$13+1,1))</f>
        <v>205.74526926885287</v>
      </c>
      <c r="CZ87" s="59">
        <f t="shared" si="96"/>
        <v>201.56217137928999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0.32952002555004634</v>
      </c>
      <c r="DG87" s="21">
        <f>EXP(-LN(2)/25)*DG86+(1-EXP(-LN(2)/25))/(LN(2)/25)*Calculateur!DB87*Calculateur!DD87*VLOOKUP('Données projet'!$B$13,Paramètres!$A$1:$I$89,3,0)*0.475*44/12</f>
        <v>5.9858574094059156</v>
      </c>
      <c r="DH87" s="21">
        <f>EXP(-LN(2)/2)*DH86+(1-EXP(-LN(2)/2))/(LN(2)/2)*DB87*DE87*VLOOKUP('Données projet'!$B$13,Paramètres!$A$1:$I$89,3,0)*0.475*44/12</f>
        <v>0.65565750324829997</v>
      </c>
      <c r="DI87" s="22">
        <f t="shared" si="69"/>
        <v>6.9710349382042613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200.00641025641025</v>
      </c>
      <c r="DM87" s="12">
        <f>VLOOKUP(A87,'Données projet'!$A$165:$I$185,9,0)</f>
        <v>5.5042735042735051</v>
      </c>
      <c r="DN87" s="12">
        <f t="array" ref="DN87">INDEX(DM:DM,MIN(IF(ISNUMBER(DM87:DM283),ROW(DM87:DM283),"")))</f>
        <v>5.5042735042735051</v>
      </c>
      <c r="DO87" s="12">
        <f>IF('Données projet'!$A$166&gt;35,DO86+DN87-DW86,IF(A87&lt;'Données projet'!$A$166,$DL$205^A87,IF(A87='Données projet'!$A$166,'Données projet'!$B$166,DO86+DN87-DW86)))</f>
        <v>200.00641025641016</v>
      </c>
      <c r="DP87" s="17">
        <f>DO87*VLOOKUP('Données projet'!$B$14,Paramètres!$A$1:$I$89,3,0)*VLOOKUP('Données projet'!$B$14,Paramètres!$A$1:$I$89,5,0)</f>
        <v>190.32609999999991</v>
      </c>
      <c r="DQ87" s="13">
        <f t="shared" si="97"/>
        <v>47.612041734138863</v>
      </c>
      <c r="DR87" s="20">
        <f t="shared" si="70"/>
        <v>414.40893018695834</v>
      </c>
      <c r="DS87" s="59">
        <f t="shared" si="71"/>
        <v>686.66576071150871</v>
      </c>
      <c r="DT87" s="59">
        <f ca="1">AVERAGE(OFFSET($DS$3,0,0,'Données projet'!$E$14+1,1))-AVERAGE(OFFSET($H$3,0,0,'Données projet'!$E$14+1,1))</f>
        <v>403.89478276355294</v>
      </c>
      <c r="DU87" s="59">
        <f t="shared" si="98"/>
        <v>241.1593989733278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35.083333333333329</v>
      </c>
      <c r="DX87" s="16">
        <f>IF(ISNA(VLOOKUP(A87,'Données projet'!$A$165:$I$185,5,0)),0%,VLOOKUP(A87,'Données projet'!$A$165:$I$185,5,0)*VLOOKUP('Données projet'!$B$14,Paramètres!$A$1:$I$89,7,0))</f>
        <v>0.30099999999999999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19.300147515555544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19.300147515555544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5.2606837606837598</v>
      </c>
      <c r="N88" s="13">
        <f>IF('Données projet'!$A$36&gt;35,N87+M88-V87,IF(A88&lt;'Données projet'!$A$36,$K$205^A88,IF(A88='Données projet'!$A$36,'Données projet'!$B$36,N87+M88-V87)))</f>
        <v>170.18376068376057</v>
      </c>
      <c r="O88" s="13">
        <f>N88*VLOOKUP('Données projet'!$B$9,Paramètres!$A$1:$I$89,3,0)*VLOOKUP('Données projet'!$B$9,Paramètres!$A$1:$I$89,5,0)</f>
        <v>153.98226666666656</v>
      </c>
      <c r="P88" s="13">
        <f t="shared" si="87"/>
        <v>39.482185325458943</v>
      </c>
      <c r="Q88" s="20">
        <f t="shared" si="54"/>
        <v>336.95058721961857</v>
      </c>
      <c r="R88" s="59">
        <f t="shared" si="55"/>
        <v>609.57304794790002</v>
      </c>
      <c r="S88" s="59">
        <f ca="1">AVERAGE(OFFSET($R$3,0,0,'Données projet'!$E$9+1,1))-AVERAGE(OFFSET($H$3,0,0,'Données projet'!$E$9+1,1))</f>
        <v>388.1278150896951</v>
      </c>
      <c r="T88" s="59">
        <f t="shared" si="88"/>
        <v>232.26614607059227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17.99110880152098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17.99110880152098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5.2606837606837598</v>
      </c>
      <c r="AI88" s="13">
        <f>IF('Données projet'!$A$62&gt;35,AI87+AH88-AQ87,IF(A88&lt;'Données projet'!$A$62,$AF$205^A88,IF(A88='Données projet'!$A$62,'Données projet'!$B$62,AI87+AH88-AQ87)))</f>
        <v>170.18376068376057</v>
      </c>
      <c r="AJ88" s="13">
        <f>AI88*VLOOKUP('Données projet'!$B$10,Paramètres!$A$1:$I$89,3,0)*VLOOKUP('Données projet'!$B$10,Paramètres!$A$1:$I$89,5,0)</f>
        <v>172.56633333333323</v>
      </c>
      <c r="AK88" s="13">
        <f t="shared" si="89"/>
        <v>43.664294704622499</v>
      </c>
      <c r="AL88" s="20">
        <f t="shared" si="58"/>
        <v>376.60167716610619</v>
      </c>
      <c r="AM88" s="59">
        <f t="shared" si="59"/>
        <v>649.2241378943877</v>
      </c>
      <c r="AN88" s="59">
        <f ca="1">AVERAGE(OFFSET($AM$3,0,0,'Données projet'!$E$10+1,1))-AVERAGE(OFFSET($H$3,0,0,'Données projet'!$E$10+1,1))</f>
        <v>424.89201140676084</v>
      </c>
      <c r="AO88" s="59">
        <f t="shared" si="90"/>
        <v>253.0016648946303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20.162449518945923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20.162449518945923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155.99999999999991</v>
      </c>
      <c r="BE88" s="13">
        <f>BD88*VLOOKUP('Données projet'!$B$11,Paramètres!$A$1:$I$89,3,0)*VLOOKUP('Données projet'!$B$11,Paramètres!$A$1:$I$89,5,0)</f>
        <v>136.28159999999994</v>
      </c>
      <c r="BF88" s="13">
        <f t="shared" si="91"/>
        <v>35.443842312892279</v>
      </c>
      <c r="BG88" s="20">
        <f t="shared" si="61"/>
        <v>299.08847869495395</v>
      </c>
      <c r="BH88" s="59">
        <f t="shared" si="62"/>
        <v>571.71093942323546</v>
      </c>
      <c r="BI88" s="59">
        <f ca="1">AVERAGE(OFFSET($BH$3,0,0,'Données projet'!$E$11+1,1))-AVERAGE(OFFSET($H$3,0,0,'Données projet'!$E$11+1,1))</f>
        <v>218.97952644043698</v>
      </c>
      <c r="BJ88" s="59">
        <f t="shared" si="92"/>
        <v>204.10961748628714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1.6104626112833105</v>
      </c>
      <c r="BQ88" s="21">
        <f>EXP(-LN(2)/25)*BQ87+(1-EXP(-LN(2)/25))/(LN(2)/25)*Calculateur!BL88*Calculateur!BN88*VLOOKUP('Données projet'!$B$11,Paramètres!$A$1:$I$89,3,0)*0.475*44/12</f>
        <v>4.3602690976369827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5.9707317089202929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197</v>
      </c>
      <c r="BW88" s="12">
        <f>VLOOKUP(A88,'Données projet'!$A$113:$I$133,9,0)</f>
        <v>3.2</v>
      </c>
      <c r="BX88" s="12">
        <f t="array" ref="BX88">INDEX(BW:BW,MIN(IF(ISNUMBER(BW88:BW284),ROW(BW88:BW284),"")))</f>
        <v>3.2</v>
      </c>
      <c r="BY88" s="12">
        <f>IF('Données projet'!$A$114&gt;35,BY87+BX88-CG87,IF(A88&lt;'Données projet'!$A$114,$BV$205^A88,IF(A88='Données projet'!$A$114,'Données projet'!$B$114,BY87+BX88-CG87)))</f>
        <v>196.99999999999977</v>
      </c>
      <c r="BZ88" s="13">
        <f>BY88*VLOOKUP('Données projet'!$B$12,Paramètres!$A$1:$I$89,3,0)*VLOOKUP('Données projet'!$B$12,Paramètres!$A$1:$I$89,5,0)</f>
        <v>159.80639999999983</v>
      </c>
      <c r="CA88" s="13">
        <f t="shared" si="93"/>
        <v>40.798845309789172</v>
      </c>
      <c r="CB88" s="20">
        <f t="shared" si="64"/>
        <v>349.38746891454912</v>
      </c>
      <c r="CC88" s="59">
        <f t="shared" si="65"/>
        <v>622.00992964283068</v>
      </c>
      <c r="CD88" s="59">
        <f ca="1">AVERAGE(OFFSET($CC$3,0,0,'Données projet'!$E$12+1,1))-AVERAGE(OFFSET($H$3,0,0,'Données projet'!$E$12+1,1))</f>
        <v>256.23994291192162</v>
      </c>
      <c r="CE88" s="59">
        <f t="shared" si="94"/>
        <v>207.9118653708222</v>
      </c>
      <c r="CF88" s="15">
        <f>IF(ISNA(VLOOKUP(A88,'Données projet'!$A$113:$I$133,3,0)),0,VLOOKUP(A88,'Données projet'!$A$113:$I$133,3,0))</f>
        <v>14</v>
      </c>
      <c r="CG88" s="15">
        <f>IF(ISNA(VLOOKUP(A88,'Données projet'!$A$113:$I$133,4,0)),0,VLOOKUP(A88,'Données projet'!$A$113:$I$133,4,0))</f>
        <v>10</v>
      </c>
      <c r="CH88" s="16">
        <f>IF(ISNA(VLOOKUP(A88,'Données projet'!$A$113:$I$133,5,0)),0%,VLOOKUP(A88,'Données projet'!$A$113:$I$133,5,0)*VLOOKUP('Données projet'!$B$12,Paramètres!$A$1:$I$89,7,0))</f>
        <v>8.6000000000000007E-2</v>
      </c>
      <c r="CI88" s="16">
        <f>IF(ISNA(VLOOKUP(A88,'Données projet'!$A$113:$I$133,6,0)),0%,VLOOKUP(A88,'Données projet'!$A$113:$I$133,6,0)*VLOOKUP('Données projet'!$B$12,Paramètres!$A$1:$I$89,7,0))</f>
        <v>0.215</v>
      </c>
      <c r="CJ88" s="16">
        <f>IF(ISNA(VLOOKUP(A88,'Données projet'!$A$113:$I$133,7,0)),0%,VLOOKUP(A88,'Données projet'!$A$113:$I$133,7,0))</f>
        <v>0.2</v>
      </c>
      <c r="CK88" s="21">
        <f>EXP(-LN(2)/35)*CK87+(1-EXP(-LN(2)/35))/(LN(2)/35)*CG88*CH88*VLOOKUP('Données projet'!$B$12,Paramètres!$A$1:$I$89,3,0)*0.475*44/12</f>
        <v>2.4881222651739714</v>
      </c>
      <c r="CL88" s="21">
        <f>EXP(-LN(2)/25)*CL87+(1-EXP(-LN(2)/25))/(LN(2)/25)*Calculateur!CG88*Calculateur!CI88*VLOOKUP('Données projet'!$B$12,Paramètres!$A$1:$I$89,3,0)*0.475*44/12</f>
        <v>9.4912530722993367</v>
      </c>
      <c r="CM88" s="21">
        <f>EXP(-LN(2)/2)*CM87+(1-EXP(-LN(2)/2))/(LN(2)/2)*CG88*CJ88*VLOOKUP('Données projet'!$B$12,Paramètres!$A$1:$I$89,3,0)*0.475*44/12</f>
        <v>1.924324607722971</v>
      </c>
      <c r="CN88" s="22">
        <f t="shared" si="66"/>
        <v>13.903699945196278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180</v>
      </c>
      <c r="CR88" s="12">
        <f>VLOOKUP(A88,'Données projet'!$A$139:$I$159,9,0)</f>
        <v>3</v>
      </c>
      <c r="CS88" s="12">
        <f t="array" ref="CS88">INDEX(CR:CR,MIN(IF(ISNUMBER(CR88:CR284),ROW(CR88:CR284),"")))</f>
        <v>3</v>
      </c>
      <c r="CT88" s="12">
        <f>IF('Données projet'!$A$140&gt;35,CT87+CS88-DB87,IF(A88&lt;'Données projet'!$A$140,$CQ$205^A88,IF(A88='Données projet'!$A$140,'Données projet'!$B$140,CT87+CS88-DB87)))</f>
        <v>179.99999999999986</v>
      </c>
      <c r="CU88" s="17">
        <f>CT88*VLOOKUP('Données projet'!$B$13,Paramètres!$A$1:$I$89,3,0)*VLOOKUP('Données projet'!$B$13,Paramètres!$A$1:$I$89,5,0)</f>
        <v>103.89599999999993</v>
      </c>
      <c r="CV88" s="13">
        <f t="shared" si="95"/>
        <v>27.888091127225799</v>
      </c>
      <c r="CW88" s="20">
        <f t="shared" si="67"/>
        <v>229.52395871325146</v>
      </c>
      <c r="CX88" s="59">
        <f t="shared" si="68"/>
        <v>502.146419441533</v>
      </c>
      <c r="CY88" s="59">
        <f ca="1">AVERAGE(OFFSET($CX$3,0,0,'Données projet'!$E$13+1,1))-AVERAGE(OFFSET($H$3,0,0,'Données projet'!$E$13+1,1))</f>
        <v>205.74526926885287</v>
      </c>
      <c r="CZ88" s="59">
        <f t="shared" si="96"/>
        <v>201.56217137928999</v>
      </c>
      <c r="DA88" s="15">
        <f>IF(ISNA(VLOOKUP(A88,'Données projet'!$A$139:$I$159,3,0)),0,VLOOKUP(A88,'Données projet'!$A$139:$I$159,3,0))</f>
        <v>15</v>
      </c>
      <c r="DB88" s="15">
        <f>IF(ISNA(VLOOKUP(A88,'Données projet'!$A$139:$I$159,4,0)),0,VLOOKUP(A88,'Données projet'!$A$139:$I$159,4,0))</f>
        <v>12</v>
      </c>
      <c r="DC88" s="16">
        <f>IF(ISNA(VLOOKUP(A88,'Données projet'!$A$139:$I$159,5,0)),0%,VLOOKUP(A88,'Données projet'!$A$139:$I$159,5,0)*VLOOKUP('Données projet'!$B$13,Paramètres!$A$1:$I$89,7,0))</f>
        <v>4.3000000000000003E-2</v>
      </c>
      <c r="DD88" s="16">
        <f>IF(ISNA(VLOOKUP(A88,'Données projet'!$A$139:$I$159,6,0)),0%,VLOOKUP(A88,'Données projet'!$A$139:$I$159,6,0)*VLOOKUP('Données projet'!$B$13,Paramètres!$A$1:$I$89,7,0))</f>
        <v>0.17200000000000001</v>
      </c>
      <c r="DE88" s="16">
        <f>IF(ISNA(VLOOKUP(A88,'Données projet'!$A$139:$I$159,7,0)),0%,VLOOKUP(A88,'Données projet'!$A$139:$I$159,7,0))</f>
        <v>0.3</v>
      </c>
      <c r="DF88" s="21">
        <f>EXP(-LN(2)/35)*DF87+(1-EXP(-LN(2)/35))/(LN(2)/35)*DB88*DC88*VLOOKUP('Données projet'!$B$13,Paramètres!$A$1:$I$89,3,0)*0.475*44/12</f>
        <v>0.65230633041865183</v>
      </c>
      <c r="DG88" s="21">
        <f>EXP(-LN(2)/25)*DG87+(1-EXP(-LN(2)/25))/(LN(2)/25)*Calculateur!DB88*Calculateur!DD88*VLOOKUP('Données projet'!$B$13,Paramètres!$A$1:$I$89,3,0)*0.475*44/12</f>
        <v>7.1339802909075205</v>
      </c>
      <c r="DH88" s="21">
        <f>EXP(-LN(2)/2)*DH87+(1-EXP(-LN(2)/2))/(LN(2)/2)*DB88*DE88*VLOOKUP('Données projet'!$B$13,Paramètres!$A$1:$I$89,3,0)*0.475*44/12</f>
        <v>2.4241933130795417</v>
      </c>
      <c r="DI88" s="22">
        <f t="shared" si="69"/>
        <v>10.210479934405715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5.2606837606837598</v>
      </c>
      <c r="DO88" s="12">
        <f>IF('Données projet'!$A$166&gt;35,DO87+DN88-DW87,IF(A88&lt;'Données projet'!$A$166,$DL$205^A88,IF(A88='Données projet'!$A$166,'Données projet'!$B$166,DO87+DN88-DW87)))</f>
        <v>170.18376068376057</v>
      </c>
      <c r="DP88" s="17">
        <f>DO88*VLOOKUP('Données projet'!$B$14,Paramètres!$A$1:$I$89,3,0)*VLOOKUP('Données projet'!$B$14,Paramètres!$A$1:$I$89,5,0)</f>
        <v>161.94686666666655</v>
      </c>
      <c r="DQ88" s="13">
        <f t="shared" si="97"/>
        <v>41.281327043159628</v>
      </c>
      <c r="DR88" s="20">
        <f t="shared" si="70"/>
        <v>353.95577071128059</v>
      </c>
      <c r="DS88" s="59">
        <f t="shared" si="71"/>
        <v>626.57823143956216</v>
      </c>
      <c r="DT88" s="59">
        <f ca="1">AVERAGE(OFFSET($DS$3,0,0,'Données projet'!$E$14+1,1))-AVERAGE(OFFSET($H$3,0,0,'Données projet'!$E$14+1,1))</f>
        <v>403.89478276355294</v>
      </c>
      <c r="DU88" s="59">
        <f t="shared" si="98"/>
        <v>241.1593989733278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18.921683394703102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18.921683394703102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5.2606837606837598</v>
      </c>
      <c r="N89" s="13">
        <f>IF('Données projet'!$A$36&gt;35,N88+M89-V88,IF(A89&lt;'Données projet'!$A$36,$K$205^A89,IF(A89='Données projet'!$A$36,'Données projet'!$B$36,N88+M89-V88)))</f>
        <v>175.44444444444431</v>
      </c>
      <c r="O89" s="13">
        <f>N89*VLOOKUP('Données projet'!$B$9,Paramètres!$A$1:$I$89,3,0)*VLOOKUP('Données projet'!$B$9,Paramètres!$A$1:$I$89,5,0)</f>
        <v>158.74213333333321</v>
      </c>
      <c r="P89" s="13">
        <f t="shared" si="87"/>
        <v>40.558669873865824</v>
      </c>
      <c r="Q89" s="20">
        <f t="shared" si="54"/>
        <v>347.11556558587159</v>
      </c>
      <c r="R89" s="59">
        <f t="shared" si="55"/>
        <v>620.09731365127629</v>
      </c>
      <c r="S89" s="59">
        <f ca="1">AVERAGE(OFFSET($R$3,0,0,'Données projet'!$E$9+1,1))-AVERAGE(OFFSET($H$3,0,0,'Données projet'!$E$9+1,1))</f>
        <v>388.1278150896951</v>
      </c>
      <c r="T89" s="59">
        <f t="shared" si="88"/>
        <v>232.26614607059227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17.638314131415981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17.638314131415981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5.2606837606837598</v>
      </c>
      <c r="AI89" s="13">
        <f>IF('Données projet'!$A$62&gt;35,AI88+AH89-AQ88,IF(A89&lt;'Données projet'!$A$62,$AF$205^A89,IF(A89='Données projet'!$A$62,'Données projet'!$B$62,AI88+AH89-AQ88)))</f>
        <v>175.44444444444431</v>
      </c>
      <c r="AJ89" s="13">
        <f>AI89*VLOOKUP('Données projet'!$B$10,Paramètres!$A$1:$I$89,3,0)*VLOOKUP('Données projet'!$B$10,Paramètres!$A$1:$I$89,5,0)</f>
        <v>177.90066666666655</v>
      </c>
      <c r="AK89" s="13">
        <f t="shared" si="89"/>
        <v>44.854804758185892</v>
      </c>
      <c r="AL89" s="20">
        <f t="shared" si="58"/>
        <v>387.96577939828467</v>
      </c>
      <c r="AM89" s="59">
        <f t="shared" si="59"/>
        <v>660.94752746368931</v>
      </c>
      <c r="AN89" s="59">
        <f ca="1">AVERAGE(OFFSET($AM$3,0,0,'Données projet'!$E$10+1,1))-AVERAGE(OFFSET($H$3,0,0,'Données projet'!$E$10+1,1))</f>
        <v>424.89201140676084</v>
      </c>
      <c r="AO89" s="59">
        <f t="shared" si="90"/>
        <v>253.0016648946303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19.767076181759286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19.767076181759286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155.99999999999991</v>
      </c>
      <c r="BE89" s="13">
        <f>BD89*VLOOKUP('Données projet'!$B$11,Paramètres!$A$1:$I$89,3,0)*VLOOKUP('Données projet'!$B$11,Paramètres!$A$1:$I$89,5,0)</f>
        <v>136.28159999999994</v>
      </c>
      <c r="BF89" s="13">
        <f t="shared" si="91"/>
        <v>35.443842312892279</v>
      </c>
      <c r="BG89" s="20">
        <f t="shared" si="61"/>
        <v>299.08847869495395</v>
      </c>
      <c r="BH89" s="59">
        <f t="shared" si="62"/>
        <v>572.07022676035865</v>
      </c>
      <c r="BI89" s="59">
        <f ca="1">AVERAGE(OFFSET($BH$3,0,0,'Données projet'!$E$11+1,1))-AVERAGE(OFFSET($H$3,0,0,'Données projet'!$E$11+1,1))</f>
        <v>218.97952644043698</v>
      </c>
      <c r="BJ89" s="59">
        <f t="shared" si="92"/>
        <v>204.10961748628714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1.5788824217612449</v>
      </c>
      <c r="BQ89" s="21">
        <f>EXP(-LN(2)/25)*BQ88+(1-EXP(-LN(2)/25))/(LN(2)/25)*Calculateur!BL89*Calculateur!BN89*VLOOKUP('Données projet'!$B$11,Paramètres!$A$1:$I$89,3,0)*0.475*44/12</f>
        <v>4.2410373098655132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5.8199197316267579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</v>
      </c>
      <c r="BY89" s="12">
        <f>IF('Données projet'!$A$114&gt;35,BY88+BX89-CG88,IF(A89&lt;'Données projet'!$A$114,$BV$205^A89,IF(A89='Données projet'!$A$114,'Données projet'!$B$114,BY88+BX89-CG88)))</f>
        <v>189.99999999999977</v>
      </c>
      <c r="BZ89" s="13">
        <f>BY89*VLOOKUP('Données projet'!$B$12,Paramètres!$A$1:$I$89,3,0)*VLOOKUP('Données projet'!$B$12,Paramètres!$A$1:$I$89,5,0)</f>
        <v>154.12799999999982</v>
      </c>
      <c r="CA89" s="13">
        <f t="shared" si="93"/>
        <v>39.515201075361119</v>
      </c>
      <c r="CB89" s="20">
        <f t="shared" si="64"/>
        <v>337.26190853958695</v>
      </c>
      <c r="CC89" s="59">
        <f t="shared" si="65"/>
        <v>610.24365660499166</v>
      </c>
      <c r="CD89" s="59">
        <f ca="1">AVERAGE(OFFSET($CC$3,0,0,'Données projet'!$E$12+1,1))-AVERAGE(OFFSET($H$3,0,0,'Données projet'!$E$12+1,1))</f>
        <v>256.23994291192162</v>
      </c>
      <c r="CE89" s="59">
        <f t="shared" si="94"/>
        <v>207.9118653708222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2.4393317051586405</v>
      </c>
      <c r="CL89" s="21">
        <f>EXP(-LN(2)/25)*CL88+(1-EXP(-LN(2)/25))/(LN(2)/25)*Calculateur!CG89*Calculateur!CI89*VLOOKUP('Données projet'!$B$12,Paramètres!$A$1:$I$89,3,0)*0.475*44/12</f>
        <v>9.231714257914005</v>
      </c>
      <c r="CM89" s="21">
        <f>EXP(-LN(2)/2)*CM88+(1-EXP(-LN(2)/2))/(LN(2)/2)*CG89*CJ89*VLOOKUP('Données projet'!$B$12,Paramètres!$A$1:$I$89,3,0)*0.475*44/12</f>
        <v>1.3607029793250558</v>
      </c>
      <c r="CN89" s="22">
        <f t="shared" si="66"/>
        <v>13.031748942397702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2.8</v>
      </c>
      <c r="CT89" s="12">
        <f>IF('Données projet'!$A$140&gt;35,CT88+CS89-DB88,IF(A89&lt;'Données projet'!$A$140,$CQ$205^A89,IF(A89='Données projet'!$A$140,'Données projet'!$B$140,CT88+CS89-DB88)))</f>
        <v>170.79999999999987</v>
      </c>
      <c r="CU89" s="17">
        <f>CT89*VLOOKUP('Données projet'!$B$13,Paramètres!$A$1:$I$89,3,0)*VLOOKUP('Données projet'!$B$13,Paramètres!$A$1:$I$89,5,0)</f>
        <v>98.585759999999922</v>
      </c>
      <c r="CV89" s="13">
        <f t="shared" si="95"/>
        <v>26.624795582426696</v>
      </c>
      <c r="CW89" s="20">
        <f t="shared" si="67"/>
        <v>218.07505097272636</v>
      </c>
      <c r="CX89" s="59">
        <f t="shared" si="68"/>
        <v>491.05679903813109</v>
      </c>
      <c r="CY89" s="59">
        <f ca="1">AVERAGE(OFFSET($CX$3,0,0,'Données projet'!$E$13+1,1))-AVERAGE(OFFSET($H$3,0,0,'Données projet'!$E$13+1,1))</f>
        <v>205.74526926885287</v>
      </c>
      <c r="CZ89" s="59">
        <f t="shared" si="96"/>
        <v>201.56217137928999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0.63951500114671744</v>
      </c>
      <c r="DG89" s="21">
        <f>EXP(-LN(2)/25)*DG88+(1-EXP(-LN(2)/25))/(LN(2)/25)*Calculateur!DB89*Calculateur!DD89*VLOOKUP('Données projet'!$B$13,Paramètres!$A$1:$I$89,3,0)*0.475*44/12</f>
        <v>6.9389012246929358</v>
      </c>
      <c r="DH89" s="21">
        <f>EXP(-LN(2)/2)*DH88+(1-EXP(-LN(2)/2))/(LN(2)/2)*DB89*DE89*VLOOKUP('Données projet'!$B$13,Paramètres!$A$1:$I$89,3,0)*0.475*44/12</f>
        <v>1.7141635305856273</v>
      </c>
      <c r="DI89" s="22">
        <f t="shared" si="69"/>
        <v>9.2925797564252814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5.2606837606837598</v>
      </c>
      <c r="DO89" s="12">
        <f>IF('Données projet'!$A$166&gt;35,DO88+DN89-DW88,IF(A89&lt;'Données projet'!$A$166,$DL$205^A89,IF(A89='Données projet'!$A$166,'Données projet'!$B$166,DO88+DN89-DW88)))</f>
        <v>175.44444444444431</v>
      </c>
      <c r="DP89" s="17">
        <f>DO89*VLOOKUP('Données projet'!$B$14,Paramètres!$A$1:$I$89,3,0)*VLOOKUP('Données projet'!$B$14,Paramètres!$A$1:$I$89,5,0)</f>
        <v>166.95293333333319</v>
      </c>
      <c r="DQ89" s="13">
        <f t="shared" si="97"/>
        <v>42.40686531651955</v>
      </c>
      <c r="DR89" s="20">
        <f t="shared" si="70"/>
        <v>364.63498264849346</v>
      </c>
      <c r="DS89" s="59">
        <f t="shared" si="71"/>
        <v>637.61673071389816</v>
      </c>
      <c r="DT89" s="59">
        <f ca="1">AVERAGE(OFFSET($DS$3,0,0,'Données projet'!$E$14+1,1))-AVERAGE(OFFSET($H$3,0,0,'Données projet'!$E$14+1,1))</f>
        <v>403.89478276355294</v>
      </c>
      <c r="DU89" s="59">
        <f t="shared" si="98"/>
        <v>241.1593989733278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18.550640724420258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18.550640724420258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5.2606837606837598</v>
      </c>
      <c r="N90" s="13">
        <f>IF('Données projet'!$A$36&gt;35,N89+M90-V89,IF(A90&lt;'Données projet'!$A$36,$K$205^A90,IF(A90='Données projet'!$A$36,'Données projet'!$B$36,N89+M90-V89)))</f>
        <v>180.70512820512806</v>
      </c>
      <c r="O90" s="13">
        <f>N90*VLOOKUP('Données projet'!$B$9,Paramètres!$A$1:$I$89,3,0)*VLOOKUP('Données projet'!$B$9,Paramètres!$A$1:$I$89,5,0)</f>
        <v>163.50199999999987</v>
      </c>
      <c r="P90" s="13">
        <f t="shared" si="87"/>
        <v>41.631403185766587</v>
      </c>
      <c r="Q90" s="20">
        <f t="shared" si="54"/>
        <v>357.27401054854323</v>
      </c>
      <c r="R90" s="59">
        <f t="shared" si="55"/>
        <v>630.60881311901812</v>
      </c>
      <c r="S90" s="59">
        <f ca="1">AVERAGE(OFFSET($R$3,0,0,'Données projet'!$E$9+1,1))-AVERAGE(OFFSET($H$3,0,0,'Données projet'!$E$9+1,1))</f>
        <v>388.1278150896951</v>
      </c>
      <c r="T90" s="59">
        <f t="shared" si="88"/>
        <v>232.26614607059227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17.292437549608241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17.292437549608241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5.2606837606837598</v>
      </c>
      <c r="AI90" s="13">
        <f>IF('Données projet'!$A$62&gt;35,AI89+AH90-AQ89,IF(A90&lt;'Données projet'!$A$62,$AF$205^A90,IF(A90='Données projet'!$A$62,'Données projet'!$B$62,AI89+AH90-AQ89)))</f>
        <v>180.70512820512806</v>
      </c>
      <c r="AJ90" s="13">
        <f>AI90*VLOOKUP('Données projet'!$B$10,Paramètres!$A$1:$I$89,3,0)*VLOOKUP('Données projet'!$B$10,Paramètres!$A$1:$I$89,5,0)</f>
        <v>183.23499999999987</v>
      </c>
      <c r="AK90" s="13">
        <f t="shared" si="89"/>
        <v>46.041166229421272</v>
      </c>
      <c r="AL90" s="20">
        <f t="shared" si="58"/>
        <v>399.32265618290847</v>
      </c>
      <c r="AM90" s="59">
        <f t="shared" si="59"/>
        <v>672.65745875338325</v>
      </c>
      <c r="AN90" s="59">
        <f ca="1">AVERAGE(OFFSET($AM$3,0,0,'Données projet'!$E$10+1,1))-AVERAGE(OFFSET($H$3,0,0,'Données projet'!$E$10+1,1))</f>
        <v>424.89201140676084</v>
      </c>
      <c r="AO90" s="59">
        <f t="shared" si="90"/>
        <v>253.0016648946303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19.379455874560954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19.379455874560954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155.99999999999991</v>
      </c>
      <c r="BE90" s="13">
        <f>BD90*VLOOKUP('Données projet'!$B$11,Paramètres!$A$1:$I$89,3,0)*VLOOKUP('Données projet'!$B$11,Paramètres!$A$1:$I$89,5,0)</f>
        <v>136.28159999999994</v>
      </c>
      <c r="BF90" s="13">
        <f t="shared" si="91"/>
        <v>35.443842312892279</v>
      </c>
      <c r="BG90" s="20">
        <f t="shared" si="61"/>
        <v>299.08847869495395</v>
      </c>
      <c r="BH90" s="59">
        <f t="shared" si="62"/>
        <v>572.42328126542884</v>
      </c>
      <c r="BI90" s="59">
        <f ca="1">AVERAGE(OFFSET($BH$3,0,0,'Données projet'!$E$11+1,1))-AVERAGE(OFFSET($H$3,0,0,'Données projet'!$E$11+1,1))</f>
        <v>218.97952644043698</v>
      </c>
      <c r="BJ90" s="59">
        <f t="shared" si="92"/>
        <v>204.10961748628714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1.5479215004936935</v>
      </c>
      <c r="BQ90" s="21">
        <f>EXP(-LN(2)/25)*BQ89+(1-EXP(-LN(2)/25))/(LN(2)/25)*Calculateur!BL90*Calculateur!BN90*VLOOKUP('Données projet'!$B$11,Paramètres!$A$1:$I$89,3,0)*0.475*44/12</f>
        <v>4.1250659216007817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5.6729874220944749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</v>
      </c>
      <c r="BY90" s="12">
        <f>IF('Données projet'!$A$114&gt;35,BY89+BX90-CG89,IF(A90&lt;'Données projet'!$A$114,$BV$205^A90,IF(A90='Données projet'!$A$114,'Données projet'!$B$114,BY89+BX90-CG89)))</f>
        <v>192.99999999999977</v>
      </c>
      <c r="BZ90" s="13">
        <f>BY90*VLOOKUP('Données projet'!$B$12,Paramètres!$A$1:$I$89,3,0)*VLOOKUP('Données projet'!$B$12,Paramètres!$A$1:$I$89,5,0)</f>
        <v>156.56159999999983</v>
      </c>
      <c r="CA90" s="13">
        <f t="shared" si="93"/>
        <v>40.065996859746441</v>
      </c>
      <c r="CB90" s="20">
        <f t="shared" si="64"/>
        <v>342.45973119739136</v>
      </c>
      <c r="CC90" s="59">
        <f t="shared" si="65"/>
        <v>615.79453376786614</v>
      </c>
      <c r="CD90" s="59">
        <f ca="1">AVERAGE(OFFSET($CC$3,0,0,'Données projet'!$E$12+1,1))-AVERAGE(OFFSET($H$3,0,0,'Données projet'!$E$12+1,1))</f>
        <v>256.23994291192162</v>
      </c>
      <c r="CE90" s="59">
        <f t="shared" si="94"/>
        <v>207.9118653708222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2.3914978982659072</v>
      </c>
      <c r="CL90" s="21">
        <f>EXP(-LN(2)/25)*CL89+(1-EXP(-LN(2)/25))/(LN(2)/25)*Calculateur!CG90*Calculateur!CI90*VLOOKUP('Données projet'!$B$12,Paramètres!$A$1:$I$89,3,0)*0.475*44/12</f>
        <v>8.9792725460565936</v>
      </c>
      <c r="CM90" s="21">
        <f>EXP(-LN(2)/2)*CM89+(1-EXP(-LN(2)/2))/(LN(2)/2)*CG90*CJ90*VLOOKUP('Données projet'!$B$12,Paramètres!$A$1:$I$89,3,0)*0.475*44/12</f>
        <v>0.9621623038614856</v>
      </c>
      <c r="CN90" s="22">
        <f t="shared" si="66"/>
        <v>12.332932748183987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2.8</v>
      </c>
      <c r="CT90" s="12">
        <f>IF('Données projet'!$A$140&gt;35,CT89+CS90-DB89,IF(A90&lt;'Données projet'!$A$140,$CQ$205^A90,IF(A90='Données projet'!$A$140,'Données projet'!$B$140,CT89+CS90-DB89)))</f>
        <v>173.59999999999988</v>
      </c>
      <c r="CU90" s="17">
        <f>CT90*VLOOKUP('Données projet'!$B$13,Paramètres!$A$1:$I$89,3,0)*VLOOKUP('Données projet'!$B$13,Paramètres!$A$1:$I$89,5,0)</f>
        <v>100.20191999999993</v>
      </c>
      <c r="CV90" s="13">
        <f t="shared" si="95"/>
        <v>27.010096555049586</v>
      </c>
      <c r="CW90" s="20">
        <f t="shared" si="67"/>
        <v>221.56092883337791</v>
      </c>
      <c r="CX90" s="59">
        <f t="shared" si="68"/>
        <v>494.89573140385278</v>
      </c>
      <c r="CY90" s="59">
        <f ca="1">AVERAGE(OFFSET($CX$3,0,0,'Données projet'!$E$13+1,1))-AVERAGE(OFFSET($H$3,0,0,'Données projet'!$E$13+1,1))</f>
        <v>205.74526926885287</v>
      </c>
      <c r="CZ90" s="59">
        <f t="shared" si="96"/>
        <v>201.56217137928999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0.62697450203986527</v>
      </c>
      <c r="DG90" s="21">
        <f>EXP(-LN(2)/25)*DG89+(1-EXP(-LN(2)/25))/(LN(2)/25)*Calculateur!DB90*Calculateur!DD90*VLOOKUP('Données projet'!$B$13,Paramètres!$A$1:$I$89,3,0)*0.475*44/12</f>
        <v>6.7491566058027512</v>
      </c>
      <c r="DH90" s="21">
        <f>EXP(-LN(2)/2)*DH89+(1-EXP(-LN(2)/2))/(LN(2)/2)*DB90*DE90*VLOOKUP('Données projet'!$B$13,Paramètres!$A$1:$I$89,3,0)*0.475*44/12</f>
        <v>1.2120966565397711</v>
      </c>
      <c r="DI90" s="22">
        <f t="shared" si="69"/>
        <v>8.5882277643823883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5.2606837606837598</v>
      </c>
      <c r="DO90" s="12">
        <f>IF('Données projet'!$A$166&gt;35,DO89+DN90-DW89,IF(A90&lt;'Données projet'!$A$166,$DL$205^A90,IF(A90='Données projet'!$A$166,'Données projet'!$B$166,DO89+DN90-DW89)))</f>
        <v>180.70512820512806</v>
      </c>
      <c r="DP90" s="17">
        <f>DO90*VLOOKUP('Données projet'!$B$14,Paramètres!$A$1:$I$89,3,0)*VLOOKUP('Données projet'!$B$14,Paramètres!$A$1:$I$89,5,0)</f>
        <v>171.95899999999986</v>
      </c>
      <c r="DQ90" s="13">
        <f t="shared" si="97"/>
        <v>43.528481415365803</v>
      </c>
      <c r="DR90" s="20">
        <f t="shared" si="70"/>
        <v>375.30736346509519</v>
      </c>
      <c r="DS90" s="59">
        <f t="shared" si="71"/>
        <v>648.64216603556997</v>
      </c>
      <c r="DT90" s="59">
        <f ca="1">AVERAGE(OFFSET($DS$3,0,0,'Données projet'!$E$14+1,1))-AVERAGE(OFFSET($H$3,0,0,'Données projet'!$E$14+1,1))</f>
        <v>403.89478276355294</v>
      </c>
      <c r="DU90" s="59">
        <f t="shared" si="98"/>
        <v>241.1593989733278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18.186873974587979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18.186873974587979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5.2606837606837598</v>
      </c>
      <c r="N91" s="13">
        <f>IF('Données projet'!$A$36&gt;35,N90+M91-V90,IF(A91&lt;'Données projet'!$A$36,$K$205^A91,IF(A91='Données projet'!$A$36,'Données projet'!$B$36,N90+M91-V90)))</f>
        <v>185.96581196581181</v>
      </c>
      <c r="O91" s="13">
        <f>N91*VLOOKUP('Données projet'!$B$9,Paramètres!$A$1:$I$89,3,0)*VLOOKUP('Données projet'!$B$9,Paramètres!$A$1:$I$89,5,0)</f>
        <v>168.26186666666652</v>
      </c>
      <c r="P91" s="13">
        <f t="shared" si="87"/>
        <v>42.700507007169499</v>
      </c>
      <c r="Q91" s="20">
        <f t="shared" si="54"/>
        <v>367.42613414859778</v>
      </c>
      <c r="R91" s="59">
        <f t="shared" si="55"/>
        <v>641.10786651779154</v>
      </c>
      <c r="S91" s="59">
        <f ca="1">AVERAGE(OFFSET($R$3,0,0,'Données projet'!$E$9+1,1))-AVERAGE(OFFSET($H$3,0,0,'Données projet'!$E$9+1,1))</f>
        <v>388.1278150896951</v>
      </c>
      <c r="T91" s="59">
        <f t="shared" si="88"/>
        <v>232.26614607059227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16.953343396605867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16.953343396605867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5.2606837606837598</v>
      </c>
      <c r="AI91" s="13">
        <f>IF('Données projet'!$A$62&gt;35,AI90+AH91-AQ90,IF(A91&lt;'Données projet'!$A$62,$AF$205^A91,IF(A91='Données projet'!$A$62,'Données projet'!$B$62,AI90+AH91-AQ90)))</f>
        <v>185.96581196581181</v>
      </c>
      <c r="AJ91" s="13">
        <f>AI91*VLOOKUP('Données projet'!$B$10,Paramètres!$A$1:$I$89,3,0)*VLOOKUP('Données projet'!$B$10,Paramètres!$A$1:$I$89,5,0)</f>
        <v>188.56933333333319</v>
      </c>
      <c r="AK91" s="13">
        <f t="shared" si="89"/>
        <v>47.223513760156187</v>
      </c>
      <c r="AL91" s="20">
        <f t="shared" si="58"/>
        <v>410.67254202116061</v>
      </c>
      <c r="AM91" s="59">
        <f t="shared" si="59"/>
        <v>684.35427439035425</v>
      </c>
      <c r="AN91" s="59">
        <f ca="1">AVERAGE(OFFSET($AM$3,0,0,'Données projet'!$E$10+1,1))-AVERAGE(OFFSET($H$3,0,0,'Données projet'!$E$10+1,1))</f>
        <v>424.89201140676084</v>
      </c>
      <c r="AO91" s="59">
        <f t="shared" si="90"/>
        <v>253.0016648946303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18.999436565161737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18.999436565161737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155.99999999999991</v>
      </c>
      <c r="BE91" s="13">
        <f>BD91*VLOOKUP('Données projet'!$B$11,Paramètres!$A$1:$I$89,3,0)*VLOOKUP('Données projet'!$B$11,Paramètres!$A$1:$I$89,5,0)</f>
        <v>136.28159999999994</v>
      </c>
      <c r="BF91" s="13">
        <f t="shared" si="91"/>
        <v>35.443842312892279</v>
      </c>
      <c r="BG91" s="20">
        <f t="shared" si="61"/>
        <v>299.08847869495395</v>
      </c>
      <c r="BH91" s="59">
        <f t="shared" si="62"/>
        <v>572.77021106414759</v>
      </c>
      <c r="BI91" s="59">
        <f ca="1">AVERAGE(OFFSET($BH$3,0,0,'Données projet'!$E$11+1,1))-AVERAGE(OFFSET($H$3,0,0,'Données projet'!$E$11+1,1))</f>
        <v>218.97952644043698</v>
      </c>
      <c r="BJ91" s="59">
        <f t="shared" si="92"/>
        <v>204.10961748628714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1.5175677040079014</v>
      </c>
      <c r="BQ91" s="21">
        <f>EXP(-LN(2)/25)*BQ90+(1-EXP(-LN(2)/25))/(LN(2)/25)*Calculateur!BL91*Calculateur!BN91*VLOOKUP('Données projet'!$B$11,Paramètres!$A$1:$I$89,3,0)*0.475*44/12</f>
        <v>4.0122657770468191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5.5298334810547205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</v>
      </c>
      <c r="BY91" s="12">
        <f>IF('Données projet'!$A$114&gt;35,BY90+BX91-CG90,IF(A91&lt;'Données projet'!$A$114,$BV$205^A91,IF(A91='Données projet'!$A$114,'Données projet'!$B$114,BY90+BX91-CG90)))</f>
        <v>195.99999999999977</v>
      </c>
      <c r="BZ91" s="13">
        <f>BY91*VLOOKUP('Données projet'!$B$12,Paramètres!$A$1:$I$89,3,0)*VLOOKUP('Données projet'!$B$12,Paramètres!$A$1:$I$89,5,0)</f>
        <v>158.99519999999984</v>
      </c>
      <c r="CA91" s="13">
        <f t="shared" si="93"/>
        <v>40.615796933386008</v>
      </c>
      <c r="CB91" s="20">
        <f t="shared" si="64"/>
        <v>347.65581965898036</v>
      </c>
      <c r="CC91" s="59">
        <f t="shared" si="65"/>
        <v>621.33755202817406</v>
      </c>
      <c r="CD91" s="59">
        <f ca="1">AVERAGE(OFFSET($CC$3,0,0,'Données projet'!$E$12+1,1))-AVERAGE(OFFSET($H$3,0,0,'Données projet'!$E$12+1,1))</f>
        <v>256.23994291192162</v>
      </c>
      <c r="CE91" s="59">
        <f t="shared" si="94"/>
        <v>207.9118653708222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2.3446020831505989</v>
      </c>
      <c r="CL91" s="21">
        <f>EXP(-LN(2)/25)*CL90+(1-EXP(-LN(2)/25))/(LN(2)/25)*Calculateur!CG91*Calculateur!CI91*VLOOKUP('Données projet'!$B$12,Paramètres!$A$1:$I$89,3,0)*0.475*44/12</f>
        <v>8.7337338660852559</v>
      </c>
      <c r="CM91" s="21">
        <f>EXP(-LN(2)/2)*CM90+(1-EXP(-LN(2)/2))/(LN(2)/2)*CG91*CJ91*VLOOKUP('Données projet'!$B$12,Paramètres!$A$1:$I$89,3,0)*0.475*44/12</f>
        <v>0.68035148966252801</v>
      </c>
      <c r="CN91" s="22">
        <f t="shared" si="66"/>
        <v>11.758687438898383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2.8</v>
      </c>
      <c r="CT91" s="12">
        <f>IF('Données projet'!$A$140&gt;35,CT90+CS91-DB90,IF(A91&lt;'Données projet'!$A$140,$CQ$205^A91,IF(A91='Données projet'!$A$140,'Données projet'!$B$140,CT90+CS91-DB90)))</f>
        <v>176.39999999999989</v>
      </c>
      <c r="CU91" s="17">
        <f>CT91*VLOOKUP('Données projet'!$B$13,Paramètres!$A$1:$I$89,3,0)*VLOOKUP('Données projet'!$B$13,Paramètres!$A$1:$I$89,5,0)</f>
        <v>101.81807999999994</v>
      </c>
      <c r="CV91" s="13">
        <f t="shared" si="95"/>
        <v>27.394674801649732</v>
      </c>
      <c r="CW91" s="20">
        <f t="shared" si="67"/>
        <v>225.04554794620651</v>
      </c>
      <c r="CX91" s="59">
        <f t="shared" si="68"/>
        <v>498.72728031540021</v>
      </c>
      <c r="CY91" s="59">
        <f ca="1">AVERAGE(OFFSET($CX$3,0,0,'Données projet'!$E$13+1,1))-AVERAGE(OFFSET($H$3,0,0,'Données projet'!$E$13+1,1))</f>
        <v>205.74526926885287</v>
      </c>
      <c r="CZ91" s="59">
        <f t="shared" si="96"/>
        <v>201.56217137928999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0.61467991447154924</v>
      </c>
      <c r="DG91" s="21">
        <f>EXP(-LN(2)/25)*DG90+(1-EXP(-LN(2)/25))/(LN(2)/25)*Calculateur!DB91*Calculateur!DD91*VLOOKUP('Données projet'!$B$13,Paramètres!$A$1:$I$89,3,0)*0.475*44/12</f>
        <v>6.5646005634943547</v>
      </c>
      <c r="DH91" s="21">
        <f>EXP(-LN(2)/2)*DH90+(1-EXP(-LN(2)/2))/(LN(2)/2)*DB91*DE91*VLOOKUP('Données projet'!$B$13,Paramètres!$A$1:$I$89,3,0)*0.475*44/12</f>
        <v>0.85708176529281377</v>
      </c>
      <c r="DI91" s="22">
        <f t="shared" si="69"/>
        <v>8.0363622432587167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5.2606837606837598</v>
      </c>
      <c r="DO91" s="12">
        <f>IF('Données projet'!$A$166&gt;35,DO90+DN91-DW90,IF(A91&lt;'Données projet'!$A$166,$DL$205^A91,IF(A91='Données projet'!$A$166,'Données projet'!$B$166,DO90+DN91-DW90)))</f>
        <v>185.96581196581181</v>
      </c>
      <c r="DP91" s="17">
        <f>DO91*VLOOKUP('Données projet'!$B$14,Paramètres!$A$1:$I$89,3,0)*VLOOKUP('Données projet'!$B$14,Paramètres!$A$1:$I$89,5,0)</f>
        <v>176.9650666666665</v>
      </c>
      <c r="DQ91" s="13">
        <f t="shared" si="97"/>
        <v>44.646302633482748</v>
      </c>
      <c r="DR91" s="20">
        <f t="shared" si="70"/>
        <v>385.97313486442658</v>
      </c>
      <c r="DS91" s="59">
        <f t="shared" si="71"/>
        <v>659.65486723362028</v>
      </c>
      <c r="DT91" s="59">
        <f ca="1">AVERAGE(OFFSET($DS$3,0,0,'Données projet'!$E$14+1,1))-AVERAGE(OFFSET($H$3,0,0,'Données projet'!$E$14+1,1))</f>
        <v>403.89478276355294</v>
      </c>
      <c r="DU91" s="59">
        <f t="shared" si="98"/>
        <v>241.1593989733278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17.830240468844099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17.830240468844099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5.2606837606837598</v>
      </c>
      <c r="N92" s="13">
        <f>IF('Données projet'!$A$36&gt;35,N91+M92-V91,IF(A92&lt;'Données projet'!$A$36,$K$205^A92,IF(A92='Données projet'!$A$36,'Données projet'!$B$36,N91+M92-V91)))</f>
        <v>191.22649572649556</v>
      </c>
      <c r="O92" s="13">
        <f>N92*VLOOKUP('Données projet'!$B$9,Paramètres!$A$1:$I$89,3,0)*VLOOKUP('Données projet'!$B$9,Paramètres!$A$1:$I$89,5,0)</f>
        <v>173.02173333333317</v>
      </c>
      <c r="P92" s="13">
        <f t="shared" si="87"/>
        <v>43.766095804240145</v>
      </c>
      <c r="Q92" s="20">
        <f t="shared" si="54"/>
        <v>377.57213574794014</v>
      </c>
      <c r="R92" s="59">
        <f t="shared" si="55"/>
        <v>651.59477945946378</v>
      </c>
      <c r="S92" s="59">
        <f ca="1">AVERAGE(OFFSET($R$3,0,0,'Données projet'!$E$9+1,1))-AVERAGE(OFFSET($H$3,0,0,'Données projet'!$E$9+1,1))</f>
        <v>388.1278150896951</v>
      </c>
      <c r="T92" s="59">
        <f t="shared" si="88"/>
        <v>232.26614607059227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16.620898673116855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16.620898673116855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5.2606837606837598</v>
      </c>
      <c r="AI92" s="13">
        <f>IF('Données projet'!$A$62&gt;35,AI91+AH92-AQ91,IF(A92&lt;'Données projet'!$A$62,$AF$205^A92,IF(A92='Données projet'!$A$62,'Données projet'!$B$62,AI91+AH92-AQ91)))</f>
        <v>191.22649572649556</v>
      </c>
      <c r="AJ92" s="13">
        <f>AI92*VLOOKUP('Données projet'!$B$10,Paramètres!$A$1:$I$89,3,0)*VLOOKUP('Données projet'!$B$10,Paramètres!$A$1:$I$89,5,0)</f>
        <v>193.90366666666651</v>
      </c>
      <c r="AK92" s="13">
        <f t="shared" si="89"/>
        <v>48.401973941265673</v>
      </c>
      <c r="AL92" s="20">
        <f t="shared" si="58"/>
        <v>422.01565739214857</v>
      </c>
      <c r="AM92" s="59">
        <f t="shared" si="59"/>
        <v>696.03830110367221</v>
      </c>
      <c r="AN92" s="59">
        <f ca="1">AVERAGE(OFFSET($AM$3,0,0,'Données projet'!$E$10+1,1))-AVERAGE(OFFSET($H$3,0,0,'Données projet'!$E$10+1,1))</f>
        <v>424.89201140676084</v>
      </c>
      <c r="AO92" s="59">
        <f t="shared" si="90"/>
        <v>253.0016648946303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18.626869202630949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18.626869202630949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155.99999999999991</v>
      </c>
      <c r="BE92" s="13">
        <f>BD92*VLOOKUP('Données projet'!$B$11,Paramètres!$A$1:$I$89,3,0)*VLOOKUP('Données projet'!$B$11,Paramètres!$A$1:$I$89,5,0)</f>
        <v>136.28159999999994</v>
      </c>
      <c r="BF92" s="13">
        <f t="shared" si="91"/>
        <v>35.443842312892279</v>
      </c>
      <c r="BG92" s="20">
        <f t="shared" si="61"/>
        <v>299.08847869495395</v>
      </c>
      <c r="BH92" s="59">
        <f t="shared" si="62"/>
        <v>573.11112240647753</v>
      </c>
      <c r="BI92" s="59">
        <f ca="1">AVERAGE(OFFSET($BH$3,0,0,'Données projet'!$E$11+1,1))-AVERAGE(OFFSET($H$3,0,0,'Données projet'!$E$11+1,1))</f>
        <v>218.97952644043698</v>
      </c>
      <c r="BJ92" s="59">
        <f t="shared" si="92"/>
        <v>204.10961748628714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1.487809126957208</v>
      </c>
      <c r="BQ92" s="21">
        <f>EXP(-LN(2)/25)*BQ91+(1-EXP(-LN(2)/25))/(LN(2)/25)*Calculateur!BL92*Calculateur!BN92*VLOOKUP('Données projet'!$B$11,Paramètres!$A$1:$I$89,3,0)*0.475*44/12</f>
        <v>3.9025501583775868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5.390359285334795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</v>
      </c>
      <c r="BY92" s="12">
        <f>IF('Données projet'!$A$114&gt;35,BY91+BX92-CG91,IF(A92&lt;'Données projet'!$A$114,$BV$205^A92,IF(A92='Données projet'!$A$114,'Données projet'!$B$114,BY91+BX92-CG91)))</f>
        <v>198.99999999999977</v>
      </c>
      <c r="BZ92" s="13">
        <f>BY92*VLOOKUP('Données projet'!$B$12,Paramètres!$A$1:$I$89,3,0)*VLOOKUP('Données projet'!$B$12,Paramètres!$A$1:$I$89,5,0)</f>
        <v>161.42879999999982</v>
      </c>
      <c r="CA92" s="13">
        <f t="shared" si="93"/>
        <v>41.164618296930165</v>
      </c>
      <c r="CB92" s="20">
        <f t="shared" si="64"/>
        <v>352.85020353381969</v>
      </c>
      <c r="CC92" s="59">
        <f t="shared" si="65"/>
        <v>626.87284724534334</v>
      </c>
      <c r="CD92" s="59">
        <f ca="1">AVERAGE(OFFSET($CC$3,0,0,'Données projet'!$E$12+1,1))-AVERAGE(OFFSET($H$3,0,0,'Données projet'!$E$12+1,1))</f>
        <v>256.23994291192162</v>
      </c>
      <c r="CE92" s="59">
        <f t="shared" si="94"/>
        <v>207.9118653708222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2.2986258663660792</v>
      </c>
      <c r="CL92" s="21">
        <f>EXP(-LN(2)/25)*CL91+(1-EXP(-LN(2)/25))/(LN(2)/25)*Calculateur!CG92*Calculateur!CI92*VLOOKUP('Données projet'!$B$12,Paramètres!$A$1:$I$89,3,0)*0.475*44/12</f>
        <v>8.4949094542300525</v>
      </c>
      <c r="CM92" s="21">
        <f>EXP(-LN(2)/2)*CM91+(1-EXP(-LN(2)/2))/(LN(2)/2)*CG92*CJ92*VLOOKUP('Données projet'!$B$12,Paramètres!$A$1:$I$89,3,0)*0.475*44/12</f>
        <v>0.48108115193074286</v>
      </c>
      <c r="CN92" s="22">
        <f t="shared" si="66"/>
        <v>11.274616472526874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2.8</v>
      </c>
      <c r="CT92" s="12">
        <f>IF('Données projet'!$A$140&gt;35,CT91+CS92-DB91,IF(A92&lt;'Données projet'!$A$140,$CQ$205^A92,IF(A92='Données projet'!$A$140,'Données projet'!$B$140,CT91+CS92-DB91)))</f>
        <v>179.1999999999999</v>
      </c>
      <c r="CU92" s="17">
        <f>CT92*VLOOKUP('Données projet'!$B$13,Paramètres!$A$1:$I$89,3,0)*VLOOKUP('Données projet'!$B$13,Paramètres!$A$1:$I$89,5,0)</f>
        <v>103.43423999999995</v>
      </c>
      <c r="CV92" s="13">
        <f t="shared" si="95"/>
        <v>27.778543118649416</v>
      </c>
      <c r="CW92" s="20">
        <f t="shared" si="67"/>
        <v>228.5289305983143</v>
      </c>
      <c r="CX92" s="59">
        <f t="shared" si="68"/>
        <v>502.55157430983786</v>
      </c>
      <c r="CY92" s="59">
        <f ca="1">AVERAGE(OFFSET($CX$3,0,0,'Données projet'!$E$13+1,1))-AVERAGE(OFFSET($H$3,0,0,'Données projet'!$E$13+1,1))</f>
        <v>205.74526926885287</v>
      </c>
      <c r="CZ92" s="59">
        <f t="shared" si="96"/>
        <v>201.56217137928999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0.60262641626648994</v>
      </c>
      <c r="DG92" s="21">
        <f>EXP(-LN(2)/25)*DG91+(1-EXP(-LN(2)/25))/(LN(2)/25)*Calculateur!DB92*Calculateur!DD92*VLOOKUP('Données projet'!$B$13,Paramètres!$A$1:$I$89,3,0)*0.475*44/12</f>
        <v>6.3850912158682611</v>
      </c>
      <c r="DH92" s="21">
        <f>EXP(-LN(2)/2)*DH91+(1-EXP(-LN(2)/2))/(LN(2)/2)*DB92*DE92*VLOOKUP('Données projet'!$B$13,Paramètres!$A$1:$I$89,3,0)*0.475*44/12</f>
        <v>0.60604832826988564</v>
      </c>
      <c r="DI92" s="22">
        <f t="shared" si="69"/>
        <v>7.5937659604046361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5.2606837606837598</v>
      </c>
      <c r="DO92" s="12">
        <f>IF('Données projet'!$A$166&gt;35,DO91+DN92-DW91,IF(A92&lt;'Données projet'!$A$166,$DL$205^A92,IF(A92='Données projet'!$A$166,'Données projet'!$B$166,DO91+DN92-DW91)))</f>
        <v>191.22649572649556</v>
      </c>
      <c r="DP92" s="17">
        <f>DO92*VLOOKUP('Données projet'!$B$14,Paramètres!$A$1:$I$89,3,0)*VLOOKUP('Données projet'!$B$14,Paramètres!$A$1:$I$89,5,0)</f>
        <v>181.97113333333317</v>
      </c>
      <c r="DQ92" s="13">
        <f t="shared" si="97"/>
        <v>45.760448653081077</v>
      </c>
      <c r="DR92" s="20">
        <f t="shared" si="70"/>
        <v>396.63250529300484</v>
      </c>
      <c r="DS92" s="59">
        <f t="shared" si="71"/>
        <v>670.65514900452843</v>
      </c>
      <c r="DT92" s="59">
        <f ca="1">AVERAGE(OFFSET($DS$3,0,0,'Données projet'!$E$14+1,1))-AVERAGE(OFFSET($H$3,0,0,'Données projet'!$E$14+1,1))</f>
        <v>403.89478276355294</v>
      </c>
      <c r="DU92" s="59">
        <f t="shared" si="98"/>
        <v>241.1593989733278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17.480600328622899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17.480600328622899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5.2606837606837598</v>
      </c>
      <c r="N93" s="13">
        <f>IF('Données projet'!$A$36&gt;35,N92+M93-V92,IF(A93&lt;'Données projet'!$A$36,$K$205^A93,IF(A93='Données projet'!$A$36,'Données projet'!$B$36,N92+M93-V92)))</f>
        <v>196.4871794871793</v>
      </c>
      <c r="O93" s="13">
        <f>N93*VLOOKUP('Données projet'!$B$9,Paramètres!$A$1:$I$89,3,0)*VLOOKUP('Données projet'!$B$9,Paramètres!$A$1:$I$89,5,0)</f>
        <v>177.78159999999983</v>
      </c>
      <c r="P93" s="13">
        <f t="shared" si="87"/>
        <v>44.828277386743572</v>
      </c>
      <c r="Q93" s="20">
        <f t="shared" si="54"/>
        <v>387.71220311524468</v>
      </c>
      <c r="R93" s="59">
        <f t="shared" si="55"/>
        <v>662.06984411947235</v>
      </c>
      <c r="S93" s="59">
        <f ca="1">AVERAGE(OFFSET($R$3,0,0,'Données projet'!$E$9+1,1))-AVERAGE(OFFSET($H$3,0,0,'Données projet'!$E$9+1,1))</f>
        <v>388.1278150896951</v>
      </c>
      <c r="T93" s="59">
        <f t="shared" si="88"/>
        <v>232.26614607059227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16.294972987884204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16.294972987884204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5.2606837606837598</v>
      </c>
      <c r="AI93" s="13">
        <f>IF('Données projet'!$A$62&gt;35,AI92+AH93-AQ92,IF(A93&lt;'Données projet'!$A$62,$AF$205^A93,IF(A93='Données projet'!$A$62,'Données projet'!$B$62,AI92+AH93-AQ92)))</f>
        <v>196.4871794871793</v>
      </c>
      <c r="AJ93" s="13">
        <f>AI93*VLOOKUP('Données projet'!$B$10,Paramètres!$A$1:$I$89,3,0)*VLOOKUP('Données projet'!$B$10,Paramètres!$A$1:$I$89,5,0)</f>
        <v>199.23799999999983</v>
      </c>
      <c r="AK93" s="13">
        <f t="shared" si="89"/>
        <v>49.576666002151768</v>
      </c>
      <c r="AL93" s="20">
        <f t="shared" si="58"/>
        <v>433.35220995374738</v>
      </c>
      <c r="AM93" s="59">
        <f t="shared" si="59"/>
        <v>707.70985095797505</v>
      </c>
      <c r="AN93" s="59">
        <f ca="1">AVERAGE(OFFSET($AM$3,0,0,'Données projet'!$E$10+1,1))-AVERAGE(OFFSET($H$3,0,0,'Données projet'!$E$10+1,1))</f>
        <v>424.89201140676084</v>
      </c>
      <c r="AO93" s="59">
        <f t="shared" si="90"/>
        <v>253.0016648946303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18.261607658835739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18.261607658835739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155.99999999999991</v>
      </c>
      <c r="BE93" s="13">
        <f>BD93*VLOOKUP('Données projet'!$B$11,Paramètres!$A$1:$I$89,3,0)*VLOOKUP('Données projet'!$B$11,Paramètres!$A$1:$I$89,5,0)</f>
        <v>136.28159999999994</v>
      </c>
      <c r="BF93" s="13">
        <f t="shared" si="91"/>
        <v>35.443842312892279</v>
      </c>
      <c r="BG93" s="20">
        <f t="shared" si="61"/>
        <v>299.08847869495395</v>
      </c>
      <c r="BH93" s="59">
        <f t="shared" si="62"/>
        <v>573.44611969918162</v>
      </c>
      <c r="BI93" s="59">
        <f ca="1">AVERAGE(OFFSET($BH$3,0,0,'Données projet'!$E$11+1,1))-AVERAGE(OFFSET($H$3,0,0,'Données projet'!$E$11+1,1))</f>
        <v>218.97952644043698</v>
      </c>
      <c r="BJ93" s="59">
        <f t="shared" si="92"/>
        <v>204.10961748628714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1.458634097451539</v>
      </c>
      <c r="BQ93" s="21">
        <f>EXP(-LN(2)/25)*BQ92+(1-EXP(-LN(2)/25))/(LN(2)/25)*Calculateur!BL93*Calculateur!BN93*VLOOKUP('Données projet'!$B$11,Paramètres!$A$1:$I$89,3,0)*0.475*44/12</f>
        <v>3.7958347190705584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5.2544688165220972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202</v>
      </c>
      <c r="BW93" s="12">
        <f>VLOOKUP(A93,'Données projet'!$A$113:$I$133,9,0)</f>
        <v>3</v>
      </c>
      <c r="BX93" s="12">
        <f t="array" ref="BX93">INDEX(BW:BW,MIN(IF(ISNUMBER(BW93:BW289),ROW(BW93:BW289),"")))</f>
        <v>3</v>
      </c>
      <c r="BY93" s="12">
        <f>IF('Données projet'!$A$114&gt;35,BY92+BX93-CG92,IF(A93&lt;'Données projet'!$A$114,$BV$205^A93,IF(A93='Données projet'!$A$114,'Données projet'!$B$114,BY92+BX93-CG92)))</f>
        <v>201.99999999999977</v>
      </c>
      <c r="BZ93" s="13">
        <f>BY93*VLOOKUP('Données projet'!$B$12,Paramètres!$A$1:$I$89,3,0)*VLOOKUP('Données projet'!$B$12,Paramètres!$A$1:$I$89,5,0)</f>
        <v>163.86239999999981</v>
      </c>
      <c r="CA93" s="13">
        <f t="shared" si="93"/>
        <v>41.712477409029042</v>
      </c>
      <c r="CB93" s="20">
        <f t="shared" si="64"/>
        <v>358.0429114873919</v>
      </c>
      <c r="CC93" s="59">
        <f t="shared" si="65"/>
        <v>632.40055249161958</v>
      </c>
      <c r="CD93" s="59">
        <f ca="1">AVERAGE(OFFSET($CC$3,0,0,'Données projet'!$E$12+1,1))-AVERAGE(OFFSET($H$3,0,0,'Données projet'!$E$12+1,1))</f>
        <v>256.23994291192162</v>
      </c>
      <c r="CE93" s="59">
        <f t="shared" si="94"/>
        <v>207.9118653708222</v>
      </c>
      <c r="CF93" s="15">
        <f>IF(ISNA(VLOOKUP(A93,'Données projet'!$A$113:$I$133,3,0)),0,VLOOKUP(A93,'Données projet'!$A$113:$I$133,3,0))</f>
        <v>15</v>
      </c>
      <c r="CG93" s="15">
        <f>IF(ISNA(VLOOKUP(A93,'Données projet'!$A$113:$I$133,4,0)),0,VLOOKUP(A93,'Données projet'!$A$113:$I$133,4,0))</f>
        <v>10</v>
      </c>
      <c r="CH93" s="16">
        <f>IF(ISNA(VLOOKUP(A93,'Données projet'!$A$113:$I$133,5,0)),0%,VLOOKUP(A93,'Données projet'!$A$113:$I$133,5,0)*VLOOKUP('Données projet'!$B$12,Paramètres!$A$1:$I$89,7,0))</f>
        <v>0.129</v>
      </c>
      <c r="CI93" s="16">
        <f>IF(ISNA(VLOOKUP(A93,'Données projet'!$A$113:$I$133,6,0)),0%,VLOOKUP(A93,'Données projet'!$A$113:$I$133,6,0)*VLOOKUP('Données projet'!$B$12,Paramètres!$A$1:$I$89,7,0))</f>
        <v>0.17200000000000001</v>
      </c>
      <c r="CJ93" s="16">
        <f>IF(ISNA(VLOOKUP(A93,'Données projet'!$A$113:$I$133,7,0)),0%,VLOOKUP(A93,'Données projet'!$A$113:$I$133,7,0))</f>
        <v>0.2</v>
      </c>
      <c r="CK93" s="21">
        <f>EXP(-LN(2)/35)*CK92+(1-EXP(-LN(2)/35))/(LN(2)/35)*CG93*CH93*VLOOKUP('Données projet'!$B$12,Paramètres!$A$1:$I$89,3,0)*0.475*44/12</f>
        <v>3.4103684828714771</v>
      </c>
      <c r="CL93" s="21">
        <f>EXP(-LN(2)/25)*CL92+(1-EXP(-LN(2)/25))/(LN(2)/25)*Calculateur!CG93*Calculateur!CI93*VLOOKUP('Données projet'!$B$12,Paramètres!$A$1:$I$89,3,0)*0.475*44/12</f>
        <v>9.7989656249516486</v>
      </c>
      <c r="CM93" s="21">
        <f>EXP(-LN(2)/2)*CM92+(1-EXP(-LN(2)/2))/(LN(2)/2)*CG93*CJ93*VLOOKUP('Données projet'!$B$12,Paramètres!$A$1:$I$89,3,0)*0.475*44/12</f>
        <v>1.8709538110870463</v>
      </c>
      <c r="CN93" s="22">
        <f t="shared" si="66"/>
        <v>15.080287918910171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182</v>
      </c>
      <c r="CR93" s="12">
        <f>VLOOKUP(A93,'Données projet'!$A$139:$I$159,9,0)</f>
        <v>2.8</v>
      </c>
      <c r="CS93" s="12">
        <f t="array" ref="CS93">INDEX(CR:CR,MIN(IF(ISNUMBER(CR93:CR289),ROW(CR93:CR289),"")))</f>
        <v>2.8</v>
      </c>
      <c r="CT93" s="12">
        <f>IF('Données projet'!$A$140&gt;35,CT92+CS93-DB92,IF(A93&lt;'Données projet'!$A$140,$CQ$205^A93,IF(A93='Données projet'!$A$140,'Données projet'!$B$140,CT92+CS93-DB92)))</f>
        <v>181.99999999999991</v>
      </c>
      <c r="CU93" s="17">
        <f>CT93*VLOOKUP('Données projet'!$B$13,Paramètres!$A$1:$I$89,3,0)*VLOOKUP('Données projet'!$B$13,Paramètres!$A$1:$I$89,5,0)</f>
        <v>105.05039999999994</v>
      </c>
      <c r="CV93" s="13">
        <f t="shared" si="95"/>
        <v>28.161713879642544</v>
      </c>
      <c r="CW93" s="20">
        <f t="shared" si="67"/>
        <v>232.01109834037732</v>
      </c>
      <c r="CX93" s="59">
        <f t="shared" si="68"/>
        <v>506.36873934460499</v>
      </c>
      <c r="CY93" s="59">
        <f ca="1">AVERAGE(OFFSET($CX$3,0,0,'Données projet'!$E$13+1,1))-AVERAGE(OFFSET($H$3,0,0,'Données projet'!$E$13+1,1))</f>
        <v>205.74526926885287</v>
      </c>
      <c r="CZ93" s="59">
        <f t="shared" si="96"/>
        <v>201.56217137928999</v>
      </c>
      <c r="DA93" s="15">
        <f>IF(ISNA(VLOOKUP(A93,'Données projet'!$A$139:$I$159,3,0)),0,VLOOKUP(A93,'Données projet'!$A$139:$I$159,3,0))</f>
        <v>16</v>
      </c>
      <c r="DB93" s="15">
        <f>IF(ISNA(VLOOKUP(A93,'Données projet'!$A$139:$I$159,4,0)),0,VLOOKUP(A93,'Données projet'!$A$139:$I$159,4,0))</f>
        <v>11</v>
      </c>
      <c r="DC93" s="16">
        <f>IF(ISNA(VLOOKUP(A93,'Données projet'!$A$139:$I$159,5,0)),0%,VLOOKUP(A93,'Données projet'!$A$139:$I$159,5,0)*VLOOKUP('Données projet'!$B$13,Paramètres!$A$1:$I$89,7,0))</f>
        <v>4.3000000000000003E-2</v>
      </c>
      <c r="DD93" s="16">
        <f>IF(ISNA(VLOOKUP(A93,'Données projet'!$A$139:$I$159,6,0)),0%,VLOOKUP(A93,'Données projet'!$A$139:$I$159,6,0)*VLOOKUP('Données projet'!$B$13,Paramètres!$A$1:$I$89,7,0))</f>
        <v>0.17200000000000001</v>
      </c>
      <c r="DE93" s="16">
        <f>IF(ISNA(VLOOKUP(A93,'Données projet'!$A$139:$I$159,7,0)),0%,VLOOKUP(A93,'Données projet'!$A$139:$I$159,7,0))</f>
        <v>0.3</v>
      </c>
      <c r="DF93" s="21">
        <f>EXP(-LN(2)/35)*DF92+(1-EXP(-LN(2)/35))/(LN(2)/35)*DB93*DC93*VLOOKUP('Données projet'!$B$13,Paramètres!$A$1:$I$89,3,0)*0.475*44/12</f>
        <v>0.89261993875973999</v>
      </c>
      <c r="DG93" s="21">
        <f>EXP(-LN(2)/25)*DG92+(1-EXP(-LN(2)/25))/(LN(2)/25)*Calculateur!DB93*Calculateur!DD93*VLOOKUP('Données projet'!$B$13,Paramètres!$A$1:$I$89,3,0)*0.475*44/12</f>
        <v>7.4129798223419963</v>
      </c>
      <c r="DH93" s="21">
        <f>EXP(-LN(2)/2)*DH92+(1-EXP(-LN(2)/2))/(LN(2)/2)*DB93*DE93*VLOOKUP('Données projet'!$B$13,Paramètres!$A$1:$I$89,3,0)*0.475*44/12</f>
        <v>2.2257332085101664</v>
      </c>
      <c r="DI93" s="22">
        <f t="shared" si="69"/>
        <v>10.531332969611903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5.2606837606837598</v>
      </c>
      <c r="DO93" s="12">
        <f>IF('Données projet'!$A$166&gt;35,DO92+DN93-DW92,IF(A93&lt;'Données projet'!$A$166,$DL$205^A93,IF(A93='Données projet'!$A$166,'Données projet'!$B$166,DO92+DN93-DW92)))</f>
        <v>196.4871794871793</v>
      </c>
      <c r="DP93" s="17">
        <f>DO93*VLOOKUP('Données projet'!$B$14,Paramètres!$A$1:$I$89,3,0)*VLOOKUP('Données projet'!$B$14,Paramètres!$A$1:$I$89,5,0)</f>
        <v>186.97719999999984</v>
      </c>
      <c r="DQ93" s="13">
        <f t="shared" si="97"/>
        <v>46.871032196648777</v>
      </c>
      <c r="DR93" s="20">
        <f t="shared" si="70"/>
        <v>407.28567107582967</v>
      </c>
      <c r="DS93" s="59">
        <f t="shared" si="71"/>
        <v>681.64331208005729</v>
      </c>
      <c r="DT93" s="59">
        <f ca="1">AVERAGE(OFFSET($DS$3,0,0,'Données projet'!$E$14+1,1))-AVERAGE(OFFSET($H$3,0,0,'Données projet'!$E$14+1,1))</f>
        <v>403.89478276355294</v>
      </c>
      <c r="DU93" s="59">
        <f t="shared" si="98"/>
        <v>241.1593989733278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17.137816418292008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17.137816418292008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5.2606837606837598</v>
      </c>
      <c r="N94" s="13">
        <f>IF('Données projet'!$A$36&gt;35,N93+M94-V93,IF(A94&lt;'Données projet'!$A$36,$K$205^A94,IF(A94='Données projet'!$A$36,'Données projet'!$B$36,N93+M94-V93)))</f>
        <v>201.74786324786305</v>
      </c>
      <c r="O94" s="13">
        <f>N94*VLOOKUP('Données projet'!$B$9,Paramètres!$A$1:$I$89,3,0)*VLOOKUP('Données projet'!$B$9,Paramètres!$A$1:$I$89,5,0)</f>
        <v>182.54146666666648</v>
      </c>
      <c r="P94" s="13">
        <f t="shared" si="87"/>
        <v>45.887153462840786</v>
      </c>
      <c r="Q94" s="20">
        <f t="shared" si="54"/>
        <v>397.84651339222506</v>
      </c>
      <c r="R94" s="59">
        <f t="shared" si="55"/>
        <v>672.53334023507011</v>
      </c>
      <c r="S94" s="59">
        <f ca="1">AVERAGE(OFFSET($R$3,0,0,'Données projet'!$E$9+1,1))-AVERAGE(OFFSET($H$3,0,0,'Données projet'!$E$9+1,1))</f>
        <v>388.1278150896951</v>
      </c>
      <c r="T94" s="59">
        <f t="shared" si="88"/>
        <v>232.26614607059227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15.975438506543927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15.975438506543927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5.2606837606837598</v>
      </c>
      <c r="AI94" s="13">
        <f>IF('Données projet'!$A$62&gt;35,AI93+AH94-AQ93,IF(A94&lt;'Données projet'!$A$62,$AF$205^A94,IF(A94='Données projet'!$A$62,'Données projet'!$B$62,AI93+AH94-AQ93)))</f>
        <v>201.74786324786305</v>
      </c>
      <c r="AJ94" s="13">
        <f>AI94*VLOOKUP('Données projet'!$B$10,Paramètres!$A$1:$I$89,3,0)*VLOOKUP('Données projet'!$B$10,Paramètres!$A$1:$I$89,5,0)</f>
        <v>204.57233333333312</v>
      </c>
      <c r="AK94" s="13">
        <f t="shared" si="89"/>
        <v>50.747702424306688</v>
      </c>
      <c r="AL94" s="20">
        <f t="shared" si="58"/>
        <v>444.6823956112226</v>
      </c>
      <c r="AM94" s="59">
        <f t="shared" si="59"/>
        <v>719.36922245406765</v>
      </c>
      <c r="AN94" s="59">
        <f ca="1">AVERAGE(OFFSET($AM$3,0,0,'Données projet'!$E$10+1,1))-AVERAGE(OFFSET($H$3,0,0,'Données projet'!$E$10+1,1))</f>
        <v>424.89201140676084</v>
      </c>
      <c r="AO94" s="59">
        <f t="shared" si="90"/>
        <v>253.0016648946303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17.903508671126808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17.903508671126808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155.99999999999991</v>
      </c>
      <c r="BE94" s="13">
        <f>BD94*VLOOKUP('Données projet'!$B$11,Paramètres!$A$1:$I$89,3,0)*VLOOKUP('Données projet'!$B$11,Paramètres!$A$1:$I$89,5,0)</f>
        <v>136.28159999999994</v>
      </c>
      <c r="BF94" s="13">
        <f t="shared" si="91"/>
        <v>35.443842312892279</v>
      </c>
      <c r="BG94" s="20">
        <f t="shared" si="61"/>
        <v>299.08847869495395</v>
      </c>
      <c r="BH94" s="59">
        <f t="shared" si="62"/>
        <v>573.775305537799</v>
      </c>
      <c r="BI94" s="59">
        <f ca="1">AVERAGE(OFFSET($BH$3,0,0,'Données projet'!$E$11+1,1))-AVERAGE(OFFSET($H$3,0,0,'Données projet'!$E$11+1,1))</f>
        <v>218.97952644043698</v>
      </c>
      <c r="BJ94" s="59">
        <f t="shared" si="92"/>
        <v>204.10961748628714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1.4300311724794652</v>
      </c>
      <c r="BQ94" s="21">
        <f>EXP(-LN(2)/25)*BQ93+(1-EXP(-LN(2)/25))/(LN(2)/25)*Calculateur!BL94*Calculateur!BN94*VLOOKUP('Données projet'!$B$11,Paramètres!$A$1:$I$89,3,0)*0.475*44/12</f>
        <v>3.6920374190633014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5.1220685915427664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191.99999999999977</v>
      </c>
      <c r="BZ94" s="13">
        <f>BY94*VLOOKUP('Données projet'!$B$12,Paramètres!$A$1:$I$89,3,0)*VLOOKUP('Données projet'!$B$12,Paramètres!$A$1:$I$89,5,0)</f>
        <v>155.75039999999984</v>
      </c>
      <c r="CA94" s="13">
        <f t="shared" si="93"/>
        <v>39.882509755133718</v>
      </c>
      <c r="CB94" s="20">
        <f t="shared" si="64"/>
        <v>340.72731782352429</v>
      </c>
      <c r="CC94" s="59">
        <f t="shared" si="65"/>
        <v>615.41414466636934</v>
      </c>
      <c r="CD94" s="59">
        <f ca="1">AVERAGE(OFFSET($CC$3,0,0,'Données projet'!$E$12+1,1))-AVERAGE(OFFSET($H$3,0,0,'Données projet'!$E$12+1,1))</f>
        <v>256.23994291192162</v>
      </c>
      <c r="CE94" s="59">
        <f t="shared" si="94"/>
        <v>207.9118653708222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3.3434932370417472</v>
      </c>
      <c r="CL94" s="21">
        <f>EXP(-LN(2)/25)*CL93+(1-EXP(-LN(2)/25))/(LN(2)/25)*Calculateur!CG94*Calculateur!CI94*VLOOKUP('Données projet'!$B$12,Paramètres!$A$1:$I$89,3,0)*0.475*44/12</f>
        <v>9.531012394632139</v>
      </c>
      <c r="CM94" s="21">
        <f>EXP(-LN(2)/2)*CM93+(1-EXP(-LN(2)/2))/(LN(2)/2)*CG94*CJ94*VLOOKUP('Données projet'!$B$12,Paramètres!$A$1:$I$89,3,0)*0.475*44/12</f>
        <v>1.3229641271064654</v>
      </c>
      <c r="CN94" s="22">
        <f t="shared" si="66"/>
        <v>14.19746975878035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170.99999999999991</v>
      </c>
      <c r="CU94" s="17">
        <f>CT94*VLOOKUP('Données projet'!$B$13,Paramètres!$A$1:$I$89,3,0)*VLOOKUP('Données projet'!$B$13,Paramètres!$A$1:$I$89,5,0)</f>
        <v>98.701199999999957</v>
      </c>
      <c r="CV94" s="13">
        <f t="shared" si="95"/>
        <v>26.652341328097943</v>
      </c>
      <c r="CW94" s="20">
        <f t="shared" si="67"/>
        <v>218.32408447977051</v>
      </c>
      <c r="CX94" s="59">
        <f t="shared" si="68"/>
        <v>493.01091132261558</v>
      </c>
      <c r="CY94" s="59">
        <f ca="1">AVERAGE(OFFSET($CX$3,0,0,'Données projet'!$E$13+1,1))-AVERAGE(OFFSET($H$3,0,0,'Données projet'!$E$13+1,1))</f>
        <v>205.74526926885287</v>
      </c>
      <c r="CZ94" s="59">
        <f t="shared" si="96"/>
        <v>201.56217137928999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0.8751162062050647</v>
      </c>
      <c r="DG94" s="21">
        <f>EXP(-LN(2)/25)*DG93+(1-EXP(-LN(2)/25))/(LN(2)/25)*Calculateur!DB94*Calculateur!DD94*VLOOKUP('Données projet'!$B$13,Paramètres!$A$1:$I$89,3,0)*0.475*44/12</f>
        <v>7.2102714992683881</v>
      </c>
      <c r="DH94" s="21">
        <f>EXP(-LN(2)/2)*DH93+(1-EXP(-LN(2)/2))/(LN(2)/2)*DB94*DE94*VLOOKUP('Données projet'!$B$13,Paramètres!$A$1:$I$89,3,0)*0.475*44/12</f>
        <v>1.5738310448496307</v>
      </c>
      <c r="DI94" s="22">
        <f t="shared" si="69"/>
        <v>9.6592187503230829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5.2606837606837598</v>
      </c>
      <c r="DO94" s="12">
        <f>IF('Données projet'!$A$166&gt;35,DO93+DN94-DW93,IF(A94&lt;'Données projet'!$A$166,$DL$205^A94,IF(A94='Données projet'!$A$166,'Données projet'!$B$166,DO93+DN94-DW93)))</f>
        <v>201.74786324786305</v>
      </c>
      <c r="DP94" s="17">
        <f>DO94*VLOOKUP('Données projet'!$B$14,Paramètres!$A$1:$I$89,3,0)*VLOOKUP('Données projet'!$B$14,Paramètres!$A$1:$I$89,5,0)</f>
        <v>191.98326666666648</v>
      </c>
      <c r="DQ94" s="13">
        <f t="shared" si="97"/>
        <v>47.97815960702949</v>
      </c>
      <c r="DR94" s="20">
        <f t="shared" si="70"/>
        <v>417.93281742668711</v>
      </c>
      <c r="DS94" s="59">
        <f t="shared" si="71"/>
        <v>692.61964426953216</v>
      </c>
      <c r="DT94" s="59">
        <f ca="1">AVERAGE(OFFSET($DS$3,0,0,'Données projet'!$E$14+1,1))-AVERAGE(OFFSET($H$3,0,0,'Données projet'!$E$14+1,1))</f>
        <v>403.89478276355294</v>
      </c>
      <c r="DU94" s="59">
        <f t="shared" si="98"/>
        <v>241.1593989733278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16.801754291365164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16.801754291365164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5.2606837606837598</v>
      </c>
      <c r="N95" s="13">
        <f>IF('Données projet'!$A$36&gt;35,N94+M95-V94,IF(A95&lt;'Données projet'!$A$36,$K$205^A95,IF(A95='Données projet'!$A$36,'Données projet'!$B$36,N94+M95-V94)))</f>
        <v>207.0085470085468</v>
      </c>
      <c r="O95" s="13">
        <f>N95*VLOOKUP('Données projet'!$B$9,Paramètres!$A$1:$I$89,3,0)*VLOOKUP('Données projet'!$B$9,Paramètres!$A$1:$I$89,5,0)</f>
        <v>187.30133333333313</v>
      </c>
      <c r="P95" s="13">
        <f t="shared" si="87"/>
        <v>46.942820134391475</v>
      </c>
      <c r="Q95" s="20">
        <f t="shared" si="54"/>
        <v>407.97523395628696</v>
      </c>
      <c r="R95" s="59">
        <f t="shared" si="55"/>
        <v>682.98553599939873</v>
      </c>
      <c r="S95" s="59">
        <f ca="1">AVERAGE(OFFSET($R$3,0,0,'Données projet'!$E$9+1,1))-AVERAGE(OFFSET($H$3,0,0,'Données projet'!$E$9+1,1))</f>
        <v>388.1278150896951</v>
      </c>
      <c r="T95" s="59">
        <f t="shared" si="88"/>
        <v>232.26614607059227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15.662169901485944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15.662169901485944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5.2606837606837598</v>
      </c>
      <c r="AI95" s="13">
        <f>IF('Données projet'!$A$62&gt;35,AI94+AH95-AQ94,IF(A95&lt;'Données projet'!$A$62,$AF$205^A95,IF(A95='Données projet'!$A$62,'Données projet'!$B$62,AI94+AH95-AQ94)))</f>
        <v>207.0085470085468</v>
      </c>
      <c r="AJ95" s="13">
        <f>AI95*VLOOKUP('Données projet'!$B$10,Paramètres!$A$1:$I$89,3,0)*VLOOKUP('Données projet'!$B$10,Paramètres!$A$1:$I$89,5,0)</f>
        <v>209.90666666666647</v>
      </c>
      <c r="AK95" s="13">
        <f t="shared" si="89"/>
        <v>51.915189489079573</v>
      </c>
      <c r="AL95" s="20">
        <f t="shared" si="58"/>
        <v>456.00639947125768</v>
      </c>
      <c r="AM95" s="59">
        <f t="shared" si="59"/>
        <v>731.0167015143694</v>
      </c>
      <c r="AN95" s="59">
        <f ca="1">AVERAGE(OFFSET($AM$3,0,0,'Données projet'!$E$10+1,1))-AVERAGE(OFFSET($H$3,0,0,'Données projet'!$E$10+1,1))</f>
        <v>424.89201140676084</v>
      </c>
      <c r="AO95" s="59">
        <f t="shared" si="90"/>
        <v>253.0016648946303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17.552431786148034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17.552431786148034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155.99999999999991</v>
      </c>
      <c r="BE95" s="13">
        <f>BD95*VLOOKUP('Données projet'!$B$11,Paramètres!$A$1:$I$89,3,0)*VLOOKUP('Données projet'!$B$11,Paramètres!$A$1:$I$89,5,0)</f>
        <v>136.28159999999994</v>
      </c>
      <c r="BF95" s="13">
        <f t="shared" si="91"/>
        <v>35.443842312892279</v>
      </c>
      <c r="BG95" s="20">
        <f t="shared" si="61"/>
        <v>299.08847869495395</v>
      </c>
      <c r="BH95" s="59">
        <f t="shared" si="62"/>
        <v>574.09878073806567</v>
      </c>
      <c r="BI95" s="59">
        <f ca="1">AVERAGE(OFFSET($BH$3,0,0,'Données projet'!$E$11+1,1))-AVERAGE(OFFSET($H$3,0,0,'Données projet'!$E$11+1,1))</f>
        <v>218.97952644043698</v>
      </c>
      <c r="BJ95" s="59">
        <f t="shared" si="92"/>
        <v>204.10961748628714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1.4019891334200323</v>
      </c>
      <c r="BQ95" s="21">
        <f>EXP(-LN(2)/25)*BQ94+(1-EXP(-LN(2)/25))/(LN(2)/25)*Calculateur!BL95*Calculateur!BN95*VLOOKUP('Données projet'!$B$11,Paramètres!$A$1:$I$89,3,0)*0.475*44/12</f>
        <v>3.5910784616832059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4.9930675951032377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191.99999999999977</v>
      </c>
      <c r="BZ95" s="13">
        <f>BY95*VLOOKUP('Données projet'!$B$12,Paramètres!$A$1:$I$89,3,0)*VLOOKUP('Données projet'!$B$12,Paramètres!$A$1:$I$89,5,0)</f>
        <v>155.75039999999984</v>
      </c>
      <c r="CA95" s="13">
        <f t="shared" si="93"/>
        <v>39.882509755133718</v>
      </c>
      <c r="CB95" s="20">
        <f t="shared" si="64"/>
        <v>340.72731782352429</v>
      </c>
      <c r="CC95" s="59">
        <f t="shared" si="65"/>
        <v>615.73761986663601</v>
      </c>
      <c r="CD95" s="59">
        <f ca="1">AVERAGE(OFFSET($CC$3,0,0,'Données projet'!$E$12+1,1))-AVERAGE(OFFSET($H$3,0,0,'Données projet'!$E$12+1,1))</f>
        <v>256.23994291192162</v>
      </c>
      <c r="CE95" s="59">
        <f t="shared" si="94"/>
        <v>207.9118653708222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3.2779293739928659</v>
      </c>
      <c r="CL95" s="21">
        <f>EXP(-LN(2)/25)*CL94+(1-EXP(-LN(2)/25))/(LN(2)/25)*Calculateur!CG95*Calculateur!CI95*VLOOKUP('Données projet'!$B$12,Paramètres!$A$1:$I$89,3,0)*0.475*44/12</f>
        <v>9.2703863594867641</v>
      </c>
      <c r="CM95" s="21">
        <f>EXP(-LN(2)/2)*CM94+(1-EXP(-LN(2)/2))/(LN(2)/2)*CG95*CJ95*VLOOKUP('Données projet'!$B$12,Paramètres!$A$1:$I$89,3,0)*0.475*44/12</f>
        <v>0.93547690554352336</v>
      </c>
      <c r="CN95" s="22">
        <f t="shared" si="66"/>
        <v>13.483792639023154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170.99999999999991</v>
      </c>
      <c r="CU95" s="17">
        <f>CT95*VLOOKUP('Données projet'!$B$13,Paramètres!$A$1:$I$89,3,0)*VLOOKUP('Données projet'!$B$13,Paramètres!$A$1:$I$89,5,0)</f>
        <v>98.701199999999957</v>
      </c>
      <c r="CV95" s="13">
        <f t="shared" si="95"/>
        <v>26.652341328097943</v>
      </c>
      <c r="CW95" s="20">
        <f t="shared" si="67"/>
        <v>218.32408447977051</v>
      </c>
      <c r="CX95" s="59">
        <f t="shared" si="68"/>
        <v>493.33438652288226</v>
      </c>
      <c r="CY95" s="59">
        <f ca="1">AVERAGE(OFFSET($CX$3,0,0,'Données projet'!$E$13+1,1))-AVERAGE(OFFSET($H$3,0,0,'Données projet'!$E$13+1,1))</f>
        <v>205.74526926885287</v>
      </c>
      <c r="CZ95" s="59">
        <f t="shared" si="96"/>
        <v>201.56217137928999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0.85795571116956393</v>
      </c>
      <c r="DG95" s="21">
        <f>EXP(-LN(2)/25)*DG94+(1-EXP(-LN(2)/25))/(LN(2)/25)*Calculateur!DB95*Calculateur!DD95*VLOOKUP('Données projet'!$B$13,Paramètres!$A$1:$I$89,3,0)*0.475*44/12</f>
        <v>7.0131062459491949</v>
      </c>
      <c r="DH95" s="21">
        <f>EXP(-LN(2)/2)*DH94+(1-EXP(-LN(2)/2))/(LN(2)/2)*DB95*DE95*VLOOKUP('Données projet'!$B$13,Paramètres!$A$1:$I$89,3,0)*0.475*44/12</f>
        <v>1.1128666042550832</v>
      </c>
      <c r="DI95" s="22">
        <f t="shared" si="69"/>
        <v>8.9839285613738422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5.2606837606837598</v>
      </c>
      <c r="DO95" s="12">
        <f>IF('Données projet'!$A$166&gt;35,DO94+DN95-DW94,IF(A95&lt;'Données projet'!$A$166,$DL$205^A95,IF(A95='Données projet'!$A$166,'Données projet'!$B$166,DO94+DN95-DW94)))</f>
        <v>207.0085470085468</v>
      </c>
      <c r="DP95" s="17">
        <f>DO95*VLOOKUP('Données projet'!$B$14,Paramètres!$A$1:$I$89,3,0)*VLOOKUP('Données projet'!$B$14,Paramètres!$A$1:$I$89,5,0)</f>
        <v>196.98933333333315</v>
      </c>
      <c r="DQ95" s="13">
        <f t="shared" si="97"/>
        <v>49.081931365294992</v>
      </c>
      <c r="DR95" s="20">
        <f t="shared" si="70"/>
        <v>428.57411935011061</v>
      </c>
      <c r="DS95" s="59">
        <f t="shared" si="71"/>
        <v>703.58442139322233</v>
      </c>
      <c r="DT95" s="59">
        <f ca="1">AVERAGE(OFFSET($DS$3,0,0,'Données projet'!$E$14+1,1))-AVERAGE(OFFSET($H$3,0,0,'Données projet'!$E$14+1,1))</f>
        <v>403.89478276355294</v>
      </c>
      <c r="DU95" s="59">
        <f t="shared" si="98"/>
        <v>241.1593989733278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16.4722821377697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16.4722821377697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>
        <f>VLOOKUP(A96,'Données projet'!$A$35:$I$55,2,0)</f>
        <v>212.26923076923075</v>
      </c>
      <c r="L96" s="12">
        <f>VLOOKUP(A96,'Données projet'!$A$35:$I$55,9,0)</f>
        <v>5.2606837606837598</v>
      </c>
      <c r="M96" s="12">
        <f t="array" ref="M96">INDEX(L:L,MIN(IF(ISNUMBER(L96:L292),ROW(L96:L292),"")))</f>
        <v>5.2606837606837598</v>
      </c>
      <c r="N96" s="13">
        <f>IF('Données projet'!$A$36&gt;35,N95+M96-V95,IF(A96&lt;'Données projet'!$A$36,$K$205^A96,IF(A96='Données projet'!$A$36,'Données projet'!$B$36,N95+M96-V95)))</f>
        <v>212.26923076923055</v>
      </c>
      <c r="O96" s="13">
        <f>N96*VLOOKUP('Données projet'!$B$9,Paramètres!$A$1:$I$89,3,0)*VLOOKUP('Données projet'!$B$9,Paramètres!$A$1:$I$89,5,0)</f>
        <v>192.06119999999979</v>
      </c>
      <c r="P96" s="13">
        <f t="shared" si="87"/>
        <v>47.995368340490955</v>
      </c>
      <c r="Q96" s="20">
        <f t="shared" si="54"/>
        <v>418.09852319302132</v>
      </c>
      <c r="R96" s="59">
        <f t="shared" si="55"/>
        <v>693.42668886485728</v>
      </c>
      <c r="S96" s="59">
        <f ca="1">AVERAGE(OFFSET($R$3,0,0,'Données projet'!$E$9+1,1))-AVERAGE(OFFSET($H$3,0,0,'Données projet'!$E$9+1,1))</f>
        <v>388.1278150896951</v>
      </c>
      <c r="T96" s="59">
        <f t="shared" si="88"/>
        <v>232.26614607059227</v>
      </c>
      <c r="U96" s="15">
        <f>IF(ISNA(VLOOKUP(A96,'Données projet'!$A$35:$I$55,3,0)),0,VLOOKUP(A96,'Données projet'!$A$35:$I$55,3,0))</f>
        <v>7</v>
      </c>
      <c r="V96" s="15">
        <f>IF(ISNA(VLOOKUP(A96,'Données projet'!$A$35:$I$55,4,0)),0,VLOOKUP(A96,'Données projet'!$A$35:$I$55,4,0))</f>
        <v>30.083333333333332</v>
      </c>
      <c r="W96" s="16">
        <f>IF(ISNA(VLOOKUP(A96,'Données projet'!$A$35:$I$55,5,0)),0%,VLOOKUP(A96,'Données projet'!$A$35:$I$55,5,0)*VLOOKUP('Données projet'!$B$9,Paramètres!$A$1:$I$89,7,0))</f>
        <v>0.30099999999999999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24.412206677744578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24.412206677744578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212.26923076923075</v>
      </c>
      <c r="AG96" s="12">
        <f>VLOOKUP(A96,'Données projet'!$A$61:$I$81,9,0)</f>
        <v>5.2606837606837598</v>
      </c>
      <c r="AH96" s="12">
        <f t="array" ref="AH96">INDEX(AG:AG,MIN(IF(ISNUMBER(AG96:AG292),ROW(AG96:AG292),"")))</f>
        <v>5.2606837606837598</v>
      </c>
      <c r="AI96" s="13">
        <f>IF('Données projet'!$A$62&gt;35,AI95+AH96-AQ95,IF(A96&lt;'Données projet'!$A$62,$AF$205^A96,IF(A96='Données projet'!$A$62,'Données projet'!$B$62,AI95+AH96-AQ95)))</f>
        <v>212.26923076923055</v>
      </c>
      <c r="AJ96" s="13">
        <f>AI96*VLOOKUP('Données projet'!$B$10,Paramètres!$A$1:$I$89,3,0)*VLOOKUP('Données projet'!$B$10,Paramètres!$A$1:$I$89,5,0)</f>
        <v>215.24099999999979</v>
      </c>
      <c r="AK96" s="13">
        <f t="shared" si="89"/>
        <v>53.079227768194642</v>
      </c>
      <c r="AL96" s="20">
        <f t="shared" si="58"/>
        <v>467.32439669627183</v>
      </c>
      <c r="AM96" s="59">
        <f t="shared" si="59"/>
        <v>742.65256236810774</v>
      </c>
      <c r="AN96" s="59">
        <f ca="1">AVERAGE(OFFSET($AM$3,0,0,'Données projet'!$E$10+1,1))-AVERAGE(OFFSET($H$3,0,0,'Données projet'!$E$10+1,1))</f>
        <v>424.89201140676084</v>
      </c>
      <c r="AO96" s="59">
        <f t="shared" si="90"/>
        <v>253.0016648946303</v>
      </c>
      <c r="AP96" s="15">
        <f>IF(ISNA(VLOOKUP(A96,'Données projet'!$A$61:$I$81,3,0)),0,VLOOKUP(A96,'Données projet'!$A$61:$I$81,3,0))</f>
        <v>7</v>
      </c>
      <c r="AQ96" s="15">
        <f>IF(ISNA(VLOOKUP(A96,'Données projet'!$A$61:$I$81,4,0)),0,VLOOKUP(A96,'Données projet'!$A$61:$I$81,4,0))</f>
        <v>30.083333333333332</v>
      </c>
      <c r="AR96" s="16">
        <f>IF(ISNA(VLOOKUP(A96,'Données projet'!$A$61:$I$81,5,0)),0%,VLOOKUP(A96,'Données projet'!$A$61:$I$81,5,0)*VLOOKUP('Données projet'!$B$10,Paramètres!$A$1:$I$89,7,0))</f>
        <v>0.30099999999999999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27.358507483679265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27.358507483679265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155.99999999999991</v>
      </c>
      <c r="BE96" s="13">
        <f>BD96*VLOOKUP('Données projet'!$B$11,Paramètres!$A$1:$I$89,3,0)*VLOOKUP('Données projet'!$B$11,Paramètres!$A$1:$I$89,5,0)</f>
        <v>136.28159999999994</v>
      </c>
      <c r="BF96" s="13">
        <f t="shared" si="91"/>
        <v>35.443842312892279</v>
      </c>
      <c r="BG96" s="20">
        <f t="shared" si="61"/>
        <v>299.08847869495395</v>
      </c>
      <c r="BH96" s="59">
        <f t="shared" si="62"/>
        <v>574.41664436678991</v>
      </c>
      <c r="BI96" s="59">
        <f ca="1">AVERAGE(OFFSET($BH$3,0,0,'Données projet'!$E$11+1,1))-AVERAGE(OFFSET($H$3,0,0,'Données projet'!$E$11+1,1))</f>
        <v>218.97952644043698</v>
      </c>
      <c r="BJ96" s="59">
        <f t="shared" si="92"/>
        <v>204.10961748628714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1.3744969816425998</v>
      </c>
      <c r="BQ96" s="21">
        <f>EXP(-LN(2)/25)*BQ95+(1-EXP(-LN(2)/25))/(LN(2)/25)*Calculateur!BL96*Calculateur!BN96*VLOOKUP('Données projet'!$B$11,Paramètres!$A$1:$I$89,3,0)*0.475*44/12</f>
        <v>3.4928802323018697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4.8673772139444695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191.99999999999977</v>
      </c>
      <c r="BZ96" s="13">
        <f>BY96*VLOOKUP('Données projet'!$B$12,Paramètres!$A$1:$I$89,3,0)*VLOOKUP('Données projet'!$B$12,Paramètres!$A$1:$I$89,5,0)</f>
        <v>155.75039999999984</v>
      </c>
      <c r="CA96" s="13">
        <f t="shared" si="93"/>
        <v>39.882509755133718</v>
      </c>
      <c r="CB96" s="20">
        <f t="shared" si="64"/>
        <v>340.72731782352429</v>
      </c>
      <c r="CC96" s="59">
        <f t="shared" si="65"/>
        <v>616.05548349536025</v>
      </c>
      <c r="CD96" s="59">
        <f ca="1">AVERAGE(OFFSET($CC$3,0,0,'Données projet'!$E$12+1,1))-AVERAGE(OFFSET($H$3,0,0,'Données projet'!$E$12+1,1))</f>
        <v>256.23994291192162</v>
      </c>
      <c r="CE96" s="59">
        <f t="shared" si="94"/>
        <v>207.9118653708222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3.2136511783083654</v>
      </c>
      <c r="CL96" s="21">
        <f>EXP(-LN(2)/25)*CL95+(1-EXP(-LN(2)/25))/(LN(2)/25)*Calculateur!CG96*Calculateur!CI96*VLOOKUP('Données projet'!$B$12,Paramètres!$A$1:$I$89,3,0)*0.475*44/12</f>
        <v>9.0168871569781679</v>
      </c>
      <c r="CM96" s="21">
        <f>EXP(-LN(2)/2)*CM95+(1-EXP(-LN(2)/2))/(LN(2)/2)*CG96*CJ96*VLOOKUP('Données projet'!$B$12,Paramètres!$A$1:$I$89,3,0)*0.475*44/12</f>
        <v>0.6614820635532328</v>
      </c>
      <c r="CN96" s="22">
        <f t="shared" si="66"/>
        <v>12.892020398839767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170.99999999999991</v>
      </c>
      <c r="CU96" s="17">
        <f>CT96*VLOOKUP('Données projet'!$B$13,Paramètres!$A$1:$I$89,3,0)*VLOOKUP('Données projet'!$B$13,Paramètres!$A$1:$I$89,5,0)</f>
        <v>98.701199999999957</v>
      </c>
      <c r="CV96" s="13">
        <f t="shared" si="95"/>
        <v>26.652341328097943</v>
      </c>
      <c r="CW96" s="20">
        <f t="shared" si="67"/>
        <v>218.32408447977051</v>
      </c>
      <c r="CX96" s="59">
        <f t="shared" si="68"/>
        <v>493.65225015160649</v>
      </c>
      <c r="CY96" s="59">
        <f ca="1">AVERAGE(OFFSET($CX$3,0,0,'Données projet'!$E$13+1,1))-AVERAGE(OFFSET($H$3,0,0,'Données projet'!$E$13+1,1))</f>
        <v>205.74526926885287</v>
      </c>
      <c r="CZ96" s="59">
        <f t="shared" si="96"/>
        <v>201.56217137928999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0.84113172297484085</v>
      </c>
      <c r="DG96" s="21">
        <f>EXP(-LN(2)/25)*DG95+(1-EXP(-LN(2)/25))/(LN(2)/25)*Calculateur!DB96*Calculateur!DD96*VLOOKUP('Données projet'!$B$13,Paramètres!$A$1:$I$89,3,0)*0.475*44/12</f>
        <v>6.8213324868504852</v>
      </c>
      <c r="DH96" s="21">
        <f>EXP(-LN(2)/2)*DH95+(1-EXP(-LN(2)/2))/(LN(2)/2)*DB96*DE96*VLOOKUP('Données projet'!$B$13,Paramètres!$A$1:$I$89,3,0)*0.475*44/12</f>
        <v>0.78691552242481533</v>
      </c>
      <c r="DI96" s="22">
        <f t="shared" si="69"/>
        <v>8.4493797322501418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>
        <f>VLOOKUP(A96,'Données projet'!$A$165:$I$185,2,0)</f>
        <v>212.26923076923075</v>
      </c>
      <c r="DM96" s="12">
        <f>VLOOKUP(A96,'Données projet'!$A$165:$I$185,9,0)</f>
        <v>5.2606837606837598</v>
      </c>
      <c r="DN96" s="12">
        <f t="array" ref="DN96">INDEX(DM:DM,MIN(IF(ISNUMBER(DM96:DM292),ROW(DM96:DM292),"")))</f>
        <v>5.2606837606837598</v>
      </c>
      <c r="DO96" s="12">
        <f>IF('Données projet'!$A$166&gt;35,DO95+DN96-DW95,IF(A96&lt;'Données projet'!$A$166,$DL$205^A96,IF(A96='Données projet'!$A$166,'Données projet'!$B$166,DO95+DN96-DW95)))</f>
        <v>212.26923076923055</v>
      </c>
      <c r="DP96" s="17">
        <f>DO96*VLOOKUP('Données projet'!$B$14,Paramètres!$A$1:$I$89,3,0)*VLOOKUP('Données projet'!$B$14,Paramètres!$A$1:$I$89,5,0)</f>
        <v>201.99539999999979</v>
      </c>
      <c r="DQ96" s="13">
        <f t="shared" si="97"/>
        <v>50.182442554493718</v>
      </c>
      <c r="DR96" s="20">
        <f t="shared" si="70"/>
        <v>439.2097424490762</v>
      </c>
      <c r="DS96" s="59">
        <f t="shared" si="71"/>
        <v>714.53790812091211</v>
      </c>
      <c r="DT96" s="59">
        <f ca="1">AVERAGE(OFFSET($DS$3,0,0,'Données projet'!$E$14+1,1))-AVERAGE(OFFSET($H$3,0,0,'Données projet'!$E$14+1,1))</f>
        <v>403.89478276355294</v>
      </c>
      <c r="DU96" s="59">
        <f t="shared" si="98"/>
        <v>241.1593989733278</v>
      </c>
      <c r="DV96" s="15">
        <f>IF(ISNA(VLOOKUP(A96,'Données projet'!$A$165:$I$185,3,0)),0,VLOOKUP(A96,'Données projet'!$A$165:$I$185,3,0))</f>
        <v>7</v>
      </c>
      <c r="DW96" s="15">
        <f>IF(ISNA(VLOOKUP(A96,'Données projet'!$A$165:$I$185,4,0)),0,VLOOKUP(A96,'Données projet'!$A$165:$I$185,4,0))</f>
        <v>30.083333333333332</v>
      </c>
      <c r="DX96" s="16">
        <f>IF(ISNA(VLOOKUP(A96,'Données projet'!$A$165:$I$185,5,0)),0%,VLOOKUP(A96,'Données projet'!$A$165:$I$185,5,0)*VLOOKUP('Données projet'!$B$14,Paramètres!$A$1:$I$89,7,0))</f>
        <v>0.30099999999999999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25.67490702314516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25.67490702314516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5.2583333333333373</v>
      </c>
      <c r="N97" s="13">
        <f>IF('Données projet'!$A$36&gt;35,N96+M97-V96,IF(A97&lt;'Données projet'!$A$36,$K$205^A97,IF(A97='Données projet'!$A$36,'Données projet'!$B$36,N96+M97-V96)))</f>
        <v>187.44423076923053</v>
      </c>
      <c r="O97" s="13">
        <f>N97*VLOOKUP('Données projet'!$B$9,Paramètres!$A$1:$I$89,3,0)*VLOOKUP('Données projet'!$B$9,Paramètres!$A$1:$I$89,5,0)</f>
        <v>169.59953999999976</v>
      </c>
      <c r="P97" s="13">
        <f t="shared" si="87"/>
        <v>43.000321559740421</v>
      </c>
      <c r="Q97" s="20">
        <f t="shared" si="54"/>
        <v>370.27809221654746</v>
      </c>
      <c r="R97" s="59">
        <f t="shared" si="55"/>
        <v>645.91860729378595</v>
      </c>
      <c r="S97" s="59">
        <f ca="1">AVERAGE(OFFSET($R$3,0,0,'Données projet'!$E$9+1,1))-AVERAGE(OFFSET($H$3,0,0,'Données projet'!$E$9+1,1))</f>
        <v>388.1278150896951</v>
      </c>
      <c r="T97" s="59">
        <f t="shared" si="88"/>
        <v>232.26614607059227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23.933498194769818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23.933498194769818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5.2583333333333373</v>
      </c>
      <c r="AI97" s="13">
        <f>IF('Données projet'!$A$62&gt;35,AI96+AH97-AQ96,IF(A97&lt;'Données projet'!$A$62,$AF$205^A97,IF(A97='Données projet'!$A$62,'Données projet'!$B$62,AI96+AH97-AQ96)))</f>
        <v>187.44423076923053</v>
      </c>
      <c r="AJ97" s="13">
        <f>AI97*VLOOKUP('Données projet'!$B$10,Paramètres!$A$1:$I$89,3,0)*VLOOKUP('Données projet'!$B$10,Paramètres!$A$1:$I$89,5,0)</f>
        <v>190.06844999999976</v>
      </c>
      <c r="AK97" s="13">
        <f t="shared" si="89"/>
        <v>47.555085857097623</v>
      </c>
      <c r="AL97" s="20">
        <f t="shared" si="58"/>
        <v>413.86099161777793</v>
      </c>
      <c r="AM97" s="59">
        <f t="shared" si="59"/>
        <v>689.50150669501636</v>
      </c>
      <c r="AN97" s="59">
        <f ca="1">AVERAGE(OFFSET($AM$3,0,0,'Données projet'!$E$10+1,1))-AVERAGE(OFFSET($H$3,0,0,'Données projet'!$E$10+1,1))</f>
        <v>424.89201140676084</v>
      </c>
      <c r="AO97" s="59">
        <f t="shared" si="90"/>
        <v>253.0016648946303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26.822023838966171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26.822023838966171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155.99999999999991</v>
      </c>
      <c r="BE97" s="13">
        <f>BD97*VLOOKUP('Données projet'!$B$11,Paramètres!$A$1:$I$89,3,0)*VLOOKUP('Données projet'!$B$11,Paramètres!$A$1:$I$89,5,0)</f>
        <v>136.28159999999994</v>
      </c>
      <c r="BF97" s="13">
        <f t="shared" si="91"/>
        <v>35.443842312892279</v>
      </c>
      <c r="BG97" s="20">
        <f t="shared" si="61"/>
        <v>299.08847869495395</v>
      </c>
      <c r="BH97" s="59">
        <f t="shared" si="62"/>
        <v>574.72899377219244</v>
      </c>
      <c r="BI97" s="59">
        <f ca="1">AVERAGE(OFFSET($BH$3,0,0,'Données projet'!$E$11+1,1))-AVERAGE(OFFSET($H$3,0,0,'Données projet'!$E$11+1,1))</f>
        <v>218.97952644043698</v>
      </c>
      <c r="BJ97" s="59">
        <f t="shared" si="92"/>
        <v>204.10961748628714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1.347543934192966</v>
      </c>
      <c r="BQ97" s="21">
        <f>EXP(-LN(2)/25)*BQ96+(1-EXP(-LN(2)/25))/(LN(2)/25)*Calculateur!BL97*Calculateur!BN97*VLOOKUP('Données projet'!$B$11,Paramètres!$A$1:$I$89,3,0)*0.475*44/12</f>
        <v>3.3973672386669866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4.7449111728599522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191.99999999999977</v>
      </c>
      <c r="BZ97" s="13">
        <f>BY97*VLOOKUP('Données projet'!$B$12,Paramètres!$A$1:$I$89,3,0)*VLOOKUP('Données projet'!$B$12,Paramètres!$A$1:$I$89,5,0)</f>
        <v>155.75039999999984</v>
      </c>
      <c r="CA97" s="13">
        <f t="shared" si="93"/>
        <v>39.882509755133718</v>
      </c>
      <c r="CB97" s="20">
        <f t="shared" si="64"/>
        <v>340.72731782352429</v>
      </c>
      <c r="CC97" s="59">
        <f t="shared" si="65"/>
        <v>616.36783290076278</v>
      </c>
      <c r="CD97" s="59">
        <f ca="1">AVERAGE(OFFSET($CC$3,0,0,'Données projet'!$E$12+1,1))-AVERAGE(OFFSET($H$3,0,0,'Données projet'!$E$12+1,1))</f>
        <v>256.23994291192162</v>
      </c>
      <c r="CE97" s="59">
        <f t="shared" si="94"/>
        <v>207.9118653708222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3.1506334388354102</v>
      </c>
      <c r="CL97" s="21">
        <f>EXP(-LN(2)/25)*CL96+(1-EXP(-LN(2)/25))/(LN(2)/25)*Calculateur!CG97*Calculateur!CI97*VLOOKUP('Données projet'!$B$12,Paramètres!$A$1:$I$89,3,0)*0.475*44/12</f>
        <v>8.7703199034931121</v>
      </c>
      <c r="CM97" s="21">
        <f>EXP(-LN(2)/2)*CM96+(1-EXP(-LN(2)/2))/(LN(2)/2)*CG97*CJ97*VLOOKUP('Données projet'!$B$12,Paramètres!$A$1:$I$89,3,0)*0.475*44/12</f>
        <v>0.46773845277176174</v>
      </c>
      <c r="CN97" s="22">
        <f t="shared" si="66"/>
        <v>12.388691795100284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170.99999999999991</v>
      </c>
      <c r="CU97" s="17">
        <f>CT97*VLOOKUP('Données projet'!$B$13,Paramètres!$A$1:$I$89,3,0)*VLOOKUP('Données projet'!$B$13,Paramètres!$A$1:$I$89,5,0)</f>
        <v>98.701199999999957</v>
      </c>
      <c r="CV97" s="13">
        <f t="shared" si="95"/>
        <v>26.652341328097943</v>
      </c>
      <c r="CW97" s="20">
        <f t="shared" si="67"/>
        <v>218.32408447977051</v>
      </c>
      <c r="CX97" s="59">
        <f t="shared" si="68"/>
        <v>493.96459955700902</v>
      </c>
      <c r="CY97" s="59">
        <f ca="1">AVERAGE(OFFSET($CX$3,0,0,'Données projet'!$E$13+1,1))-AVERAGE(OFFSET($H$3,0,0,'Données projet'!$E$13+1,1))</f>
        <v>205.74526926885287</v>
      </c>
      <c r="CZ97" s="59">
        <f t="shared" si="96"/>
        <v>201.56217137928999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0.82463764292699682</v>
      </c>
      <c r="DG97" s="21">
        <f>EXP(-LN(2)/25)*DG96+(1-EXP(-LN(2)/25))/(LN(2)/25)*Calculateur!DB97*Calculateur!DD97*VLOOKUP('Données projet'!$B$13,Paramètres!$A$1:$I$89,3,0)*0.475*44/12</f>
        <v>6.6348027912792737</v>
      </c>
      <c r="DH97" s="21">
        <f>EXP(-LN(2)/2)*DH96+(1-EXP(-LN(2)/2))/(LN(2)/2)*DB97*DE97*VLOOKUP('Données projet'!$B$13,Paramètres!$A$1:$I$89,3,0)*0.475*44/12</f>
        <v>0.55643330212754161</v>
      </c>
      <c r="DI97" s="22">
        <f t="shared" si="69"/>
        <v>8.0158737363338126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5.2583333333333373</v>
      </c>
      <c r="DO97" s="12">
        <f>IF('Données projet'!$A$166&gt;35,DO96+DN97-DW96,IF(A97&lt;'Données projet'!$A$166,$DL$205^A97,IF(A97='Données projet'!$A$166,'Données projet'!$B$166,DO96+DN97-DW96)))</f>
        <v>187.44423076923053</v>
      </c>
      <c r="DP97" s="17">
        <f>DO97*VLOOKUP('Données projet'!$B$14,Paramètres!$A$1:$I$89,3,0)*VLOOKUP('Données projet'!$B$14,Paramètres!$A$1:$I$89,5,0)</f>
        <v>178.37192999999979</v>
      </c>
      <c r="DQ97" s="13">
        <f t="shared" si="97"/>
        <v>44.959779268450049</v>
      </c>
      <c r="DR97" s="20">
        <f t="shared" si="70"/>
        <v>388.96939364255013</v>
      </c>
      <c r="DS97" s="59">
        <f t="shared" si="71"/>
        <v>664.60990871978856</v>
      </c>
      <c r="DT97" s="59">
        <f ca="1">AVERAGE(OFFSET($DS$3,0,0,'Données projet'!$E$14+1,1))-AVERAGE(OFFSET($H$3,0,0,'Données projet'!$E$14+1,1))</f>
        <v>403.89478276355294</v>
      </c>
      <c r="DU97" s="59">
        <f t="shared" si="98"/>
        <v>241.1593989733278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25.171437756568256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25.171437756568256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5.2583333333333373</v>
      </c>
      <c r="N98" s="13">
        <f>IF('Données projet'!$A$36&gt;35,N97+M98-V97,IF(A98&lt;'Données projet'!$A$36,$K$205^A98,IF(A98='Données projet'!$A$36,'Données projet'!$B$36,N97+M98-V97)))</f>
        <v>192.70256410256385</v>
      </c>
      <c r="O98" s="13">
        <f>N98*VLOOKUP('Données projet'!$B$9,Paramètres!$A$1:$I$89,3,0)*VLOOKUP('Données projet'!$B$9,Paramètres!$A$1:$I$89,5,0)</f>
        <v>174.35727999999978</v>
      </c>
      <c r="P98" s="13">
        <f t="shared" si="87"/>
        <v>44.064467301710017</v>
      </c>
      <c r="Q98" s="20">
        <f t="shared" si="54"/>
        <v>380.41787655047784</v>
      </c>
      <c r="R98" s="59">
        <f t="shared" si="55"/>
        <v>656.36532246924378</v>
      </c>
      <c r="S98" s="59">
        <f ca="1">AVERAGE(OFFSET($R$3,0,0,'Données projet'!$E$9+1,1))-AVERAGE(OFFSET($H$3,0,0,'Données projet'!$E$9+1,1))</f>
        <v>388.1278150896951</v>
      </c>
      <c r="T98" s="59">
        <f t="shared" si="88"/>
        <v>232.26614607059227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23.46417689316285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23.46417689316285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5.2583333333333373</v>
      </c>
      <c r="AI98" s="13">
        <f>IF('Données projet'!$A$62&gt;35,AI97+AH98-AQ97,IF(A98&lt;'Données projet'!$A$62,$AF$205^A98,IF(A98='Données projet'!$A$62,'Données projet'!$B$62,AI97+AH98-AQ97)))</f>
        <v>192.70256410256385</v>
      </c>
      <c r="AJ98" s="13">
        <f>AI98*VLOOKUP('Données projet'!$B$10,Paramètres!$A$1:$I$89,3,0)*VLOOKUP('Données projet'!$B$10,Paramètres!$A$1:$I$89,5,0)</f>
        <v>195.40039999999976</v>
      </c>
      <c r="AK98" s="13">
        <f t="shared" si="89"/>
        <v>48.73195012899663</v>
      </c>
      <c r="AL98" s="20">
        <f t="shared" si="58"/>
        <v>425.19717647466877</v>
      </c>
      <c r="AM98" s="59">
        <f t="shared" si="59"/>
        <v>701.1446223934347</v>
      </c>
      <c r="AN98" s="59">
        <f ca="1">AVERAGE(OFFSET($AM$3,0,0,'Données projet'!$E$10+1,1))-AVERAGE(OFFSET($H$3,0,0,'Données projet'!$E$10+1,1))</f>
        <v>424.89201140676084</v>
      </c>
      <c r="AO98" s="59">
        <f t="shared" si="90"/>
        <v>253.0016648946303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26.296060311303187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26.296060311303187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155.99999999999991</v>
      </c>
      <c r="BE98" s="13">
        <f>BD98*VLOOKUP('Données projet'!$B$11,Paramètres!$A$1:$I$89,3,0)*VLOOKUP('Données projet'!$B$11,Paramètres!$A$1:$I$89,5,0)</f>
        <v>136.28159999999994</v>
      </c>
      <c r="BF98" s="13">
        <f t="shared" si="91"/>
        <v>35.443842312892279</v>
      </c>
      <c r="BG98" s="20">
        <f t="shared" si="61"/>
        <v>299.08847869495395</v>
      </c>
      <c r="BH98" s="59">
        <f t="shared" si="62"/>
        <v>575.03592461371989</v>
      </c>
      <c r="BI98" s="59">
        <f ca="1">AVERAGE(OFFSET($BH$3,0,0,'Données projet'!$E$11+1,1))-AVERAGE(OFFSET($H$3,0,0,'Données projet'!$E$11+1,1))</f>
        <v>218.97952644043698</v>
      </c>
      <c r="BJ98" s="59">
        <f t="shared" si="92"/>
        <v>204.10961748628714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1.3211194195640839</v>
      </c>
      <c r="BQ98" s="21">
        <f>EXP(-LN(2)/25)*BQ97+(1-EXP(-LN(2)/25))/(LN(2)/25)*Calculateur!BL98*Calculateur!BN98*VLOOKUP('Données projet'!$B$11,Paramètres!$A$1:$I$89,3,0)*0.475*44/12</f>
        <v>3.3044660528658598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4.6255854724299432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191.99999999999977</v>
      </c>
      <c r="BZ98" s="13">
        <f>BY98*VLOOKUP('Données projet'!$B$12,Paramètres!$A$1:$I$89,3,0)*VLOOKUP('Données projet'!$B$12,Paramètres!$A$1:$I$89,5,0)</f>
        <v>155.75039999999984</v>
      </c>
      <c r="CA98" s="13">
        <f t="shared" si="93"/>
        <v>39.882509755133718</v>
      </c>
      <c r="CB98" s="20">
        <f t="shared" si="64"/>
        <v>340.72731782352429</v>
      </c>
      <c r="CC98" s="59">
        <f t="shared" si="65"/>
        <v>616.67476374229022</v>
      </c>
      <c r="CD98" s="59">
        <f ca="1">AVERAGE(OFFSET($CC$3,0,0,'Données projet'!$E$12+1,1))-AVERAGE(OFFSET($H$3,0,0,'Données projet'!$E$12+1,1))</f>
        <v>256.23994291192162</v>
      </c>
      <c r="CE98" s="59">
        <f t="shared" si="94"/>
        <v>207.9118653708222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3.0888514387964938</v>
      </c>
      <c r="CL98" s="21">
        <f>EXP(-LN(2)/25)*CL97+(1-EXP(-LN(2)/25))/(LN(2)/25)*Calculateur!CG98*Calculateur!CI98*VLOOKUP('Données projet'!$B$12,Paramètres!$A$1:$I$89,3,0)*0.475*44/12</f>
        <v>8.5304950445210146</v>
      </c>
      <c r="CM98" s="21">
        <f>EXP(-LN(2)/2)*CM97+(1-EXP(-LN(2)/2))/(LN(2)/2)*CG98*CJ98*VLOOKUP('Données projet'!$B$12,Paramètres!$A$1:$I$89,3,0)*0.475*44/12</f>
        <v>0.33074103177661646</v>
      </c>
      <c r="CN98" s="22">
        <f t="shared" si="66"/>
        <v>11.950087515094125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170.99999999999991</v>
      </c>
      <c r="CU98" s="17">
        <f>CT98*VLOOKUP('Données projet'!$B$13,Paramètres!$A$1:$I$89,3,0)*VLOOKUP('Données projet'!$B$13,Paramètres!$A$1:$I$89,5,0)</f>
        <v>98.701199999999957</v>
      </c>
      <c r="CV98" s="13">
        <f t="shared" si="95"/>
        <v>26.652341328097943</v>
      </c>
      <c r="CW98" s="20">
        <f t="shared" si="67"/>
        <v>218.32408447977051</v>
      </c>
      <c r="CX98" s="59">
        <f t="shared" si="68"/>
        <v>494.27153039853647</v>
      </c>
      <c r="CY98" s="59">
        <f ca="1">AVERAGE(OFFSET($CX$3,0,0,'Données projet'!$E$13+1,1))-AVERAGE(OFFSET($H$3,0,0,'Données projet'!$E$13+1,1))</f>
        <v>205.74526926885287</v>
      </c>
      <c r="CZ98" s="59">
        <f t="shared" si="96"/>
        <v>201.56217137928999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0.8084670017284955</v>
      </c>
      <c r="DG98" s="21">
        <f>EXP(-LN(2)/25)*DG97+(1-EXP(-LN(2)/25))/(LN(2)/25)*Calculateur!DB98*Calculateur!DD98*VLOOKUP('Données projet'!$B$13,Paramètres!$A$1:$I$89,3,0)*0.475*44/12</f>
        <v>6.4533737600426271</v>
      </c>
      <c r="DH98" s="21">
        <f>EXP(-LN(2)/2)*DH97+(1-EXP(-LN(2)/2))/(LN(2)/2)*DB98*DE98*VLOOKUP('Données projet'!$B$13,Paramètres!$A$1:$I$89,3,0)*0.475*44/12</f>
        <v>0.39345776121240766</v>
      </c>
      <c r="DI98" s="22">
        <f t="shared" si="69"/>
        <v>7.6552985229835304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5.2583333333333373</v>
      </c>
      <c r="DO98" s="12">
        <f>IF('Données projet'!$A$166&gt;35,DO97+DN98-DW97,IF(A98&lt;'Données projet'!$A$166,$DL$205^A98,IF(A98='Données projet'!$A$166,'Données projet'!$B$166,DO97+DN98-DW97)))</f>
        <v>192.70256410256385</v>
      </c>
      <c r="DP98" s="17">
        <f>DO98*VLOOKUP('Données projet'!$B$14,Paramètres!$A$1:$I$89,3,0)*VLOOKUP('Données projet'!$B$14,Paramètres!$A$1:$I$89,5,0)</f>
        <v>183.37575999999976</v>
      </c>
      <c r="DQ98" s="13">
        <f t="shared" si="97"/>
        <v>46.072416475172908</v>
      </c>
      <c r="DR98" s="20">
        <f t="shared" si="70"/>
        <v>399.62224069425901</v>
      </c>
      <c r="DS98" s="59">
        <f t="shared" si="71"/>
        <v>675.56968661302494</v>
      </c>
      <c r="DT98" s="59">
        <f ca="1">AVERAGE(OFFSET($DS$3,0,0,'Données projet'!$E$14+1,1))-AVERAGE(OFFSET($H$3,0,0,'Données projet'!$E$14+1,1))</f>
        <v>403.89478276355294</v>
      </c>
      <c r="DU98" s="59">
        <f t="shared" si="98"/>
        <v>241.1593989733278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24.677841215222994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24.677841215222994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5.2583333333333373</v>
      </c>
      <c r="N99" s="13">
        <f>IF('Données projet'!$A$36&gt;35,N98+M99-V98,IF(A99&lt;'Données projet'!$A$36,$K$205^A99,IF(A99='Données projet'!$A$36,'Données projet'!$B$36,N98+M99-V98)))</f>
        <v>197.96089743589718</v>
      </c>
      <c r="O99" s="13">
        <f>N99*VLOOKUP('Données projet'!$B$9,Paramètres!$A$1:$I$89,3,0)*VLOOKUP('Données projet'!$B$9,Paramètres!$A$1:$I$89,5,0)</f>
        <v>179.11501999999976</v>
      </c>
      <c r="P99" s="13">
        <f t="shared" si="87"/>
        <v>45.125237978705186</v>
      </c>
      <c r="Q99" s="20">
        <f t="shared" ref="Q99:Q130" si="107">(O99+P99)*0.475*44/12</f>
        <v>390.55178264624448</v>
      </c>
      <c r="R99" s="59">
        <f t="shared" si="55"/>
        <v>666.80083484263196</v>
      </c>
      <c r="S99" s="59">
        <f ca="1">AVERAGE(OFFSET($R$3,0,0,'Données projet'!$E$9+1,1))-AVERAGE(OFFSET($H$3,0,0,'Données projet'!$E$9+1,1))</f>
        <v>388.1278150896951</v>
      </c>
      <c r="T99" s="59">
        <f t="shared" si="88"/>
        <v>232.26614607059227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23.004058696022664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23.004058696022664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5.2583333333333373</v>
      </c>
      <c r="AI99" s="13">
        <f>IF('Données projet'!$A$62&gt;35,AI98+AH99-AQ98,IF(A99&lt;'Données projet'!$A$62,$AF$205^A99,IF(A99='Données projet'!$A$62,'Données projet'!$B$62,AI98+AH99-AQ98)))</f>
        <v>197.96089743589718</v>
      </c>
      <c r="AJ99" s="13">
        <f>AI99*VLOOKUP('Données projet'!$B$10,Paramètres!$A$1:$I$89,3,0)*VLOOKUP('Données projet'!$B$10,Paramètres!$A$1:$I$89,5,0)</f>
        <v>200.73234999999977</v>
      </c>
      <c r="AK99" s="13">
        <f t="shared" si="89"/>
        <v>49.905081835677372</v>
      </c>
      <c r="AL99" s="20">
        <f t="shared" si="58"/>
        <v>436.52686044713772</v>
      </c>
      <c r="AM99" s="59">
        <f t="shared" si="59"/>
        <v>712.77591264352509</v>
      </c>
      <c r="AN99" s="59">
        <f ca="1">AVERAGE(OFFSET($AM$3,0,0,'Données projet'!$E$10+1,1))-AVERAGE(OFFSET($H$3,0,0,'Données projet'!$E$10+1,1))</f>
        <v>424.89201140676084</v>
      </c>
      <c r="AO99" s="59">
        <f t="shared" si="90"/>
        <v>253.0016648946303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25.7804106076116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25.7804106076116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155.99999999999991</v>
      </c>
      <c r="BE99" s="13">
        <f>BD99*VLOOKUP('Données projet'!$B$11,Paramètres!$A$1:$I$89,3,0)*VLOOKUP('Données projet'!$B$11,Paramètres!$A$1:$I$89,5,0)</f>
        <v>136.28159999999994</v>
      </c>
      <c r="BF99" s="13">
        <f t="shared" si="91"/>
        <v>35.443842312892279</v>
      </c>
      <c r="BG99" s="20">
        <f t="shared" si="61"/>
        <v>299.08847869495395</v>
      </c>
      <c r="BH99" s="59">
        <f t="shared" si="62"/>
        <v>575.33753089134143</v>
      </c>
      <c r="BI99" s="59">
        <f ca="1">AVERAGE(OFFSET($BH$3,0,0,'Données projet'!$E$11+1,1))-AVERAGE(OFFSET($H$3,0,0,'Données projet'!$E$11+1,1))</f>
        <v>218.97952644043698</v>
      </c>
      <c r="BJ99" s="59">
        <f t="shared" si="92"/>
        <v>204.10961748628714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1.2952130735497116</v>
      </c>
      <c r="BQ99" s="21">
        <f>EXP(-LN(2)/25)*BQ98+(1-EXP(-LN(2)/25))/(LN(2)/25)*Calculateur!BL99*Calculateur!BN99*VLOOKUP('Données projet'!$B$11,Paramètres!$A$1:$I$89,3,0)*0.475*44/12</f>
        <v>3.2141052548759257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4.5093183284256373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191.99999999999977</v>
      </c>
      <c r="BZ99" s="13">
        <f>BY99*VLOOKUP('Données projet'!$B$12,Paramètres!$A$1:$I$89,3,0)*VLOOKUP('Données projet'!$B$12,Paramètres!$A$1:$I$89,5,0)</f>
        <v>155.75039999999984</v>
      </c>
      <c r="CA99" s="13">
        <f t="shared" si="93"/>
        <v>39.882509755133718</v>
      </c>
      <c r="CB99" s="20">
        <f t="shared" si="64"/>
        <v>340.72731782352429</v>
      </c>
      <c r="CC99" s="59">
        <f t="shared" si="65"/>
        <v>616.97637001991166</v>
      </c>
      <c r="CD99" s="59">
        <f ca="1">AVERAGE(OFFSET($CC$3,0,0,'Données projet'!$E$12+1,1))-AVERAGE(OFFSET($H$3,0,0,'Données projet'!$E$12+1,1))</f>
        <v>256.23994291192162</v>
      </c>
      <c r="CE99" s="59">
        <f t="shared" si="94"/>
        <v>207.9118653708222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3.0282809460950415</v>
      </c>
      <c r="CL99" s="21">
        <f>EXP(-LN(2)/25)*CL98+(1-EXP(-LN(2)/25))/(LN(2)/25)*Calculateur!CG99*Calculateur!CI99*VLOOKUP('Données projet'!$B$12,Paramètres!$A$1:$I$89,3,0)*0.475*44/12</f>
        <v>8.297228208929349</v>
      </c>
      <c r="CM99" s="21">
        <f>EXP(-LN(2)/2)*CM98+(1-EXP(-LN(2)/2))/(LN(2)/2)*CG99*CJ99*VLOOKUP('Données projet'!$B$12,Paramètres!$A$1:$I$89,3,0)*0.475*44/12</f>
        <v>0.23386922638588092</v>
      </c>
      <c r="CN99" s="22">
        <f t="shared" si="66"/>
        <v>11.559378381410271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170.99999999999991</v>
      </c>
      <c r="CU99" s="17">
        <f>CT99*VLOOKUP('Données projet'!$B$13,Paramètres!$A$1:$I$89,3,0)*VLOOKUP('Données projet'!$B$13,Paramètres!$A$1:$I$89,5,0)</f>
        <v>98.701199999999957</v>
      </c>
      <c r="CV99" s="13">
        <f t="shared" si="95"/>
        <v>26.652341328097943</v>
      </c>
      <c r="CW99" s="20">
        <f t="shared" si="67"/>
        <v>218.32408447977051</v>
      </c>
      <c r="CX99" s="59">
        <f t="shared" si="68"/>
        <v>494.5731366761579</v>
      </c>
      <c r="CY99" s="59">
        <f ca="1">AVERAGE(OFFSET($CX$3,0,0,'Données projet'!$E$13+1,1))-AVERAGE(OFFSET($H$3,0,0,'Données projet'!$E$13+1,1))</f>
        <v>205.74526926885287</v>
      </c>
      <c r="CZ99" s="59">
        <f t="shared" si="96"/>
        <v>201.56217137928999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0.79261345694077956</v>
      </c>
      <c r="DG99" s="21">
        <f>EXP(-LN(2)/25)*DG98+(1-EXP(-LN(2)/25))/(LN(2)/25)*Calculateur!DB99*Calculateur!DD99*VLOOKUP('Données projet'!$B$13,Paramètres!$A$1:$I$89,3,0)*0.475*44/12</f>
        <v>6.2769059152060844</v>
      </c>
      <c r="DH99" s="21">
        <f>EXP(-LN(2)/2)*DH98+(1-EXP(-LN(2)/2))/(LN(2)/2)*DB99*DE99*VLOOKUP('Données projet'!$B$13,Paramètres!$A$1:$I$89,3,0)*0.475*44/12</f>
        <v>0.2782166510637708</v>
      </c>
      <c r="DI99" s="22">
        <f t="shared" si="69"/>
        <v>7.3477360232106346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5.2583333333333373</v>
      </c>
      <c r="DO99" s="12">
        <f>IF('Données projet'!$A$166&gt;35,DO98+DN99-DW98,IF(A99&lt;'Données projet'!$A$166,$DL$205^A99,IF(A99='Données projet'!$A$166,'Données projet'!$B$166,DO98+DN99-DW98)))</f>
        <v>197.96089743589718</v>
      </c>
      <c r="DP99" s="17">
        <f>DO99*VLOOKUP('Données projet'!$B$14,Paramètres!$A$1:$I$89,3,0)*VLOOKUP('Données projet'!$B$14,Paramètres!$A$1:$I$89,5,0)</f>
        <v>188.37958999999975</v>
      </c>
      <c r="DQ99" s="13">
        <f t="shared" si="97"/>
        <v>47.181524820464901</v>
      </c>
      <c r="DR99" s="20">
        <f t="shared" si="70"/>
        <v>410.26894164564254</v>
      </c>
      <c r="DS99" s="59">
        <f t="shared" si="71"/>
        <v>686.51799384202991</v>
      </c>
      <c r="DT99" s="59">
        <f ca="1">AVERAGE(OFFSET($DS$3,0,0,'Données projet'!$E$14+1,1))-AVERAGE(OFFSET($H$3,0,0,'Données projet'!$E$14+1,1))</f>
        <v>403.89478276355294</v>
      </c>
      <c r="DU99" s="59">
        <f t="shared" si="98"/>
        <v>241.1593989733278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24.193923800989353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24.193923800989353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5.2583333333333373</v>
      </c>
      <c r="N100" s="13">
        <f>IF('Données projet'!$A$36&gt;35,N99+M100-V99,IF(A100&lt;'Données projet'!$A$36,$K$205^A100,IF(A100='Données projet'!$A$36,'Données projet'!$B$36,N99+M100-V99)))</f>
        <v>203.21923076923051</v>
      </c>
      <c r="O100" s="13">
        <f>N100*VLOOKUP('Données projet'!$B$9,Paramètres!$A$1:$I$89,3,0)*VLOOKUP('Données projet'!$B$9,Paramètres!$A$1:$I$89,5,0)</f>
        <v>183.87275999999974</v>
      </c>
      <c r="P100" s="13">
        <f t="shared" si="87"/>
        <v>46.182733545341328</v>
      </c>
      <c r="Q100" s="20">
        <f t="shared" si="107"/>
        <v>400.67998459146901</v>
      </c>
      <c r="R100" s="59">
        <f t="shared" si="55"/>
        <v>677.22541087085187</v>
      </c>
      <c r="S100" s="59">
        <f ca="1">AVERAGE(OFFSET($R$3,0,0,'Données projet'!$E$9+1,1))-AVERAGE(OFFSET($H$3,0,0,'Données projet'!$E$9+1,1))</f>
        <v>388.1278150896951</v>
      </c>
      <c r="T100" s="59">
        <f t="shared" si="88"/>
        <v>232.26614607059227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22.55296313608401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22.55296313608401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5.2583333333333373</v>
      </c>
      <c r="AI100" s="13">
        <f>IF('Données projet'!$A$62&gt;35,AI99+AH100-AQ99,IF(A100&lt;'Données projet'!$A$62,$AF$205^A100,IF(A100='Données projet'!$A$62,'Données projet'!$B$62,AI99+AH100-AQ99)))</f>
        <v>203.21923076923051</v>
      </c>
      <c r="AJ100" s="13">
        <f>AI100*VLOOKUP('Données projet'!$B$10,Paramètres!$A$1:$I$89,3,0)*VLOOKUP('Données projet'!$B$10,Paramètres!$A$1:$I$89,5,0)</f>
        <v>206.06429999999975</v>
      </c>
      <c r="AK100" s="13">
        <f t="shared" si="89"/>
        <v>51.074591519343635</v>
      </c>
      <c r="AL100" s="20">
        <f t="shared" si="58"/>
        <v>447.85023606285631</v>
      </c>
      <c r="AM100" s="59">
        <f t="shared" si="59"/>
        <v>724.39566234223912</v>
      </c>
      <c r="AN100" s="59">
        <f ca="1">AVERAGE(OFFSET($AM$3,0,0,'Données projet'!$E$10+1,1))-AVERAGE(OFFSET($H$3,0,0,'Données projet'!$E$10+1,1))</f>
        <v>424.89201140676084</v>
      </c>
      <c r="AO100" s="59">
        <f t="shared" si="90"/>
        <v>253.0016648946303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25.274872480094142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25.274872480094142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155.99999999999991</v>
      </c>
      <c r="BE100" s="13">
        <f>BD100*VLOOKUP('Données projet'!$B$11,Paramètres!$A$1:$I$89,3,0)*VLOOKUP('Données projet'!$B$11,Paramètres!$A$1:$I$89,5,0)</f>
        <v>136.28159999999994</v>
      </c>
      <c r="BF100" s="13">
        <f t="shared" si="91"/>
        <v>35.443842312892279</v>
      </c>
      <c r="BG100" s="20">
        <f t="shared" si="61"/>
        <v>299.08847869495395</v>
      </c>
      <c r="BH100" s="59">
        <f t="shared" si="62"/>
        <v>575.6339049743367</v>
      </c>
      <c r="BI100" s="59">
        <f ca="1">AVERAGE(OFFSET($BH$3,0,0,'Données projet'!$E$11+1,1))-AVERAGE(OFFSET($H$3,0,0,'Données projet'!$E$11+1,1))</f>
        <v>218.97952644043698</v>
      </c>
      <c r="BJ100" s="59">
        <f t="shared" si="92"/>
        <v>204.10961748628714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1.2698147351793705</v>
      </c>
      <c r="BQ100" s="21">
        <f>EXP(-LN(2)/25)*BQ99+(1-EXP(-LN(2)/25))/(LN(2)/25)*Calculateur!BL100*Calculateur!BN100*VLOOKUP('Données projet'!$B$11,Paramètres!$A$1:$I$89,3,0)*0.475*44/12</f>
        <v>3.1262153776588941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4.3960301128382646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191.99999999999977</v>
      </c>
      <c r="BZ100" s="13">
        <f>BY100*VLOOKUP('Données projet'!$B$12,Paramètres!$A$1:$I$89,3,0)*VLOOKUP('Données projet'!$B$12,Paramètres!$A$1:$I$89,5,0)</f>
        <v>155.75039999999984</v>
      </c>
      <c r="CA100" s="13">
        <f t="shared" si="93"/>
        <v>39.882509755133718</v>
      </c>
      <c r="CB100" s="20">
        <f t="shared" si="64"/>
        <v>340.72731782352429</v>
      </c>
      <c r="CC100" s="59">
        <f t="shared" si="65"/>
        <v>617.27274410290715</v>
      </c>
      <c r="CD100" s="59">
        <f ca="1">AVERAGE(OFFSET($CC$3,0,0,'Données projet'!$E$12+1,1))-AVERAGE(OFFSET($H$3,0,0,'Données projet'!$E$12+1,1))</f>
        <v>256.23994291192162</v>
      </c>
      <c r="CE100" s="59">
        <f t="shared" si="94"/>
        <v>207.9118653708222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2.9688982038111118</v>
      </c>
      <c r="CL100" s="21">
        <f>EXP(-LN(2)/25)*CL99+(1-EXP(-LN(2)/25))/(LN(2)/25)*Calculateur!CG100*Calculateur!CI100*VLOOKUP('Données projet'!$B$12,Paramètres!$A$1:$I$89,3,0)*0.475*44/12</f>
        <v>8.0703400672239081</v>
      </c>
      <c r="CM100" s="21">
        <f>EXP(-LN(2)/2)*CM99+(1-EXP(-LN(2)/2))/(LN(2)/2)*CG100*CJ100*VLOOKUP('Données projet'!$B$12,Paramètres!$A$1:$I$89,3,0)*0.475*44/12</f>
        <v>0.16537051588830826</v>
      </c>
      <c r="CN100" s="22">
        <f t="shared" si="66"/>
        <v>11.204608786923327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170.99999999999991</v>
      </c>
      <c r="CU100" s="17">
        <f>CT100*VLOOKUP('Données projet'!$B$13,Paramètres!$A$1:$I$89,3,0)*VLOOKUP('Données projet'!$B$13,Paramètres!$A$1:$I$89,5,0)</f>
        <v>98.701199999999957</v>
      </c>
      <c r="CV100" s="13">
        <f t="shared" si="95"/>
        <v>26.652341328097943</v>
      </c>
      <c r="CW100" s="20">
        <f t="shared" si="67"/>
        <v>218.32408447977051</v>
      </c>
      <c r="CX100" s="59">
        <f t="shared" si="68"/>
        <v>494.86951075915329</v>
      </c>
      <c r="CY100" s="59">
        <f ca="1">AVERAGE(OFFSET($CX$3,0,0,'Données projet'!$E$13+1,1))-AVERAGE(OFFSET($H$3,0,0,'Données projet'!$E$13+1,1))</f>
        <v>205.74526926885287</v>
      </c>
      <c r="CZ100" s="59">
        <f t="shared" si="96"/>
        <v>201.56217137928999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0.77707079049664318</v>
      </c>
      <c r="DG100" s="21">
        <f>EXP(-LN(2)/25)*DG99+(1-EXP(-LN(2)/25))/(LN(2)/25)*Calculateur!DB100*Calculateur!DD100*VLOOKUP('Données projet'!$B$13,Paramètres!$A$1:$I$89,3,0)*0.475*44/12</f>
        <v>6.1052635928666383</v>
      </c>
      <c r="DH100" s="21">
        <f>EXP(-LN(2)/2)*DH99+(1-EXP(-LN(2)/2))/(LN(2)/2)*DB100*DE100*VLOOKUP('Données projet'!$B$13,Paramètres!$A$1:$I$89,3,0)*0.475*44/12</f>
        <v>0.19672888060620383</v>
      </c>
      <c r="DI100" s="22">
        <f t="shared" si="69"/>
        <v>7.0790632639694859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5.2583333333333373</v>
      </c>
      <c r="DO100" s="12">
        <f>IF('Données projet'!$A$166&gt;35,DO99+DN100-DW99,IF(A100&lt;'Données projet'!$A$166,$DL$205^A100,IF(A100='Données projet'!$A$166,'Données projet'!$B$166,DO99+DN100-DW99)))</f>
        <v>203.21923076923051</v>
      </c>
      <c r="DP100" s="17">
        <f>DO100*VLOOKUP('Données projet'!$B$14,Paramètres!$A$1:$I$89,3,0)*VLOOKUP('Données projet'!$B$14,Paramètres!$A$1:$I$89,5,0)</f>
        <v>193.38341999999975</v>
      </c>
      <c r="DQ100" s="13">
        <f t="shared" si="97"/>
        <v>48.287208813717676</v>
      </c>
      <c r="DR100" s="20">
        <f t="shared" si="70"/>
        <v>420.90967851722456</v>
      </c>
      <c r="DS100" s="59">
        <f t="shared" si="71"/>
        <v>697.45510479660743</v>
      </c>
      <c r="DT100" s="59">
        <f ca="1">AVERAGE(OFFSET($DS$3,0,0,'Données projet'!$E$14+1,1))-AVERAGE(OFFSET($H$3,0,0,'Données projet'!$E$14+1,1))</f>
        <v>403.89478276355294</v>
      </c>
      <c r="DU100" s="59">
        <f t="shared" si="98"/>
        <v>241.1593989733278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23.719495712088353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23.719495712088353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5.2583333333333373</v>
      </c>
      <c r="N101" s="13">
        <f>IF('Données projet'!$A$36&gt;35,N100+M101-V100,IF(A101&lt;'Données projet'!$A$36,$K$205^A101,IF(A101='Données projet'!$A$36,'Données projet'!$B$36,N100+M101-V100)))</f>
        <v>208.47756410256383</v>
      </c>
      <c r="O101" s="13">
        <f>N101*VLOOKUP('Données projet'!$B$9,Paramètres!$A$1:$I$89,3,0)*VLOOKUP('Données projet'!$B$9,Paramètres!$A$1:$I$89,5,0)</f>
        <v>188.63049999999973</v>
      </c>
      <c r="P101" s="13">
        <f t="shared" si="87"/>
        <v>47.237048488890842</v>
      </c>
      <c r="Q101" s="20">
        <f t="shared" si="107"/>
        <v>410.80264695148441</v>
      </c>
      <c r="R101" s="59">
        <f t="shared" si="55"/>
        <v>687.63930588611584</v>
      </c>
      <c r="S101" s="59">
        <f ca="1">AVERAGE(OFFSET($R$3,0,0,'Données projet'!$E$9+1,1))-AVERAGE(OFFSET($H$3,0,0,'Données projet'!$E$9+1,1))</f>
        <v>388.1278150896951</v>
      </c>
      <c r="T101" s="59">
        <f t="shared" si="88"/>
        <v>232.26614607059227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22.110713284934629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22.110713284934629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5.2583333333333373</v>
      </c>
      <c r="AI101" s="13">
        <f>IF('Données projet'!$A$62&gt;35,AI100+AH101-AQ100,IF(A101&lt;'Données projet'!$A$62,$AF$205^A101,IF(A101='Données projet'!$A$62,'Données projet'!$B$62,AI100+AH101-AQ100)))</f>
        <v>208.47756410256383</v>
      </c>
      <c r="AJ101" s="13">
        <f>AI101*VLOOKUP('Données projet'!$B$10,Paramètres!$A$1:$I$89,3,0)*VLOOKUP('Données projet'!$B$10,Paramètres!$A$1:$I$89,5,0)</f>
        <v>211.39624999999972</v>
      </c>
      <c r="AK101" s="13">
        <f t="shared" si="89"/>
        <v>52.240583675733987</v>
      </c>
      <c r="AL101" s="20">
        <f t="shared" si="58"/>
        <v>459.16748531856956</v>
      </c>
      <c r="AM101" s="59">
        <f t="shared" si="59"/>
        <v>736.00414425320093</v>
      </c>
      <c r="AN101" s="59">
        <f ca="1">AVERAGE(OFFSET($AM$3,0,0,'Données projet'!$E$10+1,1))-AVERAGE(OFFSET($H$3,0,0,'Données projet'!$E$10+1,1))</f>
        <v>424.89201140676084</v>
      </c>
      <c r="AO101" s="59">
        <f t="shared" si="90"/>
        <v>253.0016648946303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24.779247646909489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24.779247646909489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155.99999999999991</v>
      </c>
      <c r="BE101" s="13">
        <f>BD101*VLOOKUP('Données projet'!$B$11,Paramètres!$A$1:$I$89,3,0)*VLOOKUP('Données projet'!$B$11,Paramètres!$A$1:$I$89,5,0)</f>
        <v>136.28159999999994</v>
      </c>
      <c r="BF101" s="13">
        <f t="shared" si="91"/>
        <v>35.443842312892279</v>
      </c>
      <c r="BG101" s="20">
        <f t="shared" si="61"/>
        <v>299.08847869495395</v>
      </c>
      <c r="BH101" s="59">
        <f t="shared" si="62"/>
        <v>575.92513762958538</v>
      </c>
      <c r="BI101" s="59">
        <f ca="1">AVERAGE(OFFSET($BH$3,0,0,'Données projet'!$E$11+1,1))-AVERAGE(OFFSET($H$3,0,0,'Données projet'!$E$11+1,1))</f>
        <v>218.97952644043698</v>
      </c>
      <c r="BJ101" s="59">
        <f t="shared" si="92"/>
        <v>204.10961748628714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1.244914442733015</v>
      </c>
      <c r="BQ101" s="21">
        <f>EXP(-LN(2)/25)*BQ100+(1-EXP(-LN(2)/25))/(LN(2)/25)*Calculateur!BL101*Calculateur!BN101*VLOOKUP('Données projet'!$B$11,Paramètres!$A$1:$I$89,3,0)*0.475*44/12</f>
        <v>3.0407288537562902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4.2856432964893054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191.99999999999977</v>
      </c>
      <c r="BZ101" s="13">
        <f>BY101*VLOOKUP('Données projet'!$B$12,Paramètres!$A$1:$I$89,3,0)*VLOOKUP('Données projet'!$B$12,Paramètres!$A$1:$I$89,5,0)</f>
        <v>155.75039999999984</v>
      </c>
      <c r="CA101" s="13">
        <f t="shared" si="93"/>
        <v>39.882509755133718</v>
      </c>
      <c r="CB101" s="20">
        <f t="shared" si="64"/>
        <v>340.72731782352429</v>
      </c>
      <c r="CC101" s="59">
        <f t="shared" si="65"/>
        <v>617.5639767581556</v>
      </c>
      <c r="CD101" s="59">
        <f ca="1">AVERAGE(OFFSET($CC$3,0,0,'Données projet'!$E$12+1,1))-AVERAGE(OFFSET($H$3,0,0,'Données projet'!$E$12+1,1))</f>
        <v>256.23994291192162</v>
      </c>
      <c r="CE101" s="59">
        <f t="shared" si="94"/>
        <v>207.9118653708222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2.9106799208834739</v>
      </c>
      <c r="CL101" s="21">
        <f>EXP(-LN(2)/25)*CL100+(1-EXP(-LN(2)/25))/(LN(2)/25)*Calculateur!CG101*Calculateur!CI101*VLOOKUP('Données projet'!$B$12,Paramètres!$A$1:$I$89,3,0)*0.475*44/12</f>
        <v>7.8496561936849316</v>
      </c>
      <c r="CM101" s="21">
        <f>EXP(-LN(2)/2)*CM100+(1-EXP(-LN(2)/2))/(LN(2)/2)*CG101*CJ101*VLOOKUP('Données projet'!$B$12,Paramètres!$A$1:$I$89,3,0)*0.475*44/12</f>
        <v>0.11693461319294048</v>
      </c>
      <c r="CN101" s="22">
        <f t="shared" si="66"/>
        <v>10.877270727761346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170.99999999999991</v>
      </c>
      <c r="CU101" s="17">
        <f>CT101*VLOOKUP('Données projet'!$B$13,Paramètres!$A$1:$I$89,3,0)*VLOOKUP('Données projet'!$B$13,Paramètres!$A$1:$I$89,5,0)</f>
        <v>98.701199999999957</v>
      </c>
      <c r="CV101" s="13">
        <f t="shared" si="95"/>
        <v>26.652341328097943</v>
      </c>
      <c r="CW101" s="20">
        <f t="shared" si="67"/>
        <v>218.32408447977051</v>
      </c>
      <c r="CX101" s="59">
        <f t="shared" si="68"/>
        <v>495.16074341440185</v>
      </c>
      <c r="CY101" s="59">
        <f ca="1">AVERAGE(OFFSET($CX$3,0,0,'Données projet'!$E$13+1,1))-AVERAGE(OFFSET($H$3,0,0,'Données projet'!$E$13+1,1))</f>
        <v>205.74526926885287</v>
      </c>
      <c r="CZ101" s="59">
        <f t="shared" si="96"/>
        <v>201.56217137928999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0.76183290626138589</v>
      </c>
      <c r="DG101" s="21">
        <f>EXP(-LN(2)/25)*DG100+(1-EXP(-LN(2)/25))/(LN(2)/25)*Calculateur!DB101*Calculateur!DD101*VLOOKUP('Données projet'!$B$13,Paramètres!$A$1:$I$89,3,0)*0.475*44/12</f>
        <v>5.9383148388578419</v>
      </c>
      <c r="DH101" s="21">
        <f>EXP(-LN(2)/2)*DH100+(1-EXP(-LN(2)/2))/(LN(2)/2)*DB101*DE101*VLOOKUP('Données projet'!$B$13,Paramètres!$A$1:$I$89,3,0)*0.475*44/12</f>
        <v>0.1391083255318854</v>
      </c>
      <c r="DI101" s="22">
        <f t="shared" si="69"/>
        <v>6.8392560706511132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5.2583333333333373</v>
      </c>
      <c r="DO101" s="12">
        <f>IF('Données projet'!$A$166&gt;35,DO100+DN101-DW100,IF(A101&lt;'Données projet'!$A$166,$DL$205^A101,IF(A101='Données projet'!$A$166,'Données projet'!$B$166,DO100+DN101-DW100)))</f>
        <v>208.47756410256383</v>
      </c>
      <c r="DP101" s="17">
        <f>DO101*VLOOKUP('Données projet'!$B$14,Paramètres!$A$1:$I$89,3,0)*VLOOKUP('Données projet'!$B$14,Paramètres!$A$1:$I$89,5,0)</f>
        <v>198.38724999999977</v>
      </c>
      <c r="DQ101" s="13">
        <f t="shared" si="97"/>
        <v>49.389567247841455</v>
      </c>
      <c r="DR101" s="20">
        <f t="shared" si="70"/>
        <v>431.54462337332347</v>
      </c>
      <c r="DS101" s="59">
        <f t="shared" si="71"/>
        <v>708.38128230795485</v>
      </c>
      <c r="DT101" s="59">
        <f ca="1">AVERAGE(OFFSET($DS$3,0,0,'Données projet'!$E$14+1,1))-AVERAGE(OFFSET($H$3,0,0,'Données projet'!$E$14+1,1))</f>
        <v>403.89478276355294</v>
      </c>
      <c r="DU101" s="59">
        <f t="shared" si="98"/>
        <v>241.1593989733278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23.254370868638141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23.254370868638141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5.2583333333333373</v>
      </c>
      <c r="N102" s="13">
        <f>IF('Données projet'!$A$36&gt;35,N101+M102-V101,IF(A102&lt;'Données projet'!$A$36,$K$205^A102,IF(A102='Données projet'!$A$36,'Données projet'!$B$36,N101+M102-V101)))</f>
        <v>213.73589743589716</v>
      </c>
      <c r="O102" s="13">
        <f>N102*VLOOKUP('Données projet'!$B$9,Paramètres!$A$1:$I$89,3,0)*VLOOKUP('Données projet'!$B$9,Paramètres!$A$1:$I$89,5,0)</f>
        <v>193.38823999999974</v>
      </c>
      <c r="P102" s="13">
        <f t="shared" si="87"/>
        <v>48.288272258589146</v>
      </c>
      <c r="Q102" s="20">
        <f t="shared" si="107"/>
        <v>420.91992551704237</v>
      </c>
      <c r="R102" s="59">
        <f t="shared" si="55"/>
        <v>698.0427648714525</v>
      </c>
      <c r="S102" s="59">
        <f ca="1">AVERAGE(OFFSET($R$3,0,0,'Données projet'!$E$9+1,1))-AVERAGE(OFFSET($H$3,0,0,'Données projet'!$E$9+1,1))</f>
        <v>388.1278150896951</v>
      </c>
      <c r="T102" s="59">
        <f t="shared" si="88"/>
        <v>232.26614607059227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21.677135683620513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21.677135683620513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5.2583333333333373</v>
      </c>
      <c r="AI102" s="13">
        <f>IF('Données projet'!$A$62&gt;35,AI101+AH102-AQ101,IF(A102&lt;'Données projet'!$A$62,$AF$205^A102,IF(A102='Données projet'!$A$62,'Données projet'!$B$62,AI101+AH102-AQ101)))</f>
        <v>213.73589743589716</v>
      </c>
      <c r="AJ102" s="13">
        <f>AI102*VLOOKUP('Données projet'!$B$10,Paramètres!$A$1:$I$89,3,0)*VLOOKUP('Données projet'!$B$10,Paramètres!$A$1:$I$89,5,0)</f>
        <v>216.72819999999976</v>
      </c>
      <c r="AK102" s="13">
        <f t="shared" si="89"/>
        <v>53.403157228900795</v>
      </c>
      <c r="AL102" s="20">
        <f t="shared" si="58"/>
        <v>470.47878050700183</v>
      </c>
      <c r="AM102" s="59">
        <f t="shared" si="59"/>
        <v>747.60161986141202</v>
      </c>
      <c r="AN102" s="59">
        <f ca="1">AVERAGE(OFFSET($AM$3,0,0,'Données projet'!$E$10+1,1))-AVERAGE(OFFSET($H$3,0,0,'Données projet'!$E$10+1,1))</f>
        <v>424.89201140676084</v>
      </c>
      <c r="AO102" s="59">
        <f t="shared" si="90"/>
        <v>253.0016648946303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24.293341714402292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24.293341714402292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155.99999999999991</v>
      </c>
      <c r="BE102" s="13">
        <f>BD102*VLOOKUP('Données projet'!$B$11,Paramètres!$A$1:$I$89,3,0)*VLOOKUP('Données projet'!$B$11,Paramètres!$A$1:$I$89,5,0)</f>
        <v>136.28159999999994</v>
      </c>
      <c r="BF102" s="13">
        <f t="shared" si="91"/>
        <v>35.443842312892279</v>
      </c>
      <c r="BG102" s="20">
        <f t="shared" si="61"/>
        <v>299.08847869495395</v>
      </c>
      <c r="BH102" s="59">
        <f t="shared" si="62"/>
        <v>576.21131804936408</v>
      </c>
      <c r="BI102" s="59">
        <f ca="1">AVERAGE(OFFSET($BH$3,0,0,'Données projet'!$E$11+1,1))-AVERAGE(OFFSET($H$3,0,0,'Données projet'!$E$11+1,1))</f>
        <v>218.97952644043698</v>
      </c>
      <c r="BJ102" s="59">
        <f t="shared" si="92"/>
        <v>204.10961748628714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1.2205024298338538</v>
      </c>
      <c r="BQ102" s="21">
        <f>EXP(-LN(2)/25)*BQ101+(1-EXP(-LN(2)/25))/(LN(2)/25)*Calculateur!BL102*Calculateur!BN102*VLOOKUP('Données projet'!$B$11,Paramètres!$A$1:$I$89,3,0)*0.475*44/12</f>
        <v>2.9575799633453439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4.1780823931791975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191.99999999999977</v>
      </c>
      <c r="BZ102" s="13">
        <f>BY102*VLOOKUP('Données projet'!$B$12,Paramètres!$A$1:$I$89,3,0)*VLOOKUP('Données projet'!$B$12,Paramètres!$A$1:$I$89,5,0)</f>
        <v>155.75039999999984</v>
      </c>
      <c r="CA102" s="13">
        <f t="shared" si="93"/>
        <v>39.882509755133718</v>
      </c>
      <c r="CB102" s="20">
        <f t="shared" si="64"/>
        <v>340.72731782352429</v>
      </c>
      <c r="CC102" s="59">
        <f t="shared" si="65"/>
        <v>617.85015717793442</v>
      </c>
      <c r="CD102" s="59">
        <f ca="1">AVERAGE(OFFSET($CC$3,0,0,'Données projet'!$E$12+1,1))-AVERAGE(OFFSET($H$3,0,0,'Données projet'!$E$12+1,1))</f>
        <v>256.23994291192162</v>
      </c>
      <c r="CE102" s="59">
        <f t="shared" si="94"/>
        <v>207.9118653708222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2.8536032629744006</v>
      </c>
      <c r="CL102" s="21">
        <f>EXP(-LN(2)/25)*CL101+(1-EXP(-LN(2)/25))/(LN(2)/25)*Calculateur!CG102*Calculateur!CI102*VLOOKUP('Données projet'!$B$12,Paramètres!$A$1:$I$89,3,0)*0.475*44/12</f>
        <v>7.6350069322731384</v>
      </c>
      <c r="CM102" s="21">
        <f>EXP(-LN(2)/2)*CM101+(1-EXP(-LN(2)/2))/(LN(2)/2)*CG102*CJ102*VLOOKUP('Données projet'!$B$12,Paramètres!$A$1:$I$89,3,0)*0.475*44/12</f>
        <v>8.2685257944154142E-2</v>
      </c>
      <c r="CN102" s="22">
        <f t="shared" si="66"/>
        <v>10.571295453191693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170.99999999999991</v>
      </c>
      <c r="CU102" s="17">
        <f>CT102*VLOOKUP('Données projet'!$B$13,Paramètres!$A$1:$I$89,3,0)*VLOOKUP('Données projet'!$B$13,Paramètres!$A$1:$I$89,5,0)</f>
        <v>98.701199999999957</v>
      </c>
      <c r="CV102" s="13">
        <f t="shared" si="95"/>
        <v>26.652341328097943</v>
      </c>
      <c r="CW102" s="20">
        <f t="shared" si="67"/>
        <v>218.32408447977051</v>
      </c>
      <c r="CX102" s="59">
        <f t="shared" si="68"/>
        <v>495.44692383418067</v>
      </c>
      <c r="CY102" s="59">
        <f ca="1">AVERAGE(OFFSET($CX$3,0,0,'Données projet'!$E$13+1,1))-AVERAGE(OFFSET($H$3,0,0,'Données projet'!$E$13+1,1))</f>
        <v>205.74526926885287</v>
      </c>
      <c r="CZ102" s="59">
        <f t="shared" si="96"/>
        <v>201.56217137928999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0.74689382764179035</v>
      </c>
      <c r="DG102" s="21">
        <f>EXP(-LN(2)/25)*DG101+(1-EXP(-LN(2)/25))/(LN(2)/25)*Calculateur!DB102*Calculateur!DD102*VLOOKUP('Données projet'!$B$13,Paramètres!$A$1:$I$89,3,0)*0.475*44/12</f>
        <v>5.7759313073068688</v>
      </c>
      <c r="DH102" s="21">
        <f>EXP(-LN(2)/2)*DH101+(1-EXP(-LN(2)/2))/(LN(2)/2)*DB102*DE102*VLOOKUP('Données projet'!$B$13,Paramètres!$A$1:$I$89,3,0)*0.475*44/12</f>
        <v>9.8364440303101916E-2</v>
      </c>
      <c r="DI102" s="22">
        <f t="shared" si="69"/>
        <v>6.6211895752517611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5.2583333333333373</v>
      </c>
      <c r="DO102" s="12">
        <f>IF('Données projet'!$A$166&gt;35,DO101+DN102-DW101,IF(A102&lt;'Données projet'!$A$166,$DL$205^A102,IF(A102='Données projet'!$A$166,'Données projet'!$B$166,DO101+DN102-DW101)))</f>
        <v>213.73589743589716</v>
      </c>
      <c r="DP102" s="17">
        <f>DO102*VLOOKUP('Données projet'!$B$14,Paramètres!$A$1:$I$89,3,0)*VLOOKUP('Données projet'!$B$14,Paramètres!$A$1:$I$89,5,0)</f>
        <v>203.39107999999976</v>
      </c>
      <c r="DQ102" s="13">
        <f t="shared" si="97"/>
        <v>50.48869364813406</v>
      </c>
      <c r="DR102" s="20">
        <f t="shared" si="70"/>
        <v>442.17393910383311</v>
      </c>
      <c r="DS102" s="59">
        <f t="shared" si="71"/>
        <v>719.29677845824324</v>
      </c>
      <c r="DT102" s="59">
        <f ca="1">AVERAGE(OFFSET($DS$3,0,0,'Données projet'!$E$14+1,1))-AVERAGE(OFFSET($H$3,0,0,'Données projet'!$E$14+1,1))</f>
        <v>403.89478276355294</v>
      </c>
      <c r="DU102" s="59">
        <f t="shared" si="98"/>
        <v>241.1593989733278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22.798366839669846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22.798366839669846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5.2583333333333373</v>
      </c>
      <c r="N103" s="13">
        <f>IF('Données projet'!$A$36&gt;35,N102+M103-V102,IF(A103&lt;'Données projet'!$A$36,$K$205^A103,IF(A103='Données projet'!$A$36,'Données projet'!$B$36,N102+M103-V102)))</f>
        <v>218.99423076923048</v>
      </c>
      <c r="O103" s="13">
        <f>N103*VLOOKUP('Données projet'!$B$9,Paramètres!$A$1:$I$89,3,0)*VLOOKUP('Données projet'!$B$9,Paramètres!$A$1:$I$89,5,0)</f>
        <v>198.14597999999972</v>
      </c>
      <c r="P103" s="13">
        <f t="shared" si="87"/>
        <v>49.336489651503598</v>
      </c>
      <c r="Q103" s="20">
        <f t="shared" si="107"/>
        <v>431.03196797636821</v>
      </c>
      <c r="R103" s="59">
        <f t="shared" si="55"/>
        <v>708.43602316007741</v>
      </c>
      <c r="S103" s="59">
        <f ca="1">AVERAGE(OFFSET($R$3,0,0,'Données projet'!$E$9+1,1))-AVERAGE(OFFSET($H$3,0,0,'Données projet'!$E$9+1,1))</f>
        <v>388.1278150896951</v>
      </c>
      <c r="T103" s="59">
        <f t="shared" si="88"/>
        <v>232.26614607059227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21.252060274611942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21.252060274611942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5.2583333333333373</v>
      </c>
      <c r="AI103" s="13">
        <f>IF('Données projet'!$A$62&gt;35,AI102+AH103-AQ102,IF(A103&lt;'Données projet'!$A$62,$AF$205^A103,IF(A103='Données projet'!$A$62,'Données projet'!$B$62,AI102+AH103-AQ102)))</f>
        <v>218.99423076923048</v>
      </c>
      <c r="AJ103" s="13">
        <f>AI103*VLOOKUP('Données projet'!$B$10,Paramètres!$A$1:$I$89,3,0)*VLOOKUP('Données projet'!$B$10,Paramètres!$A$1:$I$89,5,0)</f>
        <v>222.06014999999974</v>
      </c>
      <c r="AK103" s="13">
        <f t="shared" si="89"/>
        <v>54.562405957952684</v>
      </c>
      <c r="AL103" s="20">
        <f t="shared" si="58"/>
        <v>481.78428496010048</v>
      </c>
      <c r="AM103" s="59">
        <f t="shared" si="59"/>
        <v>759.18834014380968</v>
      </c>
      <c r="AN103" s="59">
        <f ca="1">AVERAGE(OFFSET($AM$3,0,0,'Données projet'!$E$10+1,1))-AVERAGE(OFFSET($H$3,0,0,'Données projet'!$E$10+1,1))</f>
        <v>424.89201140676084</v>
      </c>
      <c r="AO103" s="59">
        <f t="shared" si="90"/>
        <v>253.0016648946303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23.816964100858204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23.816964100858204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155.99999999999991</v>
      </c>
      <c r="BE103" s="13">
        <f>BD103*VLOOKUP('Données projet'!$B$11,Paramètres!$A$1:$I$89,3,0)*VLOOKUP('Données projet'!$B$11,Paramètres!$A$1:$I$89,5,0)</f>
        <v>136.28159999999994</v>
      </c>
      <c r="BF103" s="13">
        <f t="shared" si="91"/>
        <v>35.443842312892279</v>
      </c>
      <c r="BG103" s="20">
        <f t="shared" si="61"/>
        <v>299.08847869495395</v>
      </c>
      <c r="BH103" s="59">
        <f t="shared" si="62"/>
        <v>576.49253387866315</v>
      </c>
      <c r="BI103" s="59">
        <f ca="1">AVERAGE(OFFSET($BH$3,0,0,'Données projet'!$E$11+1,1))-AVERAGE(OFFSET($H$3,0,0,'Données projet'!$E$11+1,1))</f>
        <v>218.97952644043698</v>
      </c>
      <c r="BJ103" s="59">
        <f t="shared" si="92"/>
        <v>204.10961748628714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1.1965691216177874</v>
      </c>
      <c r="BQ103" s="21">
        <f>EXP(-LN(2)/25)*BQ102+(1-EXP(-LN(2)/25))/(LN(2)/25)*Calculateur!BL103*Calculateur!BN103*VLOOKUP('Données projet'!$B$11,Paramètres!$A$1:$I$89,3,0)*0.475*44/12</f>
        <v>2.876704783715295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4.0732739053330826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191.99999999999977</v>
      </c>
      <c r="BZ103" s="13">
        <f>BY103*VLOOKUP('Données projet'!$B$12,Paramètres!$A$1:$I$89,3,0)*VLOOKUP('Données projet'!$B$12,Paramètres!$A$1:$I$89,5,0)</f>
        <v>155.75039999999984</v>
      </c>
      <c r="CA103" s="13">
        <f t="shared" si="93"/>
        <v>39.882509755133718</v>
      </c>
      <c r="CB103" s="20">
        <f t="shared" si="64"/>
        <v>340.72731782352429</v>
      </c>
      <c r="CC103" s="59">
        <f t="shared" si="65"/>
        <v>618.13137300723349</v>
      </c>
      <c r="CD103" s="59">
        <f ca="1">AVERAGE(OFFSET($CC$3,0,0,'Données projet'!$E$12+1,1))-AVERAGE(OFFSET($H$3,0,0,'Données projet'!$E$12+1,1))</f>
        <v>256.23994291192162</v>
      </c>
      <c r="CE103" s="59">
        <f t="shared" si="94"/>
        <v>207.9118653708222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2.7976458435136005</v>
      </c>
      <c r="CL103" s="21">
        <f>EXP(-LN(2)/25)*CL102+(1-EXP(-LN(2)/25))/(LN(2)/25)*Calculateur!CG103*Calculateur!CI103*VLOOKUP('Données projet'!$B$12,Paramètres!$A$1:$I$89,3,0)*0.475*44/12</f>
        <v>7.4262272662025648</v>
      </c>
      <c r="CM103" s="21">
        <f>EXP(-LN(2)/2)*CM102+(1-EXP(-LN(2)/2))/(LN(2)/2)*CG103*CJ103*VLOOKUP('Données projet'!$B$12,Paramètres!$A$1:$I$89,3,0)*0.475*44/12</f>
        <v>5.8467306596470245E-2</v>
      </c>
      <c r="CN103" s="22">
        <f t="shared" si="66"/>
        <v>10.282340416312636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170.99999999999991</v>
      </c>
      <c r="CU103" s="17">
        <f>CT103*VLOOKUP('Données projet'!$B$13,Paramètres!$A$1:$I$89,3,0)*VLOOKUP('Données projet'!$B$13,Paramètres!$A$1:$I$89,5,0)</f>
        <v>98.701199999999957</v>
      </c>
      <c r="CV103" s="13">
        <f t="shared" si="95"/>
        <v>26.652341328097943</v>
      </c>
      <c r="CW103" s="20">
        <f t="shared" si="67"/>
        <v>218.32408447977051</v>
      </c>
      <c r="CX103" s="59">
        <f t="shared" si="68"/>
        <v>495.72813966347974</v>
      </c>
      <c r="CY103" s="59">
        <f ca="1">AVERAGE(OFFSET($CX$3,0,0,'Données projet'!$E$13+1,1))-AVERAGE(OFFSET($H$3,0,0,'Données projet'!$E$13+1,1))</f>
        <v>205.74526926885287</v>
      </c>
      <c r="CZ103" s="59">
        <f t="shared" si="96"/>
        <v>201.56217137928999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0.73224769524198685</v>
      </c>
      <c r="DG103" s="21">
        <f>EXP(-LN(2)/25)*DG102+(1-EXP(-LN(2)/25))/(LN(2)/25)*Calculateur!DB103*Calculateur!DD103*VLOOKUP('Données projet'!$B$13,Paramètres!$A$1:$I$89,3,0)*0.475*44/12</f>
        <v>5.6179881619655356</v>
      </c>
      <c r="DH103" s="21">
        <f>EXP(-LN(2)/2)*DH102+(1-EXP(-LN(2)/2))/(LN(2)/2)*DB103*DE103*VLOOKUP('Données projet'!$B$13,Paramètres!$A$1:$I$89,3,0)*0.475*44/12</f>
        <v>6.9554162765942701E-2</v>
      </c>
      <c r="DI103" s="22">
        <f t="shared" si="69"/>
        <v>6.4197900199734654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5.2583333333333373</v>
      </c>
      <c r="DO103" s="12">
        <f>IF('Données projet'!$A$166&gt;35,DO102+DN103-DW102,IF(A103&lt;'Données projet'!$A$166,$DL$205^A103,IF(A103='Données projet'!$A$166,'Données projet'!$B$166,DO102+DN103-DW102)))</f>
        <v>218.99423076923048</v>
      </c>
      <c r="DP103" s="17">
        <f>DO103*VLOOKUP('Données projet'!$B$14,Paramètres!$A$1:$I$89,3,0)*VLOOKUP('Données projet'!$B$14,Paramètres!$A$1:$I$89,5,0)</f>
        <v>208.39490999999975</v>
      </c>
      <c r="DQ103" s="13">
        <f t="shared" si="97"/>
        <v>51.58467667573327</v>
      </c>
      <c r="DR103" s="20">
        <f t="shared" si="70"/>
        <v>452.79778012690167</v>
      </c>
      <c r="DS103" s="59">
        <f t="shared" si="71"/>
        <v>730.20183531061093</v>
      </c>
      <c r="DT103" s="59">
        <f ca="1">AVERAGE(OFFSET($DS$3,0,0,'Données projet'!$E$14+1,1))-AVERAGE(OFFSET($H$3,0,0,'Données projet'!$E$14+1,1))</f>
        <v>403.89478276355294</v>
      </c>
      <c r="DU103" s="59">
        <f t="shared" si="98"/>
        <v>241.1593989733278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22.351304771574625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22.351304771574625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5.2583333333333373</v>
      </c>
      <c r="N104" s="13">
        <f>IF('Données projet'!$A$36&gt;35,N103+M104-V103,IF(A104&lt;'Données projet'!$A$36,$K$205^A104,IF(A104='Données projet'!$A$36,'Données projet'!$B$36,N103+M104-V103)))</f>
        <v>224.25256410256381</v>
      </c>
      <c r="O104" s="13">
        <f>N104*VLOOKUP('Données projet'!$B$9,Paramètres!$A$1:$I$89,3,0)*VLOOKUP('Données projet'!$B$9,Paramètres!$A$1:$I$89,5,0)</f>
        <v>202.90371999999974</v>
      </c>
      <c r="P104" s="13">
        <f t="shared" si="87"/>
        <v>50.381781160298395</v>
      </c>
      <c r="Q104" s="20">
        <f t="shared" si="107"/>
        <v>441.13891452085255</v>
      </c>
      <c r="R104" s="59">
        <f t="shared" si="55"/>
        <v>718.81930706792696</v>
      </c>
      <c r="S104" s="59">
        <f ca="1">AVERAGE(OFFSET($R$3,0,0,'Données projet'!$E$9+1,1))-AVERAGE(OFFSET($H$3,0,0,'Données projet'!$E$9+1,1))</f>
        <v>388.1278150896951</v>
      </c>
      <c r="T104" s="59">
        <f t="shared" si="88"/>
        <v>232.26614607059227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20.835320335103631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20.835320335103631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5.2583333333333373</v>
      </c>
      <c r="AI104" s="13">
        <f>IF('Données projet'!$A$62&gt;35,AI103+AH104-AQ103,IF(A104&lt;'Données projet'!$A$62,$AF$205^A104,IF(A104='Données projet'!$A$62,'Données projet'!$B$62,AI103+AH104-AQ103)))</f>
        <v>224.25256410256381</v>
      </c>
      <c r="AJ104" s="13">
        <f>AI104*VLOOKUP('Données projet'!$B$10,Paramètres!$A$1:$I$89,3,0)*VLOOKUP('Données projet'!$B$10,Paramètres!$A$1:$I$89,5,0)</f>
        <v>227.39209999999972</v>
      </c>
      <c r="AK104" s="13">
        <f t="shared" si="89"/>
        <v>55.718418881655332</v>
      </c>
      <c r="AL104" s="20">
        <f t="shared" si="58"/>
        <v>493.08415371888253</v>
      </c>
      <c r="AM104" s="59">
        <f t="shared" si="59"/>
        <v>770.76454626595694</v>
      </c>
      <c r="AN104" s="59">
        <f ca="1">AVERAGE(OFFSET($AM$3,0,0,'Données projet'!$E$10+1,1))-AVERAGE(OFFSET($H$3,0,0,'Données projet'!$E$10+1,1))</f>
        <v>424.89201140676084</v>
      </c>
      <c r="AO104" s="59">
        <f t="shared" si="90"/>
        <v>253.0016648946303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23.349927961754062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23.349927961754062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155.99999999999991</v>
      </c>
      <c r="BE104" s="13">
        <f>BD104*VLOOKUP('Données projet'!$B$11,Paramètres!$A$1:$I$89,3,0)*VLOOKUP('Données projet'!$B$11,Paramètres!$A$1:$I$89,5,0)</f>
        <v>136.28159999999994</v>
      </c>
      <c r="BF104" s="13">
        <f t="shared" si="91"/>
        <v>35.443842312892279</v>
      </c>
      <c r="BG104" s="20">
        <f t="shared" si="61"/>
        <v>299.08847869495395</v>
      </c>
      <c r="BH104" s="59">
        <f t="shared" si="62"/>
        <v>576.76887124202835</v>
      </c>
      <c r="BI104" s="59">
        <f ca="1">AVERAGE(OFFSET($BH$3,0,0,'Données projet'!$E$11+1,1))-AVERAGE(OFFSET($H$3,0,0,'Données projet'!$E$11+1,1))</f>
        <v>218.97952644043698</v>
      </c>
      <c r="BJ104" s="59">
        <f t="shared" si="92"/>
        <v>204.10961748628714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1.1731051309779614</v>
      </c>
      <c r="BQ104" s="21">
        <f>EXP(-LN(2)/25)*BQ103+(1-EXP(-LN(2)/25))/(LN(2)/25)*Calculateur!BL104*Calculateur!BN104*VLOOKUP('Données projet'!$B$11,Paramètres!$A$1:$I$89,3,0)*0.475*44/12</f>
        <v>2.7980411401252705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3.9711462711032319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191.99999999999977</v>
      </c>
      <c r="BZ104" s="13">
        <f>BY104*VLOOKUP('Données projet'!$B$12,Paramètres!$A$1:$I$89,3,0)*VLOOKUP('Données projet'!$B$12,Paramètres!$A$1:$I$89,5,0)</f>
        <v>155.75039999999984</v>
      </c>
      <c r="CA104" s="13">
        <f t="shared" si="93"/>
        <v>39.882509755133718</v>
      </c>
      <c r="CB104" s="20">
        <f t="shared" si="64"/>
        <v>340.72731782352429</v>
      </c>
      <c r="CC104" s="59">
        <f t="shared" si="65"/>
        <v>618.40771037059869</v>
      </c>
      <c r="CD104" s="59">
        <f ca="1">AVERAGE(OFFSET($CC$3,0,0,'Données projet'!$E$12+1,1))-AVERAGE(OFFSET($H$3,0,0,'Données projet'!$E$12+1,1))</f>
        <v>256.23994291192162</v>
      </c>
      <c r="CE104" s="59">
        <f t="shared" si="94"/>
        <v>207.9118653708222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2.7427857149177708</v>
      </c>
      <c r="CL104" s="21">
        <f>EXP(-LN(2)/25)*CL103+(1-EXP(-LN(2)/25))/(LN(2)/25)*Calculateur!CG104*Calculateur!CI104*VLOOKUP('Données projet'!$B$12,Paramètres!$A$1:$I$89,3,0)*0.475*44/12</f>
        <v>7.2231566910799367</v>
      </c>
      <c r="CM104" s="21">
        <f>EXP(-LN(2)/2)*CM103+(1-EXP(-LN(2)/2))/(LN(2)/2)*CG104*CJ104*VLOOKUP('Données projet'!$B$12,Paramètres!$A$1:$I$89,3,0)*0.475*44/12</f>
        <v>4.1342628972077078E-2</v>
      </c>
      <c r="CN104" s="22">
        <f t="shared" si="66"/>
        <v>10.007285034969785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170.99999999999991</v>
      </c>
      <c r="CU104" s="17">
        <f>CT104*VLOOKUP('Données projet'!$B$13,Paramètres!$A$1:$I$89,3,0)*VLOOKUP('Données projet'!$B$13,Paramètres!$A$1:$I$89,5,0)</f>
        <v>98.701199999999957</v>
      </c>
      <c r="CV104" s="13">
        <f t="shared" si="95"/>
        <v>26.652341328097943</v>
      </c>
      <c r="CW104" s="20">
        <f t="shared" si="67"/>
        <v>218.32408447977051</v>
      </c>
      <c r="CX104" s="59">
        <f t="shared" si="68"/>
        <v>496.00447702684494</v>
      </c>
      <c r="CY104" s="59">
        <f ca="1">AVERAGE(OFFSET($CX$3,0,0,'Données projet'!$E$13+1,1))-AVERAGE(OFFSET($H$3,0,0,'Données projet'!$E$13+1,1))</f>
        <v>205.74526926885287</v>
      </c>
      <c r="CZ104" s="59">
        <f t="shared" si="96"/>
        <v>201.56217137928999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0.71788876456528483</v>
      </c>
      <c r="DG104" s="21">
        <f>EXP(-LN(2)/25)*DG103+(1-EXP(-LN(2)/25))/(LN(2)/25)*Calculateur!DB104*Calculateur!DD104*VLOOKUP('Données projet'!$B$13,Paramètres!$A$1:$I$89,3,0)*0.475*44/12</f>
        <v>5.4643639802394306</v>
      </c>
      <c r="DH104" s="21">
        <f>EXP(-LN(2)/2)*DH103+(1-EXP(-LN(2)/2))/(LN(2)/2)*DB104*DE104*VLOOKUP('Données projet'!$B$13,Paramètres!$A$1:$I$89,3,0)*0.475*44/12</f>
        <v>4.9182220151550958E-2</v>
      </c>
      <c r="DI104" s="22">
        <f t="shared" si="69"/>
        <v>6.231434964956267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5.2583333333333373</v>
      </c>
      <c r="DO104" s="12">
        <f>IF('Données projet'!$A$166&gt;35,DO103+DN104-DW103,IF(A104&lt;'Données projet'!$A$166,$DL$205^A104,IF(A104='Données projet'!$A$166,'Données projet'!$B$166,DO103+DN104-DW103)))</f>
        <v>224.25256410256381</v>
      </c>
      <c r="DP104" s="17">
        <f>DO104*VLOOKUP('Données projet'!$B$14,Paramètres!$A$1:$I$89,3,0)*VLOOKUP('Données projet'!$B$14,Paramètres!$A$1:$I$89,5,0)</f>
        <v>213.39873999999969</v>
      </c>
      <c r="DQ104" s="13">
        <f t="shared" si="97"/>
        <v>52.677600491228638</v>
      </c>
      <c r="DR104" s="20">
        <f t="shared" si="70"/>
        <v>463.41629302222265</v>
      </c>
      <c r="DS104" s="59">
        <f t="shared" si="71"/>
        <v>741.09668556929705</v>
      </c>
      <c r="DT104" s="59">
        <f ca="1">AVERAGE(OFFSET($DS$3,0,0,'Données projet'!$E$14+1,1))-AVERAGE(OFFSET($H$3,0,0,'Données projet'!$E$14+1,1))</f>
        <v>403.89478276355294</v>
      </c>
      <c r="DU104" s="59">
        <f t="shared" si="98"/>
        <v>241.1593989733278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21.913009317953815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21.913009317953815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5.2583333333333373</v>
      </c>
      <c r="N105" s="13">
        <f>IF('Données projet'!$A$36&gt;35,N104+M105-V104,IF(A105&lt;'Données projet'!$A$36,$K$205^A105,IF(A105='Données projet'!$A$36,'Données projet'!$B$36,N104+M105-V104)))</f>
        <v>229.51089743589714</v>
      </c>
      <c r="O105" s="13">
        <f>N105*VLOOKUP('Données projet'!$B$9,Paramètres!$A$1:$I$89,3,0)*VLOOKUP('Données projet'!$B$9,Paramètres!$A$1:$I$89,5,0)</f>
        <v>207.66145999999972</v>
      </c>
      <c r="P105" s="13">
        <f t="shared" si="87"/>
        <v>51.424223287461992</v>
      </c>
      <c r="Q105" s="20">
        <f t="shared" si="107"/>
        <v>451.2408983923292</v>
      </c>
      <c r="R105" s="59">
        <f t="shared" si="55"/>
        <v>729.1928344673122</v>
      </c>
      <c r="S105" s="59">
        <f ca="1">AVERAGE(OFFSET($R$3,0,0,'Données projet'!$E$9+1,1))-AVERAGE(OFFSET($H$3,0,0,'Données projet'!$E$9+1,1))</f>
        <v>388.1278150896951</v>
      </c>
      <c r="T105" s="59">
        <f t="shared" si="88"/>
        <v>232.26614607059227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20.426752411622815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20.426752411622815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5.2583333333333373</v>
      </c>
      <c r="AI105" s="13">
        <f>IF('Données projet'!$A$62&gt;35,AI104+AH105-AQ104,IF(A105&lt;'Données projet'!$A$62,$AF$205^A105,IF(A105='Données projet'!$A$62,'Données projet'!$B$62,AI104+AH105-AQ104)))</f>
        <v>229.51089743589714</v>
      </c>
      <c r="AJ105" s="13">
        <f>AI105*VLOOKUP('Données projet'!$B$10,Paramètres!$A$1:$I$89,3,0)*VLOOKUP('Données projet'!$B$10,Paramètres!$A$1:$I$89,5,0)</f>
        <v>232.72404999999969</v>
      </c>
      <c r="AK105" s="13">
        <f t="shared" si="89"/>
        <v>56.871280605943788</v>
      </c>
      <c r="AL105" s="20">
        <f t="shared" si="58"/>
        <v>504.37853413868493</v>
      </c>
      <c r="AM105" s="59">
        <f t="shared" si="59"/>
        <v>782.33047021366792</v>
      </c>
      <c r="AN105" s="59">
        <f ca="1">AVERAGE(OFFSET($AM$3,0,0,'Données projet'!$E$10+1,1))-AVERAGE(OFFSET($H$3,0,0,'Données projet'!$E$10+1,1))</f>
        <v>424.89201140676084</v>
      </c>
      <c r="AO105" s="59">
        <f t="shared" si="90"/>
        <v>253.0016648946303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22.892050116473836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22.892050116473836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155.99999999999991</v>
      </c>
      <c r="BE105" s="13">
        <f>BD105*VLOOKUP('Données projet'!$B$11,Paramètres!$A$1:$I$89,3,0)*VLOOKUP('Données projet'!$B$11,Paramètres!$A$1:$I$89,5,0)</f>
        <v>136.28159999999994</v>
      </c>
      <c r="BF105" s="13">
        <f t="shared" si="91"/>
        <v>35.443842312892279</v>
      </c>
      <c r="BG105" s="20">
        <f t="shared" si="61"/>
        <v>299.08847869495395</v>
      </c>
      <c r="BH105" s="59">
        <f t="shared" si="62"/>
        <v>577.04041476993689</v>
      </c>
      <c r="BI105" s="59">
        <f ca="1">AVERAGE(OFFSET($BH$3,0,0,'Données projet'!$E$11+1,1))-AVERAGE(OFFSET($H$3,0,0,'Données projet'!$E$11+1,1))</f>
        <v>218.97952644043698</v>
      </c>
      <c r="BJ105" s="59">
        <f t="shared" si="92"/>
        <v>204.10961748628714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1.1501012548829614</v>
      </c>
      <c r="BQ105" s="21">
        <f>EXP(-LN(2)/25)*BQ104+(1-EXP(-LN(2)/25))/(LN(2)/25)*Calculateur!BL105*Calculateur!BN105*VLOOKUP('Données projet'!$B$11,Paramètres!$A$1:$I$89,3,0)*0.475*44/12</f>
        <v>2.7215285580059563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3.8716298128889175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191.99999999999977</v>
      </c>
      <c r="BZ105" s="13">
        <f>BY105*VLOOKUP('Données projet'!$B$12,Paramètres!$A$1:$I$89,3,0)*VLOOKUP('Données projet'!$B$12,Paramètres!$A$1:$I$89,5,0)</f>
        <v>155.75039999999984</v>
      </c>
      <c r="CA105" s="13">
        <f t="shared" si="93"/>
        <v>39.882509755133718</v>
      </c>
      <c r="CB105" s="20">
        <f t="shared" si="64"/>
        <v>340.72731782352429</v>
      </c>
      <c r="CC105" s="59">
        <f t="shared" si="65"/>
        <v>618.67925389850723</v>
      </c>
      <c r="CD105" s="59">
        <f ca="1">AVERAGE(OFFSET($CC$3,0,0,'Données projet'!$E$12+1,1))-AVERAGE(OFFSET($H$3,0,0,'Données projet'!$E$12+1,1))</f>
        <v>256.23994291192162</v>
      </c>
      <c r="CE105" s="59">
        <f t="shared" si="94"/>
        <v>207.9118653708222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2.6890013599823308</v>
      </c>
      <c r="CL105" s="21">
        <f>EXP(-LN(2)/25)*CL104+(1-EXP(-LN(2)/25))/(LN(2)/25)*Calculateur!CG105*Calculateur!CI105*VLOOKUP('Données projet'!$B$12,Paramètres!$A$1:$I$89,3,0)*0.475*44/12</f>
        <v>7.025639091513054</v>
      </c>
      <c r="CM105" s="21">
        <f>EXP(-LN(2)/2)*CM104+(1-EXP(-LN(2)/2))/(LN(2)/2)*CG105*CJ105*VLOOKUP('Données projet'!$B$12,Paramètres!$A$1:$I$89,3,0)*0.475*44/12</f>
        <v>2.9233653298235129E-2</v>
      </c>
      <c r="CN105" s="22">
        <f t="shared" si="66"/>
        <v>9.743874104793619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170.99999999999991</v>
      </c>
      <c r="CU105" s="17">
        <f>CT105*VLOOKUP('Données projet'!$B$13,Paramètres!$A$1:$I$89,3,0)*VLOOKUP('Données projet'!$B$13,Paramètres!$A$1:$I$89,5,0)</f>
        <v>98.701199999999957</v>
      </c>
      <c r="CV105" s="13">
        <f t="shared" si="95"/>
        <v>26.652341328097943</v>
      </c>
      <c r="CW105" s="20">
        <f t="shared" si="67"/>
        <v>218.32408447977051</v>
      </c>
      <c r="CX105" s="59">
        <f t="shared" si="68"/>
        <v>496.27602055475347</v>
      </c>
      <c r="CY105" s="59">
        <f ca="1">AVERAGE(OFFSET($CX$3,0,0,'Données projet'!$E$13+1,1))-AVERAGE(OFFSET($H$3,0,0,'Données projet'!$E$13+1,1))</f>
        <v>205.74526926885287</v>
      </c>
      <c r="CZ105" s="59">
        <f t="shared" si="96"/>
        <v>201.56217137928999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0.70381140376106999</v>
      </c>
      <c r="DG105" s="21">
        <f>EXP(-LN(2)/25)*DG104+(1-EXP(-LN(2)/25))/(LN(2)/25)*Calculateur!DB105*Calculateur!DD105*VLOOKUP('Données projet'!$B$13,Paramètres!$A$1:$I$89,3,0)*0.475*44/12</f>
        <v>5.3149406598413709</v>
      </c>
      <c r="DH105" s="21">
        <f>EXP(-LN(2)/2)*DH104+(1-EXP(-LN(2)/2))/(LN(2)/2)*DB105*DE105*VLOOKUP('Données projet'!$B$13,Paramètres!$A$1:$I$89,3,0)*0.475*44/12</f>
        <v>3.477708138297135E-2</v>
      </c>
      <c r="DI105" s="22">
        <f t="shared" si="69"/>
        <v>6.0535291449854123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5.2583333333333373</v>
      </c>
      <c r="DO105" s="12">
        <f>IF('Données projet'!$A$166&gt;35,DO104+DN105-DW104,IF(A105&lt;'Données projet'!$A$166,$DL$205^A105,IF(A105='Données projet'!$A$166,'Données projet'!$B$166,DO104+DN105-DW104)))</f>
        <v>229.51089743589714</v>
      </c>
      <c r="DP105" s="17">
        <f>DO105*VLOOKUP('Données projet'!$B$14,Paramètres!$A$1:$I$89,3,0)*VLOOKUP('Données projet'!$B$14,Paramètres!$A$1:$I$89,5,0)</f>
        <v>218.40256999999971</v>
      </c>
      <c r="DQ105" s="13">
        <f t="shared" si="97"/>
        <v>53.767545083207914</v>
      </c>
      <c r="DR105" s="20">
        <f t="shared" si="70"/>
        <v>474.02961710325332</v>
      </c>
      <c r="DS105" s="59">
        <f t="shared" si="71"/>
        <v>751.98155317823625</v>
      </c>
      <c r="DT105" s="59">
        <f ca="1">AVERAGE(OFFSET($DS$3,0,0,'Données projet'!$E$14+1,1))-AVERAGE(OFFSET($H$3,0,0,'Données projet'!$E$14+1,1))</f>
        <v>403.89478276355294</v>
      </c>
      <c r="DU105" s="59">
        <f t="shared" si="98"/>
        <v>241.1593989733278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21.483308570844681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21.483308570844681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>
        <f>VLOOKUP(A106,'Données projet'!$A$35:$I$55,2,0)</f>
        <v>234.76923076923077</v>
      </c>
      <c r="L106" s="12">
        <f>VLOOKUP(A106,'Données projet'!$A$35:$I$55,9,0)</f>
        <v>5.2583333333333373</v>
      </c>
      <c r="M106" s="12">
        <f t="array" ref="M106">INDEX(L:L,MIN(IF(ISNUMBER(L106:L302),ROW(L106:L302),"")))</f>
        <v>5.2583333333333373</v>
      </c>
      <c r="N106" s="13">
        <f>IF('Données projet'!$A$36&gt;35,N105+M106-V105,IF(A106&lt;'Données projet'!$A$36,$K$205^A106,IF(A106='Données projet'!$A$36,'Données projet'!$B$36,N105+M106-V105)))</f>
        <v>234.76923076923046</v>
      </c>
      <c r="O106" s="13">
        <f>N106*VLOOKUP('Données projet'!$B$9,Paramètres!$A$1:$I$89,3,0)*VLOOKUP('Données projet'!$B$9,Paramètres!$A$1:$I$89,5,0)</f>
        <v>212.41919999999973</v>
      </c>
      <c r="P106" s="13">
        <f t="shared" si="87"/>
        <v>52.463888829926184</v>
      </c>
      <c r="Q106" s="20">
        <f t="shared" si="107"/>
        <v>461.33804637878757</v>
      </c>
      <c r="R106" s="59">
        <f t="shared" si="55"/>
        <v>739.55681530855031</v>
      </c>
      <c r="S106" s="59">
        <f ca="1">AVERAGE(OFFSET($R$3,0,0,'Données projet'!$E$9+1,1))-AVERAGE(OFFSET($H$3,0,0,'Données projet'!$E$9+1,1))</f>
        <v>388.1278150896951</v>
      </c>
      <c r="T106" s="59">
        <f t="shared" si="88"/>
        <v>232.26614607059227</v>
      </c>
      <c r="U106" s="15">
        <f>IF(ISNA(VLOOKUP(A106,'Données projet'!$A$35:$I$55,3,0)),0,VLOOKUP(A106,'Données projet'!$A$35:$I$55,3,0))</f>
        <v>8</v>
      </c>
      <c r="V106" s="15">
        <f>IF(ISNA(VLOOKUP(A106,'Données projet'!$A$35:$I$55,4,0)),0,VLOOKUP(A106,'Données projet'!$A$35:$I$55,4,0))</f>
        <v>39.512820512820511</v>
      </c>
      <c r="W106" s="16">
        <f>IF(ISNA(VLOOKUP(A106,'Données projet'!$A$35:$I$55,5,0)),0%,VLOOKUP(A106,'Données projet'!$A$35:$I$55,5,0)*VLOOKUP('Données projet'!$B$9,Paramètres!$A$1:$I$89,7,0))</f>
        <v>0.30099999999999999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31.922285938379908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31.922285938379908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234.76923076923077</v>
      </c>
      <c r="AG106" s="12">
        <f>VLOOKUP(A106,'Données projet'!$A$61:$I$81,9,0)</f>
        <v>5.2583333333333373</v>
      </c>
      <c r="AH106" s="12">
        <f t="array" ref="AH106">INDEX(AG:AG,MIN(IF(ISNUMBER(AG106:AG302),ROW(AG106:AG302),"")))</f>
        <v>5.2583333333333373</v>
      </c>
      <c r="AI106" s="13">
        <f>IF('Données projet'!$A$62&gt;35,AI105+AH106-AQ105,IF(A106&lt;'Données projet'!$A$62,$AF$205^A106,IF(A106='Données projet'!$A$62,'Données projet'!$B$62,AI105+AH106-AQ105)))</f>
        <v>234.76923076923046</v>
      </c>
      <c r="AJ106" s="13">
        <f>AI106*VLOOKUP('Données projet'!$B$10,Paramètres!$A$1:$I$89,3,0)*VLOOKUP('Données projet'!$B$10,Paramètres!$A$1:$I$89,5,0)</f>
        <v>238.0559999999997</v>
      </c>
      <c r="AK106" s="13">
        <f t="shared" si="89"/>
        <v>58.021071638689058</v>
      </c>
      <c r="AL106" s="20">
        <f t="shared" si="58"/>
        <v>515.6675664373829</v>
      </c>
      <c r="AM106" s="59">
        <f t="shared" si="59"/>
        <v>793.88633536714565</v>
      </c>
      <c r="AN106" s="59">
        <f ca="1">AVERAGE(OFFSET($AM$3,0,0,'Données projet'!$E$10+1,1))-AVERAGE(OFFSET($H$3,0,0,'Données projet'!$E$10+1,1))</f>
        <v>424.89201140676084</v>
      </c>
      <c r="AO106" s="59">
        <f t="shared" si="90"/>
        <v>253.0016648946303</v>
      </c>
      <c r="AP106" s="15">
        <f>IF(ISNA(VLOOKUP(A106,'Données projet'!$A$61:$I$81,3,0)),0,VLOOKUP(A106,'Données projet'!$A$61:$I$81,3,0))</f>
        <v>8</v>
      </c>
      <c r="AQ106" s="15">
        <f>IF(ISNA(VLOOKUP(A106,'Données projet'!$A$61:$I$81,4,0)),0,VLOOKUP(A106,'Données projet'!$A$61:$I$81,4,0))</f>
        <v>39.512820512820511</v>
      </c>
      <c r="AR106" s="16">
        <f>IF(ISNA(VLOOKUP(A106,'Données projet'!$A$61:$I$81,5,0)),0%,VLOOKUP(A106,'Données projet'!$A$61:$I$81,5,0)*VLOOKUP('Données projet'!$B$10,Paramètres!$A$1:$I$89,7,0))</f>
        <v>0.30099999999999999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35.774975620598163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35.774975620598163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155.99999999999991</v>
      </c>
      <c r="BE106" s="13">
        <f>BD106*VLOOKUP('Données projet'!$B$11,Paramètres!$A$1:$I$89,3,0)*VLOOKUP('Données projet'!$B$11,Paramètres!$A$1:$I$89,5,0)</f>
        <v>136.28159999999994</v>
      </c>
      <c r="BF106" s="13">
        <f t="shared" si="91"/>
        <v>35.443842312892279</v>
      </c>
      <c r="BG106" s="20">
        <f t="shared" si="61"/>
        <v>299.08847869495395</v>
      </c>
      <c r="BH106" s="59">
        <f t="shared" si="62"/>
        <v>577.30724762471664</v>
      </c>
      <c r="BI106" s="59">
        <f ca="1">AVERAGE(OFFSET($BH$3,0,0,'Données projet'!$E$11+1,1))-AVERAGE(OFFSET($H$3,0,0,'Données projet'!$E$11+1,1))</f>
        <v>218.97952644043698</v>
      </c>
      <c r="BJ106" s="59">
        <f t="shared" si="92"/>
        <v>204.10961748628714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1.1275484707672054</v>
      </c>
      <c r="BQ106" s="21">
        <f>EXP(-LN(2)/25)*BQ105+(1-EXP(-LN(2)/25))/(LN(2)/25)*Calculateur!BL106*Calculateur!BN106*VLOOKUP('Données projet'!$B$11,Paramètres!$A$1:$I$89,3,0)*0.475*44/12</f>
        <v>2.6471082164683168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3.7746566872355221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191.99999999999977</v>
      </c>
      <c r="BZ106" s="13">
        <f>BY106*VLOOKUP('Données projet'!$B$12,Paramètres!$A$1:$I$89,3,0)*VLOOKUP('Données projet'!$B$12,Paramètres!$A$1:$I$89,5,0)</f>
        <v>155.75039999999984</v>
      </c>
      <c r="CA106" s="13">
        <f t="shared" si="93"/>
        <v>39.882509755133718</v>
      </c>
      <c r="CB106" s="20">
        <f t="shared" si="64"/>
        <v>340.72731782352429</v>
      </c>
      <c r="CC106" s="59">
        <f t="shared" si="65"/>
        <v>618.94608675328698</v>
      </c>
      <c r="CD106" s="59">
        <f ca="1">AVERAGE(OFFSET($CC$3,0,0,'Données projet'!$E$12+1,1))-AVERAGE(OFFSET($H$3,0,0,'Données projet'!$E$12+1,1))</f>
        <v>256.23994291192162</v>
      </c>
      <c r="CE106" s="59">
        <f t="shared" si="94"/>
        <v>207.9118653708222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2.6362716834419575</v>
      </c>
      <c r="CL106" s="21">
        <f>EXP(-LN(2)/25)*CL105+(1-EXP(-LN(2)/25))/(LN(2)/25)*Calculateur!CG106*Calculateur!CI106*VLOOKUP('Données projet'!$B$12,Paramètres!$A$1:$I$89,3,0)*0.475*44/12</f>
        <v>6.8335226210933273</v>
      </c>
      <c r="CM106" s="21">
        <f>EXP(-LN(2)/2)*CM105+(1-EXP(-LN(2)/2))/(LN(2)/2)*CG106*CJ106*VLOOKUP('Données projet'!$B$12,Paramètres!$A$1:$I$89,3,0)*0.475*44/12</f>
        <v>2.0671314486038542E-2</v>
      </c>
      <c r="CN106" s="22">
        <f t="shared" si="66"/>
        <v>9.4904656190213235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170.99999999999991</v>
      </c>
      <c r="CU106" s="17">
        <f>CT106*VLOOKUP('Données projet'!$B$13,Paramètres!$A$1:$I$89,3,0)*VLOOKUP('Données projet'!$B$13,Paramètres!$A$1:$I$89,5,0)</f>
        <v>98.701199999999957</v>
      </c>
      <c r="CV106" s="13">
        <f t="shared" si="95"/>
        <v>26.652341328097943</v>
      </c>
      <c r="CW106" s="20">
        <f t="shared" si="67"/>
        <v>218.32408447977051</v>
      </c>
      <c r="CX106" s="59">
        <f t="shared" si="68"/>
        <v>496.54285340953322</v>
      </c>
      <c r="CY106" s="59">
        <f ca="1">AVERAGE(OFFSET($CX$3,0,0,'Données projet'!$E$13+1,1))-AVERAGE(OFFSET($H$3,0,0,'Données projet'!$E$13+1,1))</f>
        <v>205.74526926885287</v>
      </c>
      <c r="CZ106" s="59">
        <f t="shared" si="96"/>
        <v>201.56217137928999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0.69001009141588354</v>
      </c>
      <c r="DG106" s="21">
        <f>EXP(-LN(2)/25)*DG105+(1-EXP(-LN(2)/25))/(LN(2)/25)*Calculateur!DB106*Calculateur!DD106*VLOOKUP('Données projet'!$B$13,Paramètres!$A$1:$I$89,3,0)*0.475*44/12</f>
        <v>5.1696033279974269</v>
      </c>
      <c r="DH106" s="21">
        <f>EXP(-LN(2)/2)*DH105+(1-EXP(-LN(2)/2))/(LN(2)/2)*DB106*DE106*VLOOKUP('Données projet'!$B$13,Paramètres!$A$1:$I$89,3,0)*0.475*44/12</f>
        <v>2.4591110075775479E-2</v>
      </c>
      <c r="DI106" s="22">
        <f t="shared" si="69"/>
        <v>5.8842045294890859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>
        <f>VLOOKUP(A106,'Données projet'!$A$165:$I$185,2,0)</f>
        <v>234.76923076923077</v>
      </c>
      <c r="DM106" s="12">
        <f>VLOOKUP(A106,'Données projet'!$A$165:$I$185,9,0)</f>
        <v>5.2583333333333373</v>
      </c>
      <c r="DN106" s="12">
        <f t="array" ref="DN106">INDEX(DM:DM,MIN(IF(ISNUMBER(DM106:DM302),ROW(DM106:DM302),"")))</f>
        <v>5.2583333333333373</v>
      </c>
      <c r="DO106" s="12">
        <f>IF('Données projet'!$A$166&gt;35,DO105+DN106-DW105,IF(A106&lt;'Données projet'!$A$166,$DL$205^A106,IF(A106='Données projet'!$A$166,'Données projet'!$B$166,DO105+DN106-DW105)))</f>
        <v>234.76923076923046</v>
      </c>
      <c r="DP106" s="17">
        <f>DO106*VLOOKUP('Données projet'!$B$14,Paramètres!$A$1:$I$89,3,0)*VLOOKUP('Données projet'!$B$14,Paramètres!$A$1:$I$89,5,0)</f>
        <v>223.40639999999971</v>
      </c>
      <c r="DQ106" s="13">
        <f t="shared" si="97"/>
        <v>54.854586565845779</v>
      </c>
      <c r="DR106" s="20">
        <f t="shared" si="70"/>
        <v>484.63788493551419</v>
      </c>
      <c r="DS106" s="59">
        <f t="shared" si="71"/>
        <v>762.85665386527694</v>
      </c>
      <c r="DT106" s="59">
        <f ca="1">AVERAGE(OFFSET($DS$3,0,0,'Données projet'!$E$14+1,1))-AVERAGE(OFFSET($H$3,0,0,'Données projet'!$E$14+1,1))</f>
        <v>403.89478276355294</v>
      </c>
      <c r="DU106" s="59">
        <f t="shared" si="98"/>
        <v>241.1593989733278</v>
      </c>
      <c r="DV106" s="15">
        <f>IF(ISNA(VLOOKUP(A106,'Données projet'!$A$165:$I$185,3,0)),0,VLOOKUP(A106,'Données projet'!$A$165:$I$185,3,0))</f>
        <v>8</v>
      </c>
      <c r="DW106" s="15">
        <f>IF(ISNA(VLOOKUP(A106,'Données projet'!$A$165:$I$185,4,0)),0,VLOOKUP(A106,'Données projet'!$A$165:$I$185,4,0))</f>
        <v>39.512820512820511</v>
      </c>
      <c r="DX106" s="16">
        <f>IF(ISNA(VLOOKUP(A106,'Données projet'!$A$165:$I$185,5,0)),0%,VLOOKUP(A106,'Données projet'!$A$165:$I$185,5,0)*VLOOKUP('Données projet'!$B$14,Paramètres!$A$1:$I$89,7,0))</f>
        <v>0.30099999999999999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33.573438659330591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33.573438659330591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5.0961538461538449</v>
      </c>
      <c r="N107" s="13">
        <f>IF('Données projet'!$A$36&gt;35,N106+M107-V106,IF(A107&lt;'Données projet'!$A$36,$K$205^A107,IF(A107='Données projet'!$A$36,'Données projet'!$B$36,N106+M107-V106)))</f>
        <v>200.3525641025638</v>
      </c>
      <c r="O107" s="13">
        <f>N107*VLOOKUP('Données projet'!$B$9,Paramètres!$A$1:$I$89,3,0)*VLOOKUP('Données projet'!$B$9,Paramètres!$A$1:$I$89,5,0)</f>
        <v>181.27899999999974</v>
      </c>
      <c r="P107" s="13">
        <f t="shared" si="87"/>
        <v>45.606622736998297</v>
      </c>
      <c r="Q107" s="20">
        <f t="shared" si="107"/>
        <v>395.15912626693824</v>
      </c>
      <c r="R107" s="59">
        <f t="shared" si="55"/>
        <v>673.64009909799915</v>
      </c>
      <c r="S107" s="59">
        <f ca="1">AVERAGE(OFFSET($R$3,0,0,'Données projet'!$E$9+1,1))-AVERAGE(OFFSET($H$3,0,0,'Données projet'!$E$9+1,1))</f>
        <v>388.1278150896951</v>
      </c>
      <c r="T107" s="59">
        <f t="shared" si="88"/>
        <v>232.26614607059227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31.296309381800132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31.296309381800132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5.0961538461538449</v>
      </c>
      <c r="AI107" s="13">
        <f>IF('Données projet'!$A$62&gt;35,AI106+AH107-AQ106,IF(A107&lt;'Données projet'!$A$62,$AF$205^A107,IF(A107='Données projet'!$A$62,'Données projet'!$B$62,AI106+AH107-AQ106)))</f>
        <v>200.3525641025638</v>
      </c>
      <c r="AJ107" s="13">
        <f>AI107*VLOOKUP('Données projet'!$B$10,Paramètres!$A$1:$I$89,3,0)*VLOOKUP('Données projet'!$B$10,Paramètres!$A$1:$I$89,5,0)</f>
        <v>203.15749999999971</v>
      </c>
      <c r="AK107" s="13">
        <f t="shared" si="89"/>
        <v>50.437456773365234</v>
      </c>
      <c r="AL107" s="20">
        <f t="shared" si="58"/>
        <v>441.67788304694392</v>
      </c>
      <c r="AM107" s="59">
        <f t="shared" si="59"/>
        <v>720.15885587800483</v>
      </c>
      <c r="AN107" s="59">
        <f ca="1">AVERAGE(OFFSET($AM$3,0,0,'Données projet'!$E$10+1,1))-AVERAGE(OFFSET($H$3,0,0,'Données projet'!$E$10+1,1))</f>
        <v>424.89201140676084</v>
      </c>
      <c r="AO107" s="59">
        <f t="shared" si="90"/>
        <v>253.0016648946303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35.073450169258756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35.073450169258756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155.99999999999991</v>
      </c>
      <c r="BE107" s="13">
        <f>BD107*VLOOKUP('Données projet'!$B$11,Paramètres!$A$1:$I$89,3,0)*VLOOKUP('Données projet'!$B$11,Paramètres!$A$1:$I$89,5,0)</f>
        <v>136.28159999999994</v>
      </c>
      <c r="BF107" s="13">
        <f t="shared" si="91"/>
        <v>35.443842312892279</v>
      </c>
      <c r="BG107" s="20">
        <f t="shared" si="61"/>
        <v>299.08847869495395</v>
      </c>
      <c r="BH107" s="59">
        <f t="shared" si="62"/>
        <v>577.56945152601486</v>
      </c>
      <c r="BI107" s="59">
        <f ca="1">AVERAGE(OFFSET($BH$3,0,0,'Données projet'!$E$11+1,1))-AVERAGE(OFFSET($H$3,0,0,'Données projet'!$E$11+1,1))</f>
        <v>218.97952644043698</v>
      </c>
      <c r="BJ107" s="59">
        <f t="shared" si="92"/>
        <v>204.10961748628714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1.1054379329921193</v>
      </c>
      <c r="BQ107" s="21">
        <f>EXP(-LN(2)/25)*BQ106+(1-EXP(-LN(2)/25))/(LN(2)/25)*Calculateur!BL107*Calculateur!BN107*VLOOKUP('Données projet'!$B$11,Paramètres!$A$1:$I$89,3,0)*0.475*44/12</f>
        <v>2.5747229030836198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3.6801608360757392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191.99999999999977</v>
      </c>
      <c r="BZ107" s="13">
        <f>BY107*VLOOKUP('Données projet'!$B$12,Paramètres!$A$1:$I$89,3,0)*VLOOKUP('Données projet'!$B$12,Paramètres!$A$1:$I$89,5,0)</f>
        <v>155.75039999999984</v>
      </c>
      <c r="CA107" s="13">
        <f t="shared" si="93"/>
        <v>39.882509755133718</v>
      </c>
      <c r="CB107" s="20">
        <f t="shared" si="64"/>
        <v>340.72731782352429</v>
      </c>
      <c r="CC107" s="59">
        <f t="shared" si="65"/>
        <v>619.2082906545852</v>
      </c>
      <c r="CD107" s="59">
        <f ca="1">AVERAGE(OFFSET($CC$3,0,0,'Données projet'!$E$12+1,1))-AVERAGE(OFFSET($H$3,0,0,'Données projet'!$E$12+1,1))</f>
        <v>256.23994291192162</v>
      </c>
      <c r="CE107" s="59">
        <f t="shared" si="94"/>
        <v>207.9118653708222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2.5845760036966139</v>
      </c>
      <c r="CL107" s="21">
        <f>EXP(-LN(2)/25)*CL106+(1-EXP(-LN(2)/25))/(LN(2)/25)*Calculateur!CG107*Calculateur!CI107*VLOOKUP('Données projet'!$B$12,Paramètres!$A$1:$I$89,3,0)*0.475*44/12</f>
        <v>6.6466595856601938</v>
      </c>
      <c r="CM107" s="21">
        <f>EXP(-LN(2)/2)*CM106+(1-EXP(-LN(2)/2))/(LN(2)/2)*CG107*CJ107*VLOOKUP('Données projet'!$B$12,Paramètres!$A$1:$I$89,3,0)*0.475*44/12</f>
        <v>1.4616826649117566E-2</v>
      </c>
      <c r="CN107" s="22">
        <f t="shared" si="66"/>
        <v>9.2458524160059241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170.99999999999991</v>
      </c>
      <c r="CU107" s="17">
        <f>CT107*VLOOKUP('Données projet'!$B$13,Paramètres!$A$1:$I$89,3,0)*VLOOKUP('Données projet'!$B$13,Paramètres!$A$1:$I$89,5,0)</f>
        <v>98.701199999999957</v>
      </c>
      <c r="CV107" s="13">
        <f t="shared" si="95"/>
        <v>26.652341328097943</v>
      </c>
      <c r="CW107" s="20">
        <f t="shared" si="67"/>
        <v>218.32408447977051</v>
      </c>
      <c r="CX107" s="59">
        <f t="shared" si="68"/>
        <v>496.80505731083144</v>
      </c>
      <c r="CY107" s="59">
        <f ca="1">AVERAGE(OFFSET($CX$3,0,0,'Données projet'!$E$13+1,1))-AVERAGE(OFFSET($H$3,0,0,'Données projet'!$E$13+1,1))</f>
        <v>205.74526926885287</v>
      </c>
      <c r="CZ107" s="59">
        <f t="shared" si="96"/>
        <v>201.56217137928999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0.67647941438781689</v>
      </c>
      <c r="DG107" s="21">
        <f>EXP(-LN(2)/25)*DG106+(1-EXP(-LN(2)/25))/(LN(2)/25)*Calculateur!DB107*Calculateur!DD107*VLOOKUP('Données projet'!$B$13,Paramètres!$A$1:$I$89,3,0)*0.475*44/12</f>
        <v>5.0282402531357135</v>
      </c>
      <c r="DH107" s="21">
        <f>EXP(-LN(2)/2)*DH106+(1-EXP(-LN(2)/2))/(LN(2)/2)*DB107*DE107*VLOOKUP('Données projet'!$B$13,Paramètres!$A$1:$I$89,3,0)*0.475*44/12</f>
        <v>1.7388540691485675E-2</v>
      </c>
      <c r="DI107" s="22">
        <f t="shared" si="69"/>
        <v>5.7221082082150163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5.0961538461538449</v>
      </c>
      <c r="DO107" s="12">
        <f>IF('Données projet'!$A$166&gt;35,DO106+DN107-DW106,IF(A107&lt;'Données projet'!$A$166,$DL$205^A107,IF(A107='Données projet'!$A$166,'Données projet'!$B$166,DO106+DN107-DW106)))</f>
        <v>200.3525641025638</v>
      </c>
      <c r="DP107" s="17">
        <f>DO107*VLOOKUP('Données projet'!$B$14,Paramètres!$A$1:$I$89,3,0)*VLOOKUP('Données projet'!$B$14,Paramètres!$A$1:$I$89,5,0)</f>
        <v>190.65549999999971</v>
      </c>
      <c r="DQ107" s="13">
        <f t="shared" si="97"/>
        <v>47.684845532752689</v>
      </c>
      <c r="DR107" s="20">
        <f t="shared" si="70"/>
        <v>415.10943513621038</v>
      </c>
      <c r="DS107" s="59">
        <f t="shared" si="71"/>
        <v>693.59040796727129</v>
      </c>
      <c r="DT107" s="59">
        <f ca="1">AVERAGE(OFFSET($DS$3,0,0,'Données projet'!$E$14+1,1))-AVERAGE(OFFSET($H$3,0,0,'Données projet'!$E$14+1,1))</f>
        <v>403.89478276355294</v>
      </c>
      <c r="DU107" s="59">
        <f t="shared" si="98"/>
        <v>241.1593989733278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32.915084004996686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32.915084004996686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5.0961538461538449</v>
      </c>
      <c r="N108" s="13">
        <f>IF('Données projet'!$A$36&gt;35,N107+M108-V107,IF(A108&lt;'Données projet'!$A$36,$K$205^A108,IF(A108='Données projet'!$A$36,'Données projet'!$B$36,N107+M108-V107)))</f>
        <v>205.44871794871764</v>
      </c>
      <c r="O108" s="13">
        <f>N108*VLOOKUP('Données projet'!$B$9,Paramètres!$A$1:$I$89,3,0)*VLOOKUP('Données projet'!$B$9,Paramètres!$A$1:$I$89,5,0)</f>
        <v>185.8899999999997</v>
      </c>
      <c r="P108" s="13">
        <f t="shared" si="87"/>
        <v>46.630136922287527</v>
      </c>
      <c r="Q108" s="20">
        <f t="shared" si="107"/>
        <v>404.97257180631692</v>
      </c>
      <c r="R108" s="59">
        <f t="shared" si="55"/>
        <v>683.71119988718874</v>
      </c>
      <c r="S108" s="59">
        <f ca="1">AVERAGE(OFFSET($R$3,0,0,'Données projet'!$E$9+1,1))-AVERAGE(OFFSET($H$3,0,0,'Données projet'!$E$9+1,1))</f>
        <v>388.1278150896951</v>
      </c>
      <c r="T108" s="59">
        <f t="shared" si="88"/>
        <v>232.26614607059227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30.682607843686885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30.682607843686885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5.0961538461538449</v>
      </c>
      <c r="AI108" s="13">
        <f>IF('Données projet'!$A$62&gt;35,AI107+AH108-AQ107,IF(A108&lt;'Données projet'!$A$62,$AF$205^A108,IF(A108='Données projet'!$A$62,'Données projet'!$B$62,AI107+AH108-AQ107)))</f>
        <v>205.44871794871764</v>
      </c>
      <c r="AJ108" s="13">
        <f>AI108*VLOOKUP('Données projet'!$B$10,Paramètres!$A$1:$I$89,3,0)*VLOOKUP('Données projet'!$B$10,Paramètres!$A$1:$I$89,5,0)</f>
        <v>208.32499999999973</v>
      </c>
      <c r="AK108" s="13">
        <f t="shared" si="89"/>
        <v>51.569385633240543</v>
      </c>
      <c r="AL108" s="20">
        <f t="shared" si="58"/>
        <v>452.64938831122686</v>
      </c>
      <c r="AM108" s="59">
        <f t="shared" si="59"/>
        <v>731.38801639209862</v>
      </c>
      <c r="AN108" s="59">
        <f ca="1">AVERAGE(OFFSET($AM$3,0,0,'Données projet'!$E$10+1,1))-AVERAGE(OFFSET($H$3,0,0,'Données projet'!$E$10+1,1))</f>
        <v>424.89201140676084</v>
      </c>
      <c r="AO108" s="59">
        <f t="shared" si="90"/>
        <v>253.0016648946303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34.385681204131842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34.385681204131842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155.99999999999991</v>
      </c>
      <c r="BE108" s="13">
        <f>BD108*VLOOKUP('Données projet'!$B$11,Paramètres!$A$1:$I$89,3,0)*VLOOKUP('Données projet'!$B$11,Paramètres!$A$1:$I$89,5,0)</f>
        <v>136.28159999999994</v>
      </c>
      <c r="BF108" s="13">
        <f t="shared" si="91"/>
        <v>35.443842312892279</v>
      </c>
      <c r="BG108" s="20">
        <f t="shared" si="61"/>
        <v>299.08847869495395</v>
      </c>
      <c r="BH108" s="59">
        <f t="shared" si="62"/>
        <v>577.82710677582577</v>
      </c>
      <c r="BI108" s="59">
        <f ca="1">AVERAGE(OFFSET($BH$3,0,0,'Données projet'!$E$11+1,1))-AVERAGE(OFFSET($H$3,0,0,'Données projet'!$E$11+1,1))</f>
        <v>218.97952644043698</v>
      </c>
      <c r="BJ108" s="59">
        <f t="shared" si="92"/>
        <v>204.10961748628714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1.0837609693767063</v>
      </c>
      <c r="BQ108" s="21">
        <f>EXP(-LN(2)/25)*BQ107+(1-EXP(-LN(2)/25))/(LN(2)/25)*Calculateur!BL108*Calculateur!BN108*VLOOKUP('Données projet'!$B$11,Paramètres!$A$1:$I$89,3,0)*0.475*44/12</f>
        <v>2.5043169699000054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3.5880779392767117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191.99999999999977</v>
      </c>
      <c r="BZ108" s="13">
        <f>BY108*VLOOKUP('Données projet'!$B$12,Paramètres!$A$1:$I$89,3,0)*VLOOKUP('Données projet'!$B$12,Paramètres!$A$1:$I$89,5,0)</f>
        <v>155.75039999999984</v>
      </c>
      <c r="CA108" s="13">
        <f t="shared" si="93"/>
        <v>39.882509755133718</v>
      </c>
      <c r="CB108" s="20">
        <f t="shared" si="64"/>
        <v>340.72731782352429</v>
      </c>
      <c r="CC108" s="59">
        <f t="shared" si="65"/>
        <v>619.46594590439599</v>
      </c>
      <c r="CD108" s="59">
        <f ca="1">AVERAGE(OFFSET($CC$3,0,0,'Données projet'!$E$12+1,1))-AVERAGE(OFFSET($H$3,0,0,'Données projet'!$E$12+1,1))</f>
        <v>256.23994291192162</v>
      </c>
      <c r="CE108" s="59">
        <f t="shared" si="94"/>
        <v>207.9118653708222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2.5338940446998253</v>
      </c>
      <c r="CL108" s="21">
        <f>EXP(-LN(2)/25)*CL107+(1-EXP(-LN(2)/25))/(LN(2)/25)*Calculateur!CG108*Calculateur!CI108*VLOOKUP('Données projet'!$B$12,Paramètres!$A$1:$I$89,3,0)*0.475*44/12</f>
        <v>6.464906329757679</v>
      </c>
      <c r="CM108" s="21">
        <f>EXP(-LN(2)/2)*CM107+(1-EXP(-LN(2)/2))/(LN(2)/2)*CG108*CJ108*VLOOKUP('Données projet'!$B$12,Paramètres!$A$1:$I$89,3,0)*0.475*44/12</f>
        <v>1.0335657243019273E-2</v>
      </c>
      <c r="CN108" s="22">
        <f t="shared" si="66"/>
        <v>9.0091360317005229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170.99999999999991</v>
      </c>
      <c r="CU108" s="17">
        <f>CT108*VLOOKUP('Données projet'!$B$13,Paramètres!$A$1:$I$89,3,0)*VLOOKUP('Données projet'!$B$13,Paramètres!$A$1:$I$89,5,0)</f>
        <v>98.701199999999957</v>
      </c>
      <c r="CV108" s="13">
        <f t="shared" si="95"/>
        <v>26.652341328097943</v>
      </c>
      <c r="CW108" s="20">
        <f t="shared" si="67"/>
        <v>218.32408447977051</v>
      </c>
      <c r="CX108" s="59">
        <f t="shared" si="68"/>
        <v>497.06271256064224</v>
      </c>
      <c r="CY108" s="59">
        <f ca="1">AVERAGE(OFFSET($CX$3,0,0,'Données projet'!$E$13+1,1))-AVERAGE(OFFSET($H$3,0,0,'Données projet'!$E$13+1,1))</f>
        <v>205.74526926885287</v>
      </c>
      <c r="CZ108" s="59">
        <f t="shared" si="96"/>
        <v>201.56217137928999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0.6632140656833726</v>
      </c>
      <c r="DG108" s="21">
        <f>EXP(-LN(2)/25)*DG107+(1-EXP(-LN(2)/25))/(LN(2)/25)*Calculateur!DB108*Calculateur!DD108*VLOOKUP('Données projet'!$B$13,Paramètres!$A$1:$I$89,3,0)*0.475*44/12</f>
        <v>4.8907427589900552</v>
      </c>
      <c r="DH108" s="21">
        <f>EXP(-LN(2)/2)*DH107+(1-EXP(-LN(2)/2))/(LN(2)/2)*DB108*DE108*VLOOKUP('Données projet'!$B$13,Paramètres!$A$1:$I$89,3,0)*0.475*44/12</f>
        <v>1.2295555037887739E-2</v>
      </c>
      <c r="DI108" s="22">
        <f t="shared" si="69"/>
        <v>5.5662523797113153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5.0961538461538449</v>
      </c>
      <c r="DO108" s="12">
        <f>IF('Données projet'!$A$166&gt;35,DO107+DN108-DW107,IF(A108&lt;'Données projet'!$A$166,$DL$205^A108,IF(A108='Données projet'!$A$166,'Données projet'!$B$166,DO107+DN108-DW107)))</f>
        <v>205.44871794871764</v>
      </c>
      <c r="DP108" s="17">
        <f>DO108*VLOOKUP('Données projet'!$B$14,Paramètres!$A$1:$I$89,3,0)*VLOOKUP('Données projet'!$B$14,Paramètres!$A$1:$I$89,5,0)</f>
        <v>195.50499999999971</v>
      </c>
      <c r="DQ108" s="13">
        <f t="shared" si="97"/>
        <v>48.754999666014264</v>
      </c>
      <c r="DR108" s="20">
        <f t="shared" si="70"/>
        <v>425.41949941830768</v>
      </c>
      <c r="DS108" s="59">
        <f t="shared" si="71"/>
        <v>704.1581274991795</v>
      </c>
      <c r="DT108" s="59">
        <f ca="1">AVERAGE(OFFSET($DS$3,0,0,'Données projet'!$E$14+1,1))-AVERAGE(OFFSET($H$3,0,0,'Données projet'!$E$14+1,1))</f>
        <v>403.89478276355294</v>
      </c>
      <c r="DU108" s="59">
        <f t="shared" si="98"/>
        <v>241.1593989733278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32.269639283877581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32.269639283877581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5.0961538461538449</v>
      </c>
      <c r="N109" s="13">
        <f>IF('Données projet'!$A$36&gt;35,N108+M109-V108,IF(A109&lt;'Données projet'!$A$36,$K$205^A109,IF(A109='Données projet'!$A$36,'Données projet'!$B$36,N108+M109-V108)))</f>
        <v>210.54487179487148</v>
      </c>
      <c r="O109" s="13">
        <f>N109*VLOOKUP('Données projet'!$B$9,Paramètres!$A$1:$I$89,3,0)*VLOOKUP('Données projet'!$B$9,Paramètres!$A$1:$I$89,5,0)</f>
        <v>190.50099999999969</v>
      </c>
      <c r="P109" s="13">
        <f t="shared" si="87"/>
        <v>47.65069985627148</v>
      </c>
      <c r="Q109" s="20">
        <f t="shared" si="107"/>
        <v>414.78087724967219</v>
      </c>
      <c r="R109" s="59">
        <f t="shared" si="55"/>
        <v>693.77269083780129</v>
      </c>
      <c r="S109" s="59">
        <f ca="1">AVERAGE(OFFSET($R$3,0,0,'Données projet'!$E$9+1,1))-AVERAGE(OFFSET($H$3,0,0,'Données projet'!$E$9+1,1))</f>
        <v>388.1278150896951</v>
      </c>
      <c r="T109" s="59">
        <f t="shared" si="88"/>
        <v>232.26614607059227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30.080940618415063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30.080940618415063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5.0961538461538449</v>
      </c>
      <c r="AI109" s="13">
        <f>IF('Données projet'!$A$62&gt;35,AI108+AH109-AQ108,IF(A109&lt;'Données projet'!$A$62,$AF$205^A109,IF(A109='Données projet'!$A$62,'Données projet'!$B$62,AI108+AH109-AQ108)))</f>
        <v>210.54487179487148</v>
      </c>
      <c r="AJ109" s="13">
        <f>AI109*VLOOKUP('Données projet'!$B$10,Paramètres!$A$1:$I$89,3,0)*VLOOKUP('Données projet'!$B$10,Paramètres!$A$1:$I$89,5,0)</f>
        <v>213.49249999999969</v>
      </c>
      <c r="AK109" s="13">
        <f t="shared" si="89"/>
        <v>52.698050633588259</v>
      </c>
      <c r="AL109" s="20">
        <f t="shared" si="58"/>
        <v>463.61520902016565</v>
      </c>
      <c r="AM109" s="59">
        <f t="shared" si="59"/>
        <v>742.60702260829476</v>
      </c>
      <c r="AN109" s="59">
        <f ca="1">AVERAGE(OFFSET($AM$3,0,0,'Données projet'!$E$10+1,1))-AVERAGE(OFFSET($H$3,0,0,'Données projet'!$E$10+1,1))</f>
        <v>424.89201140676084</v>
      </c>
      <c r="AO109" s="59">
        <f t="shared" si="90"/>
        <v>253.0016648946303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33.711398968913421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33.711398968913421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155.99999999999991</v>
      </c>
      <c r="BE109" s="13">
        <f>BD109*VLOOKUP('Données projet'!$B$11,Paramètres!$A$1:$I$89,3,0)*VLOOKUP('Données projet'!$B$11,Paramètres!$A$1:$I$89,5,0)</f>
        <v>136.28159999999994</v>
      </c>
      <c r="BF109" s="13">
        <f t="shared" si="91"/>
        <v>35.443842312892279</v>
      </c>
      <c r="BG109" s="20">
        <f t="shared" si="61"/>
        <v>299.08847869495395</v>
      </c>
      <c r="BH109" s="59">
        <f t="shared" si="62"/>
        <v>578.08029228308305</v>
      </c>
      <c r="BI109" s="59">
        <f ca="1">AVERAGE(OFFSET($BH$3,0,0,'Données projet'!$E$11+1,1))-AVERAGE(OFFSET($H$3,0,0,'Données projet'!$E$11+1,1))</f>
        <v>218.97952644043698</v>
      </c>
      <c r="BJ109" s="59">
        <f t="shared" si="92"/>
        <v>204.10961748628714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1.0625090777961492</v>
      </c>
      <c r="BQ109" s="21">
        <f>EXP(-LN(2)/25)*BQ108+(1-EXP(-LN(2)/25))/(LN(2)/25)*Calculateur!BL109*Calculateur!BN109*VLOOKUP('Données projet'!$B$11,Paramètres!$A$1:$I$89,3,0)*0.475*44/12</f>
        <v>2.4358362906617841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3.4983453684579331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191.99999999999977</v>
      </c>
      <c r="BZ109" s="13">
        <f>BY109*VLOOKUP('Données projet'!$B$12,Paramètres!$A$1:$I$89,3,0)*VLOOKUP('Données projet'!$B$12,Paramètres!$A$1:$I$89,5,0)</f>
        <v>155.75039999999984</v>
      </c>
      <c r="CA109" s="13">
        <f t="shared" si="93"/>
        <v>39.882509755133718</v>
      </c>
      <c r="CB109" s="20">
        <f t="shared" si="64"/>
        <v>340.72731782352429</v>
      </c>
      <c r="CC109" s="59">
        <f t="shared" si="65"/>
        <v>619.71913141165339</v>
      </c>
      <c r="CD109" s="59">
        <f ca="1">AVERAGE(OFFSET($CC$3,0,0,'Données projet'!$E$12+1,1))-AVERAGE(OFFSET($H$3,0,0,'Données projet'!$E$12+1,1))</f>
        <v>256.23994291192162</v>
      </c>
      <c r="CE109" s="59">
        <f t="shared" si="94"/>
        <v>207.9118653708222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2.4842059280060211</v>
      </c>
      <c r="CL109" s="21">
        <f>EXP(-LN(2)/25)*CL108+(1-EXP(-LN(2)/25))/(LN(2)/25)*Calculateur!CG109*Calculateur!CI109*VLOOKUP('Données projet'!$B$12,Paramètres!$A$1:$I$89,3,0)*0.475*44/12</f>
        <v>6.2881231261958073</v>
      </c>
      <c r="CM109" s="21">
        <f>EXP(-LN(2)/2)*CM108+(1-EXP(-LN(2)/2))/(LN(2)/2)*CG109*CJ109*VLOOKUP('Données projet'!$B$12,Paramètres!$A$1:$I$89,3,0)*0.475*44/12</f>
        <v>7.3084133245587849E-3</v>
      </c>
      <c r="CN109" s="22">
        <f t="shared" si="66"/>
        <v>8.7796374675263866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170.99999999999991</v>
      </c>
      <c r="CU109" s="17">
        <f>CT109*VLOOKUP('Données projet'!$B$13,Paramètres!$A$1:$I$89,3,0)*VLOOKUP('Données projet'!$B$13,Paramètres!$A$1:$I$89,5,0)</f>
        <v>98.701199999999957</v>
      </c>
      <c r="CV109" s="13">
        <f t="shared" si="95"/>
        <v>26.652341328097943</v>
      </c>
      <c r="CW109" s="20">
        <f t="shared" si="67"/>
        <v>218.32408447977051</v>
      </c>
      <c r="CX109" s="59">
        <f t="shared" si="68"/>
        <v>497.31589806789964</v>
      </c>
      <c r="CY109" s="59">
        <f ca="1">AVERAGE(OFFSET($CX$3,0,0,'Données projet'!$E$13+1,1))-AVERAGE(OFFSET($H$3,0,0,'Données projet'!$E$13+1,1))</f>
        <v>205.74526926885287</v>
      </c>
      <c r="CZ109" s="59">
        <f t="shared" si="96"/>
        <v>201.56217137928999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0.65020884237595866</v>
      </c>
      <c r="DG109" s="21">
        <f>EXP(-LN(2)/25)*DG108+(1-EXP(-LN(2)/25))/(LN(2)/25)*Calculateur!DB109*Calculateur!DD109*VLOOKUP('Données projet'!$B$13,Paramètres!$A$1:$I$89,3,0)*0.475*44/12</f>
        <v>4.7570051410524883</v>
      </c>
      <c r="DH109" s="21">
        <f>EXP(-LN(2)/2)*DH108+(1-EXP(-LN(2)/2))/(LN(2)/2)*DB109*DE109*VLOOKUP('Données projet'!$B$13,Paramètres!$A$1:$I$89,3,0)*0.475*44/12</f>
        <v>8.6942703457428376E-3</v>
      </c>
      <c r="DI109" s="22">
        <f t="shared" si="69"/>
        <v>5.4159082537741892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5.0961538461538449</v>
      </c>
      <c r="DO109" s="12">
        <f>IF('Données projet'!$A$166&gt;35,DO108+DN109-DW108,IF(A109&lt;'Données projet'!$A$166,$DL$205^A109,IF(A109='Données projet'!$A$166,'Données projet'!$B$166,DO108+DN109-DW108)))</f>
        <v>210.54487179487148</v>
      </c>
      <c r="DP109" s="17">
        <f>DO109*VLOOKUP('Données projet'!$B$14,Paramètres!$A$1:$I$89,3,0)*VLOOKUP('Données projet'!$B$14,Paramètres!$A$1:$I$89,5,0)</f>
        <v>200.35449999999972</v>
      </c>
      <c r="DQ109" s="13">
        <f t="shared" si="97"/>
        <v>49.822068064043179</v>
      </c>
      <c r="DR109" s="20">
        <f t="shared" si="70"/>
        <v>435.724189378208</v>
      </c>
      <c r="DS109" s="59">
        <f t="shared" si="71"/>
        <v>714.7160029663371</v>
      </c>
      <c r="DT109" s="59">
        <f ca="1">AVERAGE(OFFSET($DS$3,0,0,'Données projet'!$E$14+1,1))-AVERAGE(OFFSET($H$3,0,0,'Données projet'!$E$14+1,1))</f>
        <v>403.89478276355294</v>
      </c>
      <c r="DU109" s="59">
        <f t="shared" si="98"/>
        <v>241.1593989733278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31.636851340057216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31.636851340057216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5.0961538461538449</v>
      </c>
      <c r="N110" s="13">
        <f>IF('Données projet'!$A$36&gt;35,N109+M110-V109,IF(A110&lt;'Données projet'!$A$36,$K$205^A110,IF(A110='Données projet'!$A$36,'Données projet'!$B$36,N109+M110-V109)))</f>
        <v>215.64102564102532</v>
      </c>
      <c r="O110" s="13">
        <f>N110*VLOOKUP('Données projet'!$B$9,Paramètres!$A$1:$I$89,3,0)*VLOOKUP('Données projet'!$B$9,Paramètres!$A$1:$I$89,5,0)</f>
        <v>195.11199999999971</v>
      </c>
      <c r="P110" s="13">
        <f t="shared" si="87"/>
        <v>48.668391191190658</v>
      </c>
      <c r="Q110" s="20">
        <f t="shared" si="107"/>
        <v>424.58418132465653</v>
      </c>
      <c r="R110" s="59">
        <f t="shared" si="55"/>
        <v>703.82478821753011</v>
      </c>
      <c r="S110" s="59">
        <f ca="1">AVERAGE(OFFSET($R$3,0,0,'Données projet'!$E$9+1,1))-AVERAGE(OFFSET($H$3,0,0,'Données projet'!$E$9+1,1))</f>
        <v>388.1278150896951</v>
      </c>
      <c r="T110" s="59">
        <f t="shared" si="88"/>
        <v>232.26614607059227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29.491071720450051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29.491071720450051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5.0961538461538449</v>
      </c>
      <c r="AI110" s="13">
        <f>IF('Données projet'!$A$62&gt;35,AI109+AH110-AQ109,IF(A110&lt;'Données projet'!$A$62,$AF$205^A110,IF(A110='Données projet'!$A$62,'Données projet'!$B$62,AI109+AH110-AQ109)))</f>
        <v>215.64102564102532</v>
      </c>
      <c r="AJ110" s="13">
        <f>AI110*VLOOKUP('Données projet'!$B$10,Paramètres!$A$1:$I$89,3,0)*VLOOKUP('Données projet'!$B$10,Paramètres!$A$1:$I$89,5,0)</f>
        <v>218.65999999999968</v>
      </c>
      <c r="AK110" s="13">
        <f t="shared" si="89"/>
        <v>53.823539863729678</v>
      </c>
      <c r="AL110" s="20">
        <f t="shared" si="58"/>
        <v>474.57549859599521</v>
      </c>
      <c r="AM110" s="59">
        <f t="shared" si="59"/>
        <v>753.81610548886886</v>
      </c>
      <c r="AN110" s="59">
        <f ca="1">AVERAGE(OFFSET($AM$3,0,0,'Données projet'!$E$10+1,1))-AVERAGE(OFFSET($H$3,0,0,'Données projet'!$E$10+1,1))</f>
        <v>424.89201140676084</v>
      </c>
      <c r="AO110" s="59">
        <f t="shared" si="90"/>
        <v>253.0016648946303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33.05033899705608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33.05033899705608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155.99999999999991</v>
      </c>
      <c r="BE110" s="13">
        <f>BD110*VLOOKUP('Données projet'!$B$11,Paramètres!$A$1:$I$89,3,0)*VLOOKUP('Données projet'!$B$11,Paramètres!$A$1:$I$89,5,0)</f>
        <v>136.28159999999994</v>
      </c>
      <c r="BF110" s="13">
        <f t="shared" si="91"/>
        <v>35.443842312892279</v>
      </c>
      <c r="BG110" s="20">
        <f t="shared" si="61"/>
        <v>299.08847869495395</v>
      </c>
      <c r="BH110" s="59">
        <f t="shared" si="62"/>
        <v>578.32908558782765</v>
      </c>
      <c r="BI110" s="59">
        <f ca="1">AVERAGE(OFFSET($BH$3,0,0,'Données projet'!$E$11+1,1))-AVERAGE(OFFSET($H$3,0,0,'Données projet'!$E$11+1,1))</f>
        <v>218.97952644043698</v>
      </c>
      <c r="BJ110" s="59">
        <f t="shared" si="92"/>
        <v>204.10961748628714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1.041673922847113</v>
      </c>
      <c r="BQ110" s="21">
        <f>EXP(-LN(2)/25)*BQ109+(1-EXP(-LN(2)/25))/(LN(2)/25)*Calculateur!BL110*Calculateur!BN110*VLOOKUP('Données projet'!$B$11,Paramètres!$A$1:$I$89,3,0)*0.475*44/12</f>
        <v>2.3692282191985741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3.4109021420456873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191.99999999999977</v>
      </c>
      <c r="BZ110" s="13">
        <f>BY110*VLOOKUP('Données projet'!$B$12,Paramètres!$A$1:$I$89,3,0)*VLOOKUP('Données projet'!$B$12,Paramètres!$A$1:$I$89,5,0)</f>
        <v>155.75039999999984</v>
      </c>
      <c r="CA110" s="13">
        <f t="shared" si="93"/>
        <v>39.882509755133718</v>
      </c>
      <c r="CB110" s="20">
        <f t="shared" si="64"/>
        <v>340.72731782352429</v>
      </c>
      <c r="CC110" s="59">
        <f t="shared" si="65"/>
        <v>619.96792471639787</v>
      </c>
      <c r="CD110" s="59">
        <f ca="1">AVERAGE(OFFSET($CC$3,0,0,'Données projet'!$E$12+1,1))-AVERAGE(OFFSET($H$3,0,0,'Données projet'!$E$12+1,1))</f>
        <v>256.23994291192162</v>
      </c>
      <c r="CE110" s="59">
        <f t="shared" si="94"/>
        <v>207.9118653708222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2.4354921649738239</v>
      </c>
      <c r="CL110" s="21">
        <f>EXP(-LN(2)/25)*CL109+(1-EXP(-LN(2)/25))/(LN(2)/25)*Calculateur!CG110*Calculateur!CI110*VLOOKUP('Données projet'!$B$12,Paramètres!$A$1:$I$89,3,0)*0.475*44/12</f>
        <v>6.1161740686319597</v>
      </c>
      <c r="CM110" s="21">
        <f>EXP(-LN(2)/2)*CM109+(1-EXP(-LN(2)/2))/(LN(2)/2)*CG110*CJ110*VLOOKUP('Données projet'!$B$12,Paramètres!$A$1:$I$89,3,0)*0.475*44/12</f>
        <v>5.1678286215096373E-3</v>
      </c>
      <c r="CN110" s="22">
        <f t="shared" si="66"/>
        <v>8.556834062227292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170.99999999999991</v>
      </c>
      <c r="CU110" s="17">
        <f>CT110*VLOOKUP('Données projet'!$B$13,Paramètres!$A$1:$I$89,3,0)*VLOOKUP('Données projet'!$B$13,Paramètres!$A$1:$I$89,5,0)</f>
        <v>98.701199999999957</v>
      </c>
      <c r="CV110" s="13">
        <f t="shared" si="95"/>
        <v>26.652341328097943</v>
      </c>
      <c r="CW110" s="20">
        <f t="shared" si="67"/>
        <v>218.32408447977051</v>
      </c>
      <c r="CX110" s="59">
        <f t="shared" si="68"/>
        <v>497.56469137264412</v>
      </c>
      <c r="CY110" s="59">
        <f ca="1">AVERAGE(OFFSET($CX$3,0,0,'Données projet'!$E$13+1,1))-AVERAGE(OFFSET($H$3,0,0,'Données projet'!$E$13+1,1))</f>
        <v>205.74526926885287</v>
      </c>
      <c r="CZ110" s="59">
        <f t="shared" si="96"/>
        <v>201.56217137928999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0.6374586435652001</v>
      </c>
      <c r="DG110" s="21">
        <f>EXP(-LN(2)/25)*DG109+(1-EXP(-LN(2)/25))/(LN(2)/25)*Calculateur!DB110*Calculateur!DD110*VLOOKUP('Données projet'!$B$13,Paramètres!$A$1:$I$89,3,0)*0.475*44/12</f>
        <v>4.6269245853103795</v>
      </c>
      <c r="DH110" s="21">
        <f>EXP(-LN(2)/2)*DH109+(1-EXP(-LN(2)/2))/(LN(2)/2)*DB110*DE110*VLOOKUP('Données projet'!$B$13,Paramètres!$A$1:$I$89,3,0)*0.475*44/12</f>
        <v>6.1477775189438697E-3</v>
      </c>
      <c r="DI110" s="22">
        <f t="shared" si="69"/>
        <v>5.2705310063945232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5.0961538461538449</v>
      </c>
      <c r="DO110" s="12">
        <f>IF('Données projet'!$A$166&gt;35,DO109+DN110-DW109,IF(A110&lt;'Données projet'!$A$166,$DL$205^A110,IF(A110='Données projet'!$A$166,'Données projet'!$B$166,DO109+DN110-DW109)))</f>
        <v>215.64102564102532</v>
      </c>
      <c r="DP110" s="17">
        <f>DO110*VLOOKUP('Données projet'!$B$14,Paramètres!$A$1:$I$89,3,0)*VLOOKUP('Données projet'!$B$14,Paramètres!$A$1:$I$89,5,0)</f>
        <v>205.2039999999997</v>
      </c>
      <c r="DQ110" s="13">
        <f t="shared" si="97"/>
        <v>50.886134008708559</v>
      </c>
      <c r="DR110" s="20">
        <f t="shared" si="70"/>
        <v>446.02365006516692</v>
      </c>
      <c r="DS110" s="59">
        <f t="shared" si="71"/>
        <v>725.26425695804051</v>
      </c>
      <c r="DT110" s="59">
        <f ca="1">AVERAGE(OFFSET($DS$3,0,0,'Données projet'!$E$14+1,1))-AVERAGE(OFFSET($H$3,0,0,'Données projet'!$E$14+1,1))</f>
        <v>403.89478276355294</v>
      </c>
      <c r="DU110" s="59">
        <f t="shared" si="98"/>
        <v>241.1593989733278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31.016471981852632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31.016471981852632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5.0961538461538449</v>
      </c>
      <c r="N111" s="13">
        <f>IF('Données projet'!$A$36&gt;35,N110+M111-V110,IF(A111&lt;'Données projet'!$A$36,$K$205^A111,IF(A111='Données projet'!$A$36,'Données projet'!$B$36,N110+M111-V110)))</f>
        <v>220.73717948717916</v>
      </c>
      <c r="O111" s="13">
        <f>N111*VLOOKUP('Données projet'!$B$9,Paramètres!$A$1:$I$89,3,0)*VLOOKUP('Données projet'!$B$9,Paramètres!$A$1:$I$89,5,0)</f>
        <v>199.7229999999997</v>
      </c>
      <c r="P111" s="13">
        <f t="shared" si="87"/>
        <v>49.683286599758986</v>
      </c>
      <c r="Q111" s="20">
        <f t="shared" si="107"/>
        <v>434.38261582791301</v>
      </c>
      <c r="R111" s="59">
        <f t="shared" si="55"/>
        <v>713.86770001791228</v>
      </c>
      <c r="S111" s="59">
        <f ca="1">AVERAGE(OFFSET($R$3,0,0,'Données projet'!$E$9+1,1))-AVERAGE(OFFSET($H$3,0,0,'Données projet'!$E$9+1,1))</f>
        <v>388.1278150896951</v>
      </c>
      <c r="T111" s="59">
        <f t="shared" si="88"/>
        <v>232.26614607059227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28.912769791789628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28.912769791789628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5.0961538461538449</v>
      </c>
      <c r="AI111" s="13">
        <f>IF('Données projet'!$A$62&gt;35,AI110+AH111-AQ110,IF(A111&lt;'Données projet'!$A$62,$AF$205^A111,IF(A111='Données projet'!$A$62,'Données projet'!$B$62,AI110+AH111-AQ110)))</f>
        <v>220.73717948717916</v>
      </c>
      <c r="AJ111" s="13">
        <f>AI111*VLOOKUP('Données projet'!$B$10,Paramètres!$A$1:$I$89,3,0)*VLOOKUP('Données projet'!$B$10,Paramètres!$A$1:$I$89,5,0)</f>
        <v>223.82749999999967</v>
      </c>
      <c r="AK111" s="13">
        <f t="shared" si="89"/>
        <v>54.94593701193218</v>
      </c>
      <c r="AL111" s="20">
        <f t="shared" si="58"/>
        <v>485.53040279578119</v>
      </c>
      <c r="AM111" s="59">
        <f t="shared" si="59"/>
        <v>765.01548698578051</v>
      </c>
      <c r="AN111" s="59">
        <f ca="1">AVERAGE(OFFSET($AM$3,0,0,'Données projet'!$E$10+1,1))-AVERAGE(OFFSET($H$3,0,0,'Données projet'!$E$10+1,1))</f>
        <v>424.89201140676084</v>
      </c>
      <c r="AO111" s="59">
        <f t="shared" si="90"/>
        <v>253.0016648946303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32.402242008040091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32.402242008040091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155.99999999999991</v>
      </c>
      <c r="BE111" s="13">
        <f>BD111*VLOOKUP('Données projet'!$B$11,Paramètres!$A$1:$I$89,3,0)*VLOOKUP('Données projet'!$B$11,Paramètres!$A$1:$I$89,5,0)</f>
        <v>136.28159999999994</v>
      </c>
      <c r="BF111" s="13">
        <f t="shared" si="91"/>
        <v>35.443842312892279</v>
      </c>
      <c r="BG111" s="20">
        <f t="shared" si="61"/>
        <v>299.08847869495395</v>
      </c>
      <c r="BH111" s="59">
        <f t="shared" si="62"/>
        <v>578.57356288495328</v>
      </c>
      <c r="BI111" s="59">
        <f ca="1">AVERAGE(OFFSET($BH$3,0,0,'Données projet'!$E$11+1,1))-AVERAGE(OFFSET($H$3,0,0,'Données projet'!$E$11+1,1))</f>
        <v>218.97952644043698</v>
      </c>
      <c r="BJ111" s="59">
        <f t="shared" si="92"/>
        <v>204.10961748628714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1.0212473325784377</v>
      </c>
      <c r="BQ111" s="21">
        <f>EXP(-LN(2)/25)*BQ110+(1-EXP(-LN(2)/25))/(LN(2)/25)*Calculateur!BL111*Calculateur!BN111*VLOOKUP('Données projet'!$B$11,Paramètres!$A$1:$I$89,3,0)*0.475*44/12</f>
        <v>2.3044415489522918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3.3256888815307297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191.99999999999977</v>
      </c>
      <c r="BZ111" s="13">
        <f>BY111*VLOOKUP('Données projet'!$B$12,Paramètres!$A$1:$I$89,3,0)*VLOOKUP('Données projet'!$B$12,Paramètres!$A$1:$I$89,5,0)</f>
        <v>155.75039999999984</v>
      </c>
      <c r="CA111" s="13">
        <f t="shared" si="93"/>
        <v>39.882509755133718</v>
      </c>
      <c r="CB111" s="20">
        <f t="shared" si="64"/>
        <v>340.72731782352429</v>
      </c>
      <c r="CC111" s="59">
        <f t="shared" si="65"/>
        <v>620.21240201352362</v>
      </c>
      <c r="CD111" s="59">
        <f ca="1">AVERAGE(OFFSET($CC$3,0,0,'Données projet'!$E$12+1,1))-AVERAGE(OFFSET($H$3,0,0,'Données projet'!$E$12+1,1))</f>
        <v>256.23994291192162</v>
      </c>
      <c r="CE111" s="59">
        <f t="shared" si="94"/>
        <v>207.9118653708222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2.3877336491222265</v>
      </c>
      <c r="CL111" s="21">
        <f>EXP(-LN(2)/25)*CL110+(1-EXP(-LN(2)/25))/(LN(2)/25)*Calculateur!CG111*Calculateur!CI111*VLOOKUP('Données projet'!$B$12,Paramètres!$A$1:$I$89,3,0)*0.475*44/12</f>
        <v>5.9489269670896032</v>
      </c>
      <c r="CM111" s="21">
        <f>EXP(-LN(2)/2)*CM110+(1-EXP(-LN(2)/2))/(LN(2)/2)*CG111*CJ111*VLOOKUP('Données projet'!$B$12,Paramètres!$A$1:$I$89,3,0)*0.475*44/12</f>
        <v>3.6542066622793929E-3</v>
      </c>
      <c r="CN111" s="22">
        <f t="shared" si="66"/>
        <v>8.3403148228741095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170.99999999999991</v>
      </c>
      <c r="CU111" s="17">
        <f>CT111*VLOOKUP('Données projet'!$B$13,Paramètres!$A$1:$I$89,3,0)*VLOOKUP('Données projet'!$B$13,Paramètres!$A$1:$I$89,5,0)</f>
        <v>98.701199999999957</v>
      </c>
      <c r="CV111" s="13">
        <f t="shared" si="95"/>
        <v>26.652341328097943</v>
      </c>
      <c r="CW111" s="20">
        <f t="shared" si="67"/>
        <v>218.32408447977051</v>
      </c>
      <c r="CX111" s="59">
        <f t="shared" si="68"/>
        <v>497.80916866976986</v>
      </c>
      <c r="CY111" s="59">
        <f ca="1">AVERAGE(OFFSET($CX$3,0,0,'Données projet'!$E$13+1,1))-AVERAGE(OFFSET($H$3,0,0,'Données projet'!$E$13+1,1))</f>
        <v>205.74526926885287</v>
      </c>
      <c r="CZ111" s="59">
        <f t="shared" si="96"/>
        <v>201.56217137928999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0.62495846837626712</v>
      </c>
      <c r="DG111" s="21">
        <f>EXP(-LN(2)/25)*DG110+(1-EXP(-LN(2)/25))/(LN(2)/25)*Calculateur!DB111*Calculateur!DD111*VLOOKUP('Données projet'!$B$13,Paramètres!$A$1:$I$89,3,0)*0.475*44/12</f>
        <v>4.5004010892056785</v>
      </c>
      <c r="DH111" s="21">
        <f>EXP(-LN(2)/2)*DH110+(1-EXP(-LN(2)/2))/(LN(2)/2)*DB111*DE111*VLOOKUP('Données projet'!$B$13,Paramètres!$A$1:$I$89,3,0)*0.475*44/12</f>
        <v>4.3471351728714188E-3</v>
      </c>
      <c r="DI111" s="22">
        <f t="shared" si="69"/>
        <v>5.1297066927548167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5.0961538461538449</v>
      </c>
      <c r="DO111" s="12">
        <f>IF('Données projet'!$A$166&gt;35,DO110+DN111-DW110,IF(A111&lt;'Données projet'!$A$166,$DL$205^A111,IF(A111='Données projet'!$A$166,'Données projet'!$B$166,DO110+DN111-DW110)))</f>
        <v>220.73717948717916</v>
      </c>
      <c r="DP111" s="17">
        <f>DO111*VLOOKUP('Données projet'!$B$14,Paramètres!$A$1:$I$89,3,0)*VLOOKUP('Données projet'!$B$14,Paramètres!$A$1:$I$89,5,0)</f>
        <v>210.0534999999997</v>
      </c>
      <c r="DQ111" s="13">
        <f t="shared" si="97"/>
        <v>51.947276621012158</v>
      </c>
      <c r="DR111" s="20">
        <f t="shared" si="70"/>
        <v>456.3180192815957</v>
      </c>
      <c r="DS111" s="59">
        <f t="shared" si="71"/>
        <v>735.80310347159502</v>
      </c>
      <c r="DT111" s="59">
        <f ca="1">AVERAGE(OFFSET($DS$3,0,0,'Données projet'!$E$14+1,1))-AVERAGE(OFFSET($H$3,0,0,'Données projet'!$E$14+1,1))</f>
        <v>403.89478276355294</v>
      </c>
      <c r="DU111" s="59">
        <f t="shared" si="98"/>
        <v>241.1593989733278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30.408257884468394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30.408257884468394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5.0961538461538449</v>
      </c>
      <c r="N112" s="13">
        <f>IF('Données projet'!$A$36&gt;35,N111+M112-V111,IF(A112&lt;'Données projet'!$A$36,$K$205^A112,IF(A112='Données projet'!$A$36,'Données projet'!$B$36,N111+M112-V111)))</f>
        <v>225.833333333333</v>
      </c>
      <c r="O112" s="13">
        <f>N112*VLOOKUP('Données projet'!$B$9,Paramètres!$A$1:$I$89,3,0)*VLOOKUP('Données projet'!$B$9,Paramètres!$A$1:$I$89,5,0)</f>
        <v>204.33399999999966</v>
      </c>
      <c r="P112" s="13">
        <f t="shared" si="87"/>
        <v>50.695458061201691</v>
      </c>
      <c r="Q112" s="20">
        <f t="shared" si="107"/>
        <v>444.17630612325894</v>
      </c>
      <c r="R112" s="59">
        <f t="shared" si="55"/>
        <v>723.90162647584816</v>
      </c>
      <c r="S112" s="59">
        <f ca="1">AVERAGE(OFFSET($R$3,0,0,'Données projet'!$E$9+1,1))-AVERAGE(OFFSET($H$3,0,0,'Données projet'!$E$9+1,1))</f>
        <v>388.1278150896951</v>
      </c>
      <c r="T112" s="59">
        <f t="shared" si="88"/>
        <v>232.26614607059227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28.345808011220889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28.345808011220889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5.0961538461538449</v>
      </c>
      <c r="AI112" s="13">
        <f>IF('Données projet'!$A$62&gt;35,AI111+AH112-AQ111,IF(A112&lt;'Données projet'!$A$62,$AF$205^A112,IF(A112='Données projet'!$A$62,'Données projet'!$B$62,AI111+AH112-AQ111)))</f>
        <v>225.833333333333</v>
      </c>
      <c r="AJ112" s="13">
        <f>AI112*VLOOKUP('Données projet'!$B$10,Paramètres!$A$1:$I$89,3,0)*VLOOKUP('Données projet'!$B$10,Paramètres!$A$1:$I$89,5,0)</f>
        <v>228.99499999999969</v>
      </c>
      <c r="AK112" s="13">
        <f t="shared" si="89"/>
        <v>56.065321681745388</v>
      </c>
      <c r="AL112" s="20">
        <f t="shared" si="58"/>
        <v>496.48006026237272</v>
      </c>
      <c r="AM112" s="59">
        <f t="shared" si="59"/>
        <v>776.205380614962</v>
      </c>
      <c r="AN112" s="59">
        <f ca="1">AVERAGE(OFFSET($AM$3,0,0,'Données projet'!$E$10+1,1))-AVERAGE(OFFSET($H$3,0,0,'Données projet'!$E$10+1,1))</f>
        <v>424.89201140676084</v>
      </c>
      <c r="AO112" s="59">
        <f t="shared" si="90"/>
        <v>253.0016648946303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31.766853805678576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31.766853805678576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155.99999999999991</v>
      </c>
      <c r="BE112" s="13">
        <f>BD112*VLOOKUP('Données projet'!$B$11,Paramètres!$A$1:$I$89,3,0)*VLOOKUP('Données projet'!$B$11,Paramètres!$A$1:$I$89,5,0)</f>
        <v>136.28159999999994</v>
      </c>
      <c r="BF112" s="13">
        <f t="shared" si="91"/>
        <v>35.443842312892279</v>
      </c>
      <c r="BG112" s="20">
        <f t="shared" si="61"/>
        <v>299.08847869495395</v>
      </c>
      <c r="BH112" s="59">
        <f t="shared" si="62"/>
        <v>578.81379904754317</v>
      </c>
      <c r="BI112" s="59">
        <f ca="1">AVERAGE(OFFSET($BH$3,0,0,'Données projet'!$E$11+1,1))-AVERAGE(OFFSET($H$3,0,0,'Données projet'!$E$11+1,1))</f>
        <v>218.97952644043698</v>
      </c>
      <c r="BJ112" s="59">
        <f t="shared" si="92"/>
        <v>204.10961748628714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1.0012212952859412</v>
      </c>
      <c r="BQ112" s="21">
        <f>EXP(-LN(2)/25)*BQ111+(1-EXP(-LN(2)/25))/(LN(2)/25)*Calculateur!BL112*Calculateur!BN112*VLOOKUP('Données projet'!$B$11,Paramètres!$A$1:$I$89,3,0)*0.475*44/12</f>
        <v>2.2414264736108773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3.2426477688968185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191.99999999999977</v>
      </c>
      <c r="BZ112" s="13">
        <f>BY112*VLOOKUP('Données projet'!$B$12,Paramètres!$A$1:$I$89,3,0)*VLOOKUP('Données projet'!$B$12,Paramètres!$A$1:$I$89,5,0)</f>
        <v>155.75039999999984</v>
      </c>
      <c r="CA112" s="13">
        <f t="shared" si="93"/>
        <v>39.882509755133718</v>
      </c>
      <c r="CB112" s="20">
        <f t="shared" si="64"/>
        <v>340.72731782352429</v>
      </c>
      <c r="CC112" s="59">
        <f t="shared" si="65"/>
        <v>620.45263817611362</v>
      </c>
      <c r="CD112" s="59">
        <f ca="1">AVERAGE(OFFSET($CC$3,0,0,'Données projet'!$E$12+1,1))-AVERAGE(OFFSET($H$3,0,0,'Données projet'!$E$12+1,1))</f>
        <v>256.23994291192162</v>
      </c>
      <c r="CE112" s="59">
        <f t="shared" si="94"/>
        <v>207.9118653708222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2.3409116486366606</v>
      </c>
      <c r="CL112" s="21">
        <f>EXP(-LN(2)/25)*CL111+(1-EXP(-LN(2)/25))/(LN(2)/25)*Calculateur!CG112*Calculateur!CI112*VLOOKUP('Données projet'!$B$12,Paramètres!$A$1:$I$89,3,0)*0.475*44/12</f>
        <v>5.7862532463340655</v>
      </c>
      <c r="CM112" s="21">
        <f>EXP(-LN(2)/2)*CM111+(1-EXP(-LN(2)/2))/(LN(2)/2)*CG112*CJ112*VLOOKUP('Données projet'!$B$12,Paramètres!$A$1:$I$89,3,0)*0.475*44/12</f>
        <v>2.5839143107548191E-3</v>
      </c>
      <c r="CN112" s="22">
        <f t="shared" si="66"/>
        <v>8.1297488092814802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170.99999999999991</v>
      </c>
      <c r="CU112" s="17">
        <f>CT112*VLOOKUP('Données projet'!$B$13,Paramètres!$A$1:$I$89,3,0)*VLOOKUP('Données projet'!$B$13,Paramètres!$A$1:$I$89,5,0)</f>
        <v>98.701199999999957</v>
      </c>
      <c r="CV112" s="13">
        <f t="shared" si="95"/>
        <v>26.652341328097943</v>
      </c>
      <c r="CW112" s="20">
        <f t="shared" si="67"/>
        <v>218.32408447977051</v>
      </c>
      <c r="CX112" s="59">
        <f t="shared" si="68"/>
        <v>498.04940483235976</v>
      </c>
      <c r="CY112" s="59">
        <f ca="1">AVERAGE(OFFSET($CX$3,0,0,'Données projet'!$E$13+1,1))-AVERAGE(OFFSET($H$3,0,0,'Données projet'!$E$13+1,1))</f>
        <v>205.74526926885287</v>
      </c>
      <c r="CZ112" s="59">
        <f t="shared" si="96"/>
        <v>201.56217137928999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0.61270341399843509</v>
      </c>
      <c r="DG112" s="21">
        <f>EXP(-LN(2)/25)*DG111+(1-EXP(-LN(2)/25))/(LN(2)/25)*Calculateur!DB112*Calculateur!DD112*VLOOKUP('Données projet'!$B$13,Paramètres!$A$1:$I$89,3,0)*0.475*44/12</f>
        <v>4.3773373847555419</v>
      </c>
      <c r="DH112" s="21">
        <f>EXP(-LN(2)/2)*DH111+(1-EXP(-LN(2)/2))/(LN(2)/2)*DB112*DE112*VLOOKUP('Données projet'!$B$13,Paramètres!$A$1:$I$89,3,0)*0.475*44/12</f>
        <v>3.0738887594719349E-3</v>
      </c>
      <c r="DI112" s="22">
        <f t="shared" si="69"/>
        <v>4.9931146875134491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5.0961538461538449</v>
      </c>
      <c r="DO112" s="12">
        <f>IF('Données projet'!$A$166&gt;35,DO111+DN112-DW111,IF(A112&lt;'Données projet'!$A$166,$DL$205^A112,IF(A112='Données projet'!$A$166,'Données projet'!$B$166,DO111+DN112-DW111)))</f>
        <v>225.833333333333</v>
      </c>
      <c r="DP112" s="17">
        <f>DO112*VLOOKUP('Données projet'!$B$14,Paramètres!$A$1:$I$89,3,0)*VLOOKUP('Données projet'!$B$14,Paramètres!$A$1:$I$89,5,0)</f>
        <v>214.90299999999968</v>
      </c>
      <c r="DQ112" s="13">
        <f t="shared" si="97"/>
        <v>53.005571160160272</v>
      </c>
      <c r="DR112" s="20">
        <f t="shared" si="70"/>
        <v>466.60742810394527</v>
      </c>
      <c r="DS112" s="59">
        <f t="shared" si="71"/>
        <v>746.33274845653455</v>
      </c>
      <c r="DT112" s="59">
        <f ca="1">AVERAGE(OFFSET($DS$3,0,0,'Données projet'!$E$14+1,1))-AVERAGE(OFFSET($H$3,0,0,'Données projet'!$E$14+1,1))</f>
        <v>403.89478276355294</v>
      </c>
      <c r="DU112" s="59">
        <f t="shared" si="98"/>
        <v>241.1593989733278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29.811970494559894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29.811970494559894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5.0961538461538449</v>
      </c>
      <c r="N113" s="13">
        <f>IF('Données projet'!$A$36&gt;35,N112+M113-V112,IF(A113&lt;'Données projet'!$A$36,$K$205^A113,IF(A113='Données projet'!$A$36,'Données projet'!$B$36,N112+M113-V112)))</f>
        <v>230.92948717948684</v>
      </c>
      <c r="O113" s="13">
        <f>N113*VLOOKUP('Données projet'!$B$9,Paramètres!$A$1:$I$89,3,0)*VLOOKUP('Données projet'!$B$9,Paramètres!$A$1:$I$89,5,0)</f>
        <v>208.94499999999971</v>
      </c>
      <c r="P113" s="13">
        <f t="shared" si="87"/>
        <v>51.704974120746144</v>
      </c>
      <c r="Q113" s="20">
        <f t="shared" si="107"/>
        <v>453.96537159363237</v>
      </c>
      <c r="R113" s="59">
        <f t="shared" si="55"/>
        <v>733.92676054847823</v>
      </c>
      <c r="S113" s="59">
        <f ca="1">AVERAGE(OFFSET($R$3,0,0,'Données projet'!$E$9+1,1))-AVERAGE(OFFSET($H$3,0,0,'Données projet'!$E$9+1,1))</f>
        <v>388.1278150896951</v>
      </c>
      <c r="T113" s="59">
        <f t="shared" si="88"/>
        <v>232.26614607059227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27.789964005356563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27.789964005356563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5.0961538461538449</v>
      </c>
      <c r="AI113" s="13">
        <f>IF('Données projet'!$A$62&gt;35,AI112+AH113-AQ112,IF(A113&lt;'Données projet'!$A$62,$AF$205^A113,IF(A113='Données projet'!$A$62,'Données projet'!$B$62,AI112+AH113-AQ112)))</f>
        <v>230.92948717948684</v>
      </c>
      <c r="AJ113" s="13">
        <f>AI113*VLOOKUP('Données projet'!$B$10,Paramètres!$A$1:$I$89,3,0)*VLOOKUP('Données projet'!$B$10,Paramètres!$A$1:$I$89,5,0)</f>
        <v>234.16249999999968</v>
      </c>
      <c r="AK113" s="13">
        <f t="shared" si="89"/>
        <v>57.181769678978526</v>
      </c>
      <c r="AL113" s="20">
        <f t="shared" si="58"/>
        <v>507.42460302422029</v>
      </c>
      <c r="AM113" s="59">
        <f t="shared" si="59"/>
        <v>787.38599197906615</v>
      </c>
      <c r="AN113" s="59">
        <f ca="1">AVERAGE(OFFSET($AM$3,0,0,'Données projet'!$E$10+1,1))-AVERAGE(OFFSET($H$3,0,0,'Données projet'!$E$10+1,1))</f>
        <v>424.89201140676084</v>
      </c>
      <c r="AO113" s="59">
        <f t="shared" si="90"/>
        <v>253.0016648946303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31.143925178416833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31.143925178416833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155.99999999999991</v>
      </c>
      <c r="BE113" s="13">
        <f>BD113*VLOOKUP('Données projet'!$B$11,Paramètres!$A$1:$I$89,3,0)*VLOOKUP('Données projet'!$B$11,Paramètres!$A$1:$I$89,5,0)</f>
        <v>136.28159999999994</v>
      </c>
      <c r="BF113" s="13">
        <f t="shared" si="91"/>
        <v>35.443842312892279</v>
      </c>
      <c r="BG113" s="20">
        <f t="shared" si="61"/>
        <v>299.08847869495395</v>
      </c>
      <c r="BH113" s="59">
        <f t="shared" si="62"/>
        <v>579.04986764979981</v>
      </c>
      <c r="BI113" s="59">
        <f ca="1">AVERAGE(OFFSET($BH$3,0,0,'Données projet'!$E$11+1,1))-AVERAGE(OFFSET($H$3,0,0,'Données projet'!$E$11+1,1))</f>
        <v>218.97952644043698</v>
      </c>
      <c r="BJ113" s="59">
        <f t="shared" si="92"/>
        <v>204.10961748628714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0.9815879563700739</v>
      </c>
      <c r="BQ113" s="21">
        <f>EXP(-LN(2)/25)*BQ112+(1-EXP(-LN(2)/25))/(LN(2)/25)*Calculateur!BL113*Calculateur!BN113*VLOOKUP('Données projet'!$B$11,Paramètres!$A$1:$I$89,3,0)*0.475*44/12</f>
        <v>2.1801345488184927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3.1617225051885667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191.99999999999977</v>
      </c>
      <c r="BZ113" s="13">
        <f>BY113*VLOOKUP('Données projet'!$B$12,Paramètres!$A$1:$I$89,3,0)*VLOOKUP('Données projet'!$B$12,Paramètres!$A$1:$I$89,5,0)</f>
        <v>155.75039999999984</v>
      </c>
      <c r="CA113" s="13">
        <f t="shared" si="93"/>
        <v>39.882509755133718</v>
      </c>
      <c r="CB113" s="20">
        <f t="shared" si="64"/>
        <v>340.72731782352429</v>
      </c>
      <c r="CC113" s="59">
        <f t="shared" si="65"/>
        <v>620.68870677837015</v>
      </c>
      <c r="CD113" s="59">
        <f ca="1">AVERAGE(OFFSET($CC$3,0,0,'Données projet'!$E$12+1,1))-AVERAGE(OFFSET($H$3,0,0,'Données projet'!$E$12+1,1))</f>
        <v>256.23994291192162</v>
      </c>
      <c r="CE113" s="59">
        <f t="shared" si="94"/>
        <v>207.9118653708222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2.2950077990220161</v>
      </c>
      <c r="CL113" s="21">
        <f>EXP(-LN(2)/25)*CL112+(1-EXP(-LN(2)/25))/(LN(2)/25)*Calculateur!CG113*Calculateur!CI113*VLOOKUP('Données projet'!$B$12,Paramètres!$A$1:$I$89,3,0)*0.475*44/12</f>
        <v>5.6280278470272265</v>
      </c>
      <c r="CM113" s="21">
        <f>EXP(-LN(2)/2)*CM112+(1-EXP(-LN(2)/2))/(LN(2)/2)*CG113*CJ113*VLOOKUP('Données projet'!$B$12,Paramètres!$A$1:$I$89,3,0)*0.475*44/12</f>
        <v>1.8271033311396967E-3</v>
      </c>
      <c r="CN113" s="22">
        <f t="shared" si="66"/>
        <v>7.9248627493803827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170.99999999999991</v>
      </c>
      <c r="CU113" s="17">
        <f>CT113*VLOOKUP('Données projet'!$B$13,Paramètres!$A$1:$I$89,3,0)*VLOOKUP('Données projet'!$B$13,Paramètres!$A$1:$I$89,5,0)</f>
        <v>98.701199999999957</v>
      </c>
      <c r="CV113" s="13">
        <f t="shared" si="95"/>
        <v>26.652341328097943</v>
      </c>
      <c r="CW113" s="20">
        <f t="shared" si="67"/>
        <v>218.32408447977051</v>
      </c>
      <c r="CX113" s="59">
        <f t="shared" si="68"/>
        <v>498.28547343461639</v>
      </c>
      <c r="CY113" s="59">
        <f ca="1">AVERAGE(OFFSET($CX$3,0,0,'Données projet'!$E$13+1,1))-AVERAGE(OFFSET($H$3,0,0,'Données projet'!$E$13+1,1))</f>
        <v>205.74526926885287</v>
      </c>
      <c r="CZ113" s="59">
        <f t="shared" si="96"/>
        <v>201.56217137928999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0.60068867376210733</v>
      </c>
      <c r="DG113" s="21">
        <f>EXP(-LN(2)/25)*DG112+(1-EXP(-LN(2)/25))/(LN(2)/25)*Calculateur!DB113*Calculateur!DD113*VLOOKUP('Données projet'!$B$13,Paramètres!$A$1:$I$89,3,0)*0.475*44/12</f>
        <v>4.2576388637752327</v>
      </c>
      <c r="DH113" s="21">
        <f>EXP(-LN(2)/2)*DH112+(1-EXP(-LN(2)/2))/(LN(2)/2)*DB113*DE113*VLOOKUP('Données projet'!$B$13,Paramètres!$A$1:$I$89,3,0)*0.475*44/12</f>
        <v>2.1735675864357094E-3</v>
      </c>
      <c r="DI113" s="22">
        <f t="shared" si="69"/>
        <v>4.8605011051237756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5.0961538461538449</v>
      </c>
      <c r="DO113" s="12">
        <f>IF('Données projet'!$A$166&gt;35,DO112+DN113-DW112,IF(A113&lt;'Données projet'!$A$166,$DL$205^A113,IF(A113='Données projet'!$A$166,'Données projet'!$B$166,DO112+DN113-DW112)))</f>
        <v>230.92948717948684</v>
      </c>
      <c r="DP113" s="17">
        <f>DO113*VLOOKUP('Données projet'!$B$14,Paramètres!$A$1:$I$89,3,0)*VLOOKUP('Données projet'!$B$14,Paramètres!$A$1:$I$89,5,0)</f>
        <v>219.75249999999971</v>
      </c>
      <c r="DQ113" s="13">
        <f t="shared" si="97"/>
        <v>54.061089294879686</v>
      </c>
      <c r="DR113" s="20">
        <f t="shared" si="70"/>
        <v>476.89200135524828</v>
      </c>
      <c r="DS113" s="59">
        <f t="shared" si="71"/>
        <v>756.85339031009414</v>
      </c>
      <c r="DT113" s="59">
        <f ca="1">AVERAGE(OFFSET($DS$3,0,0,'Données projet'!$E$14+1,1))-AVERAGE(OFFSET($H$3,0,0,'Données projet'!$E$14+1,1))</f>
        <v>403.89478276355294</v>
      </c>
      <c r="DU113" s="59">
        <f t="shared" si="98"/>
        <v>241.1593989733278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29.227375936668103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29.227375936668103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5.0961538461538449</v>
      </c>
      <c r="N114" s="13">
        <f>IF('Données projet'!$A$36&gt;35,N113+M114-V113,IF(A114&lt;'Données projet'!$A$36,$K$205^A114,IF(A114='Données projet'!$A$36,'Données projet'!$B$36,N113+M114-V113)))</f>
        <v>236.02564102564068</v>
      </c>
      <c r="O114" s="13">
        <f>N114*VLOOKUP('Données projet'!$B$9,Paramètres!$A$1:$I$89,3,0)*VLOOKUP('Données projet'!$B$9,Paramètres!$A$1:$I$89,5,0)</f>
        <v>213.5559999999997</v>
      </c>
      <c r="P114" s="13">
        <f t="shared" si="87"/>
        <v>52.71190012556103</v>
      </c>
      <c r="Q114" s="20">
        <f t="shared" si="107"/>
        <v>463.74992605201828</v>
      </c>
      <c r="R114" s="59">
        <f t="shared" si="55"/>
        <v>743.94328834664179</v>
      </c>
      <c r="S114" s="59">
        <f ca="1">AVERAGE(OFFSET($R$3,0,0,'Données projet'!$E$9+1,1))-AVERAGE(OFFSET($H$3,0,0,'Données projet'!$E$9+1,1))</f>
        <v>388.1278150896951</v>
      </c>
      <c r="T114" s="59">
        <f t="shared" si="88"/>
        <v>232.26614607059227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27.245019761415872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27.245019761415872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5.0961538461538449</v>
      </c>
      <c r="AI114" s="13">
        <f>IF('Données projet'!$A$62&gt;35,AI113+AH114-AQ113,IF(A114&lt;'Données projet'!$A$62,$AF$205^A114,IF(A114='Données projet'!$A$62,'Données projet'!$B$62,AI113+AH114-AQ113)))</f>
        <v>236.02564102564068</v>
      </c>
      <c r="AJ114" s="13">
        <f>AI114*VLOOKUP('Données projet'!$B$10,Paramètres!$A$1:$I$89,3,0)*VLOOKUP('Données projet'!$B$10,Paramètres!$A$1:$I$89,5,0)</f>
        <v>239.32999999999967</v>
      </c>
      <c r="AK114" s="13">
        <f t="shared" si="89"/>
        <v>58.295353272631196</v>
      </c>
      <c r="AL114" s="20">
        <f t="shared" si="58"/>
        <v>518.36415694983214</v>
      </c>
      <c r="AM114" s="59">
        <f t="shared" si="59"/>
        <v>798.55751924445576</v>
      </c>
      <c r="AN114" s="59">
        <f ca="1">AVERAGE(OFFSET($AM$3,0,0,'Données projet'!$E$10+1,1))-AVERAGE(OFFSET($H$3,0,0,'Données projet'!$E$10+1,1))</f>
        <v>424.89201140676084</v>
      </c>
      <c r="AO114" s="59">
        <f t="shared" si="90"/>
        <v>253.0016648946303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30.533211801586745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30.533211801586745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155.99999999999991</v>
      </c>
      <c r="BE114" s="13">
        <f>BD114*VLOOKUP('Données projet'!$B$11,Paramètres!$A$1:$I$89,3,0)*VLOOKUP('Données projet'!$B$11,Paramètres!$A$1:$I$89,5,0)</f>
        <v>136.28159999999994</v>
      </c>
      <c r="BF114" s="13">
        <f t="shared" si="91"/>
        <v>35.443842312892279</v>
      </c>
      <c r="BG114" s="20">
        <f t="shared" si="61"/>
        <v>299.08847869495395</v>
      </c>
      <c r="BH114" s="59">
        <f t="shared" si="62"/>
        <v>579.28184098957752</v>
      </c>
      <c r="BI114" s="59">
        <f ca="1">AVERAGE(OFFSET($BH$3,0,0,'Données projet'!$E$11+1,1))-AVERAGE(OFFSET($H$3,0,0,'Données projet'!$E$11+1,1))</f>
        <v>218.97952644043698</v>
      </c>
      <c r="BJ114" s="59">
        <f t="shared" si="92"/>
        <v>204.10961748628714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0.96233961525519252</v>
      </c>
      <c r="BQ114" s="21">
        <f>EXP(-LN(2)/25)*BQ113+(1-EXP(-LN(2)/25))/(LN(2)/25)*Calculateur!BL114*Calculateur!BN114*VLOOKUP('Données projet'!$B$11,Paramètres!$A$1:$I$89,3,0)*0.475*44/12</f>
        <v>2.1205186549327579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3.0828582701879506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191.99999999999977</v>
      </c>
      <c r="BZ114" s="13">
        <f>BY114*VLOOKUP('Données projet'!$B$12,Paramètres!$A$1:$I$89,3,0)*VLOOKUP('Données projet'!$B$12,Paramètres!$A$1:$I$89,5,0)</f>
        <v>155.75039999999984</v>
      </c>
      <c r="CA114" s="13">
        <f t="shared" si="93"/>
        <v>39.882509755133718</v>
      </c>
      <c r="CB114" s="20">
        <f t="shared" si="64"/>
        <v>340.72731782352429</v>
      </c>
      <c r="CC114" s="59">
        <f t="shared" si="65"/>
        <v>620.92068011814786</v>
      </c>
      <c r="CD114" s="59">
        <f ca="1">AVERAGE(OFFSET($CC$3,0,0,'Données projet'!$E$12+1,1))-AVERAGE(OFFSET($H$3,0,0,'Données projet'!$E$12+1,1))</f>
        <v>256.23994291192162</v>
      </c>
      <c r="CE114" s="59">
        <f t="shared" si="94"/>
        <v>207.9118653708222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2.2500040958997314</v>
      </c>
      <c r="CL114" s="21">
        <f>EXP(-LN(2)/25)*CL113+(1-EXP(-LN(2)/25))/(LN(2)/25)*Calculateur!CG114*Calculateur!CI114*VLOOKUP('Données projet'!$B$12,Paramètres!$A$1:$I$89,3,0)*0.475*44/12</f>
        <v>5.4741291295851457</v>
      </c>
      <c r="CM114" s="21">
        <f>EXP(-LN(2)/2)*CM113+(1-EXP(-LN(2)/2))/(LN(2)/2)*CG114*CJ114*VLOOKUP('Données projet'!$B$12,Paramètres!$A$1:$I$89,3,0)*0.475*44/12</f>
        <v>1.2919571553774098E-3</v>
      </c>
      <c r="CN114" s="22">
        <f t="shared" si="66"/>
        <v>7.7254251826402545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170.99999999999991</v>
      </c>
      <c r="CU114" s="17">
        <f>CT114*VLOOKUP('Données projet'!$B$13,Paramètres!$A$1:$I$89,3,0)*VLOOKUP('Données projet'!$B$13,Paramètres!$A$1:$I$89,5,0)</f>
        <v>98.701199999999957</v>
      </c>
      <c r="CV114" s="13">
        <f t="shared" si="95"/>
        <v>26.652341328097943</v>
      </c>
      <c r="CW114" s="20">
        <f t="shared" si="67"/>
        <v>218.32408447977051</v>
      </c>
      <c r="CX114" s="59">
        <f t="shared" si="68"/>
        <v>498.5174467743941</v>
      </c>
      <c r="CY114" s="59">
        <f ca="1">AVERAGE(OFFSET($CX$3,0,0,'Données projet'!$E$13+1,1))-AVERAGE(OFFSET($H$3,0,0,'Données projet'!$E$13+1,1))</f>
        <v>205.74526926885287</v>
      </c>
      <c r="CZ114" s="59">
        <f t="shared" si="96"/>
        <v>201.56217137928999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0.58890953525354595</v>
      </c>
      <c r="DG114" s="21">
        <f>EXP(-LN(2)/25)*DG113+(1-EXP(-LN(2)/25))/(LN(2)/25)*Calculateur!DB114*Calculateur!DD114*VLOOKUP('Données projet'!$B$13,Paramètres!$A$1:$I$89,3,0)*0.475*44/12</f>
        <v>4.1412135051458021</v>
      </c>
      <c r="DH114" s="21">
        <f>EXP(-LN(2)/2)*DH113+(1-EXP(-LN(2)/2))/(LN(2)/2)*DB114*DE114*VLOOKUP('Données projet'!$B$13,Paramètres!$A$1:$I$89,3,0)*0.475*44/12</f>
        <v>1.5369443797359674E-3</v>
      </c>
      <c r="DI114" s="22">
        <f t="shared" si="69"/>
        <v>4.7316599847790837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5.0961538461538449</v>
      </c>
      <c r="DO114" s="12">
        <f>IF('Données projet'!$A$166&gt;35,DO113+DN114-DW113,IF(A114&lt;'Données projet'!$A$166,$DL$205^A114,IF(A114='Données projet'!$A$166,'Données projet'!$B$166,DO113+DN114-DW113)))</f>
        <v>236.02564102564068</v>
      </c>
      <c r="DP114" s="17">
        <f>DO114*VLOOKUP('Données projet'!$B$14,Paramètres!$A$1:$I$89,3,0)*VLOOKUP('Données projet'!$B$14,Paramètres!$A$1:$I$89,5,0)</f>
        <v>224.60199999999966</v>
      </c>
      <c r="DQ114" s="13">
        <f t="shared" si="97"/>
        <v>55.113899350107857</v>
      </c>
      <c r="DR114" s="20">
        <f t="shared" si="70"/>
        <v>487.17185803477059</v>
      </c>
      <c r="DS114" s="59">
        <f t="shared" si="71"/>
        <v>767.36522032939411</v>
      </c>
      <c r="DT114" s="59">
        <f ca="1">AVERAGE(OFFSET($DS$3,0,0,'Données projet'!$E$14+1,1))-AVERAGE(OFFSET($H$3,0,0,'Données projet'!$E$14+1,1))</f>
        <v>403.89478276355294</v>
      </c>
      <c r="DU114" s="59">
        <f t="shared" si="98"/>
        <v>241.1593989733278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28.654244921489099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28.654244921489099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5.0961538461538449</v>
      </c>
      <c r="N115" s="13">
        <f>IF('Données projet'!$A$36&gt;35,N114+M115-V114,IF(A115&lt;'Données projet'!$A$36,$K$205^A115,IF(A115='Données projet'!$A$36,'Données projet'!$B$36,N114+M115-V114)))</f>
        <v>241.12179487179452</v>
      </c>
      <c r="O115" s="13">
        <f>N115*VLOOKUP('Données projet'!$B$9,Paramètres!$A$1:$I$89,3,0)*VLOOKUP('Données projet'!$B$9,Paramètres!$A$1:$I$89,5,0)</f>
        <v>218.16699999999966</v>
      </c>
      <c r="P115" s="13">
        <f t="shared" si="87"/>
        <v>53.716298439743952</v>
      </c>
      <c r="Q115" s="20">
        <f t="shared" si="107"/>
        <v>473.53007811588674</v>
      </c>
      <c r="R115" s="59">
        <f t="shared" si="55"/>
        <v>753.95138953145761</v>
      </c>
      <c r="S115" s="59">
        <f ca="1">AVERAGE(OFFSET($R$3,0,0,'Données projet'!$E$9+1,1))-AVERAGE(OFFSET($H$3,0,0,'Données projet'!$E$9+1,1))</f>
        <v>388.1278150896951</v>
      </c>
      <c r="T115" s="59">
        <f t="shared" si="88"/>
        <v>232.26614607059227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26.710761541715687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26.710761541715687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5.0961538461538449</v>
      </c>
      <c r="AI115" s="13">
        <f>IF('Données projet'!$A$62&gt;35,AI114+AH115-AQ114,IF(A115&lt;'Données projet'!$A$62,$AF$205^A115,IF(A115='Données projet'!$A$62,'Données projet'!$B$62,AI114+AH115-AQ114)))</f>
        <v>241.12179487179452</v>
      </c>
      <c r="AJ115" s="13">
        <f>AI115*VLOOKUP('Données projet'!$B$10,Paramètres!$A$1:$I$89,3,0)*VLOOKUP('Données projet'!$B$10,Paramètres!$A$1:$I$89,5,0)</f>
        <v>244.49749999999963</v>
      </c>
      <c r="AK115" s="13">
        <f t="shared" si="89"/>
        <v>59.406141432653072</v>
      </c>
      <c r="AL115" s="20">
        <f t="shared" si="58"/>
        <v>529.29884216187008</v>
      </c>
      <c r="AM115" s="59">
        <f t="shared" si="59"/>
        <v>809.7201535774409</v>
      </c>
      <c r="AN115" s="59">
        <f ca="1">AVERAGE(OFFSET($AM$3,0,0,'Données projet'!$E$10+1,1))-AVERAGE(OFFSET($H$3,0,0,'Données projet'!$E$10+1,1))</f>
        <v>424.89201140676084</v>
      </c>
      <c r="AO115" s="59">
        <f t="shared" si="90"/>
        <v>253.0016648946303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29.934474141577919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29.934474141577919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155.99999999999991</v>
      </c>
      <c r="BE115" s="13">
        <f>BD115*VLOOKUP('Données projet'!$B$11,Paramètres!$A$1:$I$89,3,0)*VLOOKUP('Données projet'!$B$11,Paramètres!$A$1:$I$89,5,0)</f>
        <v>136.28159999999994</v>
      </c>
      <c r="BF115" s="13">
        <f t="shared" si="91"/>
        <v>35.443842312892279</v>
      </c>
      <c r="BG115" s="20">
        <f t="shared" si="61"/>
        <v>299.08847869495395</v>
      </c>
      <c r="BH115" s="59">
        <f t="shared" si="62"/>
        <v>579.50979011052482</v>
      </c>
      <c r="BI115" s="59">
        <f ca="1">AVERAGE(OFFSET($BH$3,0,0,'Données projet'!$E$11+1,1))-AVERAGE(OFFSET($H$3,0,0,'Données projet'!$E$11+1,1))</f>
        <v>218.97952644043698</v>
      </c>
      <c r="BJ115" s="59">
        <f t="shared" si="92"/>
        <v>204.10961748628714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0.94346872236924506</v>
      </c>
      <c r="BQ115" s="21">
        <f>EXP(-LN(2)/25)*BQ114+(1-EXP(-LN(2)/25))/(LN(2)/25)*Calculateur!BL115*Calculateur!BN115*VLOOKUP('Données projet'!$B$11,Paramètres!$A$1:$I$89,3,0)*0.475*44/12</f>
        <v>2.0625329608003922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3.0060016831696372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191.99999999999977</v>
      </c>
      <c r="BZ115" s="13">
        <f>BY115*VLOOKUP('Données projet'!$B$12,Paramètres!$A$1:$I$89,3,0)*VLOOKUP('Données projet'!$B$12,Paramètres!$A$1:$I$89,5,0)</f>
        <v>155.75039999999984</v>
      </c>
      <c r="CA115" s="13">
        <f t="shared" si="93"/>
        <v>39.882509755133718</v>
      </c>
      <c r="CB115" s="20">
        <f t="shared" si="64"/>
        <v>340.72731782352429</v>
      </c>
      <c r="CC115" s="59">
        <f t="shared" si="65"/>
        <v>621.14862923909516</v>
      </c>
      <c r="CD115" s="59">
        <f ca="1">AVERAGE(OFFSET($CC$3,0,0,'Données projet'!$E$12+1,1))-AVERAGE(OFFSET($H$3,0,0,'Données projet'!$E$12+1,1))</f>
        <v>256.23994291192162</v>
      </c>
      <c r="CE115" s="59">
        <f t="shared" si="94"/>
        <v>207.9118653708222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2.2058828879461263</v>
      </c>
      <c r="CL115" s="21">
        <f>EXP(-LN(2)/25)*CL114+(1-EXP(-LN(2)/25))/(LN(2)/25)*Calculateur!CG115*Calculateur!CI115*VLOOKUP('Données projet'!$B$12,Paramètres!$A$1:$I$89,3,0)*0.475*44/12</f>
        <v>5.3244387806647007</v>
      </c>
      <c r="CM115" s="21">
        <f>EXP(-LN(2)/2)*CM114+(1-EXP(-LN(2)/2))/(LN(2)/2)*CG115*CJ115*VLOOKUP('Données projet'!$B$12,Paramètres!$A$1:$I$89,3,0)*0.475*44/12</f>
        <v>9.1355166556984855E-4</v>
      </c>
      <c r="CN115" s="22">
        <f t="shared" si="66"/>
        <v>7.5312352202763968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170.99999999999991</v>
      </c>
      <c r="CU115" s="17">
        <f>CT115*VLOOKUP('Données projet'!$B$13,Paramètres!$A$1:$I$89,3,0)*VLOOKUP('Données projet'!$B$13,Paramètres!$A$1:$I$89,5,0)</f>
        <v>98.701199999999957</v>
      </c>
      <c r="CV115" s="13">
        <f t="shared" si="95"/>
        <v>26.652341328097943</v>
      </c>
      <c r="CW115" s="20">
        <f t="shared" si="67"/>
        <v>218.32408447977051</v>
      </c>
      <c r="CX115" s="59">
        <f t="shared" si="68"/>
        <v>498.7453958953414</v>
      </c>
      <c r="CY115" s="59">
        <f ca="1">AVERAGE(OFFSET($CX$3,0,0,'Données projet'!$E$13+1,1))-AVERAGE(OFFSET($H$3,0,0,'Données projet'!$E$13+1,1))</f>
        <v>205.74526926885287</v>
      </c>
      <c r="CZ115" s="59">
        <f t="shared" si="96"/>
        <v>201.56217137928999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0.57736137846657243</v>
      </c>
      <c r="DG115" s="21">
        <f>EXP(-LN(2)/25)*DG114+(1-EXP(-LN(2)/25))/(LN(2)/25)*Calculateur!DB115*Calculateur!DD115*VLOOKUP('Données projet'!$B$13,Paramètres!$A$1:$I$89,3,0)*0.475*44/12</f>
        <v>4.0279718040706367</v>
      </c>
      <c r="DH115" s="21">
        <f>EXP(-LN(2)/2)*DH114+(1-EXP(-LN(2)/2))/(LN(2)/2)*DB115*DE115*VLOOKUP('Données projet'!$B$13,Paramètres!$A$1:$I$89,3,0)*0.475*44/12</f>
        <v>1.0867837932178547E-3</v>
      </c>
      <c r="DI115" s="22">
        <f t="shared" si="69"/>
        <v>4.6064199663304271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5.0961538461538449</v>
      </c>
      <c r="DO115" s="12">
        <f>IF('Données projet'!$A$166&gt;35,DO114+DN115-DW114,IF(A115&lt;'Données projet'!$A$166,$DL$205^A115,IF(A115='Données projet'!$A$166,'Données projet'!$B$166,DO114+DN115-DW114)))</f>
        <v>241.12179487179452</v>
      </c>
      <c r="DP115" s="17">
        <f>DO115*VLOOKUP('Données projet'!$B$14,Paramètres!$A$1:$I$89,3,0)*VLOOKUP('Données projet'!$B$14,Paramètres!$A$1:$I$89,5,0)</f>
        <v>229.4514999999997</v>
      </c>
      <c r="DQ115" s="13">
        <f t="shared" si="97"/>
        <v>56.164066531777237</v>
      </c>
      <c r="DR115" s="20">
        <f t="shared" si="70"/>
        <v>497.44711170951149</v>
      </c>
      <c r="DS115" s="59">
        <f t="shared" si="71"/>
        <v>777.86842312508236</v>
      </c>
      <c r="DT115" s="59">
        <f ca="1">AVERAGE(OFFSET($DS$3,0,0,'Données projet'!$E$14+1,1))-AVERAGE(OFFSET($H$3,0,0,'Données projet'!$E$14+1,1))</f>
        <v>403.89478276355294</v>
      </c>
      <c r="DU115" s="59">
        <f t="shared" si="98"/>
        <v>241.1593989733278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28.092352655942353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28.092352655942353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>
        <f>VLOOKUP(A116,'Données projet'!$A$35:$I$55,2,0)</f>
        <v>246.21794871794873</v>
      </c>
      <c r="L116" s="12">
        <f>VLOOKUP(A116,'Données projet'!$A$35:$I$55,9,0)</f>
        <v>5.0961538461538449</v>
      </c>
      <c r="M116" s="12">
        <f t="array" ref="M116">INDEX(L:L,MIN(IF(ISNUMBER(L116:L312),ROW(L116:L312),"")))</f>
        <v>5.0961538461538449</v>
      </c>
      <c r="N116" s="13">
        <f>IF('Données projet'!$A$36&gt;35,N115+M116-V115,IF(A116&lt;'Données projet'!$A$36,$K$205^A116,IF(A116='Données projet'!$A$36,'Données projet'!$B$36,N115+M116-V115)))</f>
        <v>246.21794871794836</v>
      </c>
      <c r="O116" s="13">
        <f>N116*VLOOKUP('Données projet'!$B$9,Paramètres!$A$1:$I$89,3,0)*VLOOKUP('Données projet'!$B$9,Paramètres!$A$1:$I$89,5,0)</f>
        <v>222.77799999999965</v>
      </c>
      <c r="P116" s="13">
        <f t="shared" si="87"/>
        <v>54.718228640620396</v>
      </c>
      <c r="Q116" s="20">
        <f t="shared" si="107"/>
        <v>483.30593154907984</v>
      </c>
      <c r="R116" s="59">
        <f t="shared" si="55"/>
        <v>763.95123767796747</v>
      </c>
      <c r="S116" s="59">
        <f ca="1">AVERAGE(OFFSET($R$3,0,0,'Données projet'!$E$9+1,1))-AVERAGE(OFFSET($H$3,0,0,'Données projet'!$E$9+1,1))</f>
        <v>388.1278150896951</v>
      </c>
      <c r="T116" s="59">
        <f t="shared" si="88"/>
        <v>232.26614607059227</v>
      </c>
      <c r="U116" s="15">
        <f>IF(ISNA(VLOOKUP(A116,'Données projet'!$A$35:$I$55,3,0)),0,VLOOKUP(A116,'Données projet'!$A$35:$I$55,3,0))</f>
        <v>9</v>
      </c>
      <c r="V116" s="15">
        <f>IF(ISNA(VLOOKUP(A116,'Données projet'!$A$35:$I$55,4,0)),0,VLOOKUP(A116,'Données projet'!$A$35:$I$55,4,0))</f>
        <v>31.602564102564099</v>
      </c>
      <c r="W116" s="16">
        <f>IF(ISNA(VLOOKUP(A116,'Données projet'!$A$35:$I$55,5,0)),0%,VLOOKUP(A116,'Données projet'!$A$35:$I$55,5,0)*VLOOKUP('Données projet'!$B$9,Paramètres!$A$1:$I$89,7,0))</f>
        <v>0.30099999999999999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35.701535629580405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35.701535629580405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246.21794871794873</v>
      </c>
      <c r="AG116" s="12">
        <f>VLOOKUP(A116,'Données projet'!$A$61:$I$81,9,0)</f>
        <v>5.0961538461538449</v>
      </c>
      <c r="AH116" s="12">
        <f t="array" ref="AH116">INDEX(AG:AG,MIN(IF(ISNUMBER(AG116:AG312),ROW(AG116:AG312),"")))</f>
        <v>5.0961538461538449</v>
      </c>
      <c r="AI116" s="13">
        <f>IF('Données projet'!$A$62&gt;35,AI115+AH116-AQ115,IF(A116&lt;'Données projet'!$A$62,$AF$205^A116,IF(A116='Données projet'!$A$62,'Données projet'!$B$62,AI115+AH116-AQ115)))</f>
        <v>246.21794871794836</v>
      </c>
      <c r="AJ116" s="13">
        <f>AI116*VLOOKUP('Données projet'!$B$10,Paramètres!$A$1:$I$89,3,0)*VLOOKUP('Données projet'!$B$10,Paramètres!$A$1:$I$89,5,0)</f>
        <v>249.66499999999965</v>
      </c>
      <c r="AK116" s="13">
        <f t="shared" si="89"/>
        <v>60.514200047035814</v>
      </c>
      <c r="AL116" s="20">
        <f t="shared" si="58"/>
        <v>540.22877341525339</v>
      </c>
      <c r="AM116" s="59">
        <f t="shared" si="59"/>
        <v>820.87407954414107</v>
      </c>
      <c r="AN116" s="59">
        <f ca="1">AVERAGE(OFFSET($AM$3,0,0,'Données projet'!$E$10+1,1))-AVERAGE(OFFSET($H$3,0,0,'Données projet'!$E$10+1,1))</f>
        <v>424.89201140676084</v>
      </c>
      <c r="AO116" s="59">
        <f t="shared" si="90"/>
        <v>253.0016648946303</v>
      </c>
      <c r="AP116" s="15">
        <f>IF(ISNA(VLOOKUP(A116,'Données projet'!$A$61:$I$81,3,0)),0,VLOOKUP(A116,'Données projet'!$A$61:$I$81,3,0))</f>
        <v>9</v>
      </c>
      <c r="AQ116" s="15">
        <f>IF(ISNA(VLOOKUP(A116,'Données projet'!$A$61:$I$81,4,0)),0,VLOOKUP(A116,'Données projet'!$A$61:$I$81,4,0))</f>
        <v>31.602564102564099</v>
      </c>
      <c r="AR116" s="16">
        <f>IF(ISNA(VLOOKUP(A116,'Données projet'!$A$61:$I$81,5,0)),0%,VLOOKUP(A116,'Données projet'!$A$61:$I$81,5,0)*VLOOKUP('Données projet'!$B$10,Paramètres!$A$1:$I$89,7,0))</f>
        <v>0.30099999999999999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40.010341653840101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40.010341653840101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155.99999999999991</v>
      </c>
      <c r="BE116" s="13">
        <f>BD116*VLOOKUP('Données projet'!$B$11,Paramètres!$A$1:$I$89,3,0)*VLOOKUP('Données projet'!$B$11,Paramètres!$A$1:$I$89,5,0)</f>
        <v>136.28159999999994</v>
      </c>
      <c r="BF116" s="13">
        <f t="shared" si="91"/>
        <v>35.443842312892279</v>
      </c>
      <c r="BG116" s="20">
        <f t="shared" si="61"/>
        <v>299.08847869495395</v>
      </c>
      <c r="BH116" s="59">
        <f t="shared" si="62"/>
        <v>579.73378482384157</v>
      </c>
      <c r="BI116" s="59">
        <f ca="1">AVERAGE(OFFSET($BH$3,0,0,'Données projet'!$E$11+1,1))-AVERAGE(OFFSET($H$3,0,0,'Données projet'!$E$11+1,1))</f>
        <v>218.97952644043698</v>
      </c>
      <c r="BJ116" s="59">
        <f t="shared" si="92"/>
        <v>204.10961748628714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0.92496787618268295</v>
      </c>
      <c r="BQ116" s="21">
        <f>EXP(-LN(2)/25)*BQ115+(1-EXP(-LN(2)/25))/(LN(2)/25)*Calculateur!BL116*Calculateur!BN116*VLOOKUP('Données projet'!$B$11,Paramètres!$A$1:$I$89,3,0)*0.475*44/12</f>
        <v>2.0061328885234109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2.9311007647060938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191.99999999999977</v>
      </c>
      <c r="BZ116" s="13">
        <f>BY116*VLOOKUP('Données projet'!$B$12,Paramètres!$A$1:$I$89,3,0)*VLOOKUP('Données projet'!$B$12,Paramètres!$A$1:$I$89,5,0)</f>
        <v>155.75039999999984</v>
      </c>
      <c r="CA116" s="13">
        <f t="shared" si="93"/>
        <v>39.882509755133718</v>
      </c>
      <c r="CB116" s="20">
        <f t="shared" si="64"/>
        <v>340.72731782352429</v>
      </c>
      <c r="CC116" s="59">
        <f t="shared" si="65"/>
        <v>621.37262395241191</v>
      </c>
      <c r="CD116" s="59">
        <f ca="1">AVERAGE(OFFSET($CC$3,0,0,'Données projet'!$E$12+1,1))-AVERAGE(OFFSET($H$3,0,0,'Données projet'!$E$12+1,1))</f>
        <v>256.23994291192162</v>
      </c>
      <c r="CE116" s="59">
        <f t="shared" si="94"/>
        <v>207.9118653708222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2.1626268699692117</v>
      </c>
      <c r="CL116" s="21">
        <f>EXP(-LN(2)/25)*CL115+(1-EXP(-LN(2)/25))/(LN(2)/25)*Calculateur!CG116*Calculateur!CI116*VLOOKUP('Données projet'!$B$12,Paramètres!$A$1:$I$89,3,0)*0.475*44/12</f>
        <v>5.1788417222073582</v>
      </c>
      <c r="CM116" s="21">
        <f>EXP(-LN(2)/2)*CM115+(1-EXP(-LN(2)/2))/(LN(2)/2)*CG116*CJ116*VLOOKUP('Données projet'!$B$12,Paramètres!$A$1:$I$89,3,0)*0.475*44/12</f>
        <v>6.4597857768870499E-4</v>
      </c>
      <c r="CN116" s="22">
        <f t="shared" si="66"/>
        <v>7.3421145707542586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170.99999999999991</v>
      </c>
      <c r="CU116" s="17">
        <f>CT116*VLOOKUP('Données projet'!$B$13,Paramètres!$A$1:$I$89,3,0)*VLOOKUP('Données projet'!$B$13,Paramètres!$A$1:$I$89,5,0)</f>
        <v>98.701199999999957</v>
      </c>
      <c r="CV116" s="13">
        <f t="shared" si="95"/>
        <v>26.652341328097943</v>
      </c>
      <c r="CW116" s="20">
        <f t="shared" si="67"/>
        <v>218.32408447977051</v>
      </c>
      <c r="CX116" s="59">
        <f t="shared" si="68"/>
        <v>498.96939060865816</v>
      </c>
      <c r="CY116" s="59">
        <f ca="1">AVERAGE(OFFSET($CX$3,0,0,'Données projet'!$E$13+1,1))-AVERAGE(OFFSET($H$3,0,0,'Données projet'!$E$13+1,1))</f>
        <v>205.74526926885287</v>
      </c>
      <c r="CZ116" s="59">
        <f t="shared" si="96"/>
        <v>201.56217137928999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0.56603967399051136</v>
      </c>
      <c r="DG116" s="21">
        <f>EXP(-LN(2)/25)*DG115+(1-EXP(-LN(2)/25))/(LN(2)/25)*Calculateur!DB116*Calculateur!DD116*VLOOKUP('Données projet'!$B$13,Paramètres!$A$1:$I$89,3,0)*0.475*44/12</f>
        <v>3.9178267032664942</v>
      </c>
      <c r="DH116" s="21">
        <f>EXP(-LN(2)/2)*DH115+(1-EXP(-LN(2)/2))/(LN(2)/2)*DB116*DE116*VLOOKUP('Données projet'!$B$13,Paramètres!$A$1:$I$89,3,0)*0.475*44/12</f>
        <v>7.6847218986798372E-4</v>
      </c>
      <c r="DI116" s="22">
        <f t="shared" si="69"/>
        <v>4.4846348494468735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>
        <f>VLOOKUP(A116,'Données projet'!$A$165:$I$185,2,0)</f>
        <v>246.21794871794873</v>
      </c>
      <c r="DM116" s="12">
        <f>VLOOKUP(A116,'Données projet'!$A$165:$I$185,9,0)</f>
        <v>5.0961538461538449</v>
      </c>
      <c r="DN116" s="12">
        <f t="array" ref="DN116">INDEX(DM:DM,MIN(IF(ISNUMBER(DM116:DM312),ROW(DM116:DM312),"")))</f>
        <v>5.0961538461538449</v>
      </c>
      <c r="DO116" s="12">
        <f>IF('Données projet'!$A$166&gt;35,DO115+DN116-DW115,IF(A116&lt;'Données projet'!$A$166,$DL$205^A116,IF(A116='Données projet'!$A$166,'Données projet'!$B$166,DO115+DN116-DW115)))</f>
        <v>246.21794871794836</v>
      </c>
      <c r="DP116" s="17">
        <f>DO116*VLOOKUP('Données projet'!$B$14,Paramètres!$A$1:$I$89,3,0)*VLOOKUP('Données projet'!$B$14,Paramètres!$A$1:$I$89,5,0)</f>
        <v>234.30099999999968</v>
      </c>
      <c r="DQ116" s="13">
        <f t="shared" si="97"/>
        <v>57.211653132059183</v>
      </c>
      <c r="DR116" s="20">
        <f t="shared" si="70"/>
        <v>507.71787087166916</v>
      </c>
      <c r="DS116" s="59">
        <f t="shared" si="71"/>
        <v>788.36317700055679</v>
      </c>
      <c r="DT116" s="59">
        <f ca="1">AVERAGE(OFFSET($DS$3,0,0,'Données projet'!$E$14+1,1))-AVERAGE(OFFSET($H$3,0,0,'Données projet'!$E$14+1,1))</f>
        <v>403.89478276355294</v>
      </c>
      <c r="DU116" s="59">
        <f t="shared" si="98"/>
        <v>241.1593989733278</v>
      </c>
      <c r="DV116" s="15">
        <f>IF(ISNA(VLOOKUP(A116,'Données projet'!$A$165:$I$185,3,0)),0,VLOOKUP(A116,'Données projet'!$A$165:$I$185,3,0))</f>
        <v>9</v>
      </c>
      <c r="DW116" s="15">
        <f>IF(ISNA(VLOOKUP(A116,'Données projet'!$A$165:$I$185,4,0)),0,VLOOKUP(A116,'Données projet'!$A$165:$I$185,4,0))</f>
        <v>31.602564102564099</v>
      </c>
      <c r="DX116" s="16">
        <f>IF(ISNA(VLOOKUP(A116,'Données projet'!$A$165:$I$185,5,0)),0%,VLOOKUP(A116,'Données projet'!$A$165:$I$185,5,0)*VLOOKUP('Données projet'!$B$14,Paramètres!$A$1:$I$89,7,0))</f>
        <v>0.30099999999999999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37.548166782834556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37.548166782834556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5.3066239316239274</v>
      </c>
      <c r="N117" s="13">
        <f>IF('Données projet'!$A$36&gt;35,N116+M117-V116,IF(A117&lt;'Données projet'!$A$36,$K$205^A117,IF(A117='Données projet'!$A$36,'Données projet'!$B$36,N116+M117-V116)))</f>
        <v>219.9220085470082</v>
      </c>
      <c r="O117" s="13">
        <f>N117*VLOOKUP('Données projet'!$B$9,Paramètres!$A$1:$I$89,3,0)*VLOOKUP('Données projet'!$B$9,Paramètres!$A$1:$I$89,5,0)</f>
        <v>198.98543333333302</v>
      </c>
      <c r="P117" s="13">
        <f t="shared" si="87"/>
        <v>49.521130725595967</v>
      </c>
      <c r="Q117" s="20">
        <f t="shared" si="107"/>
        <v>432.8155990693013</v>
      </c>
      <c r="R117" s="59">
        <f t="shared" si="55"/>
        <v>713.68101410400675</v>
      </c>
      <c r="S117" s="59">
        <f ca="1">AVERAGE(OFFSET($R$3,0,0,'Données projet'!$E$9+1,1))-AVERAGE(OFFSET($H$3,0,0,'Données projet'!$E$9+1,1))</f>
        <v>388.1278150896951</v>
      </c>
      <c r="T117" s="59">
        <f t="shared" si="88"/>
        <v>232.26614607059227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35.001450291670885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35.001450291670885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5.3066239316239274</v>
      </c>
      <c r="AI117" s="13">
        <f>IF('Données projet'!$A$62&gt;35,AI116+AH117-AQ116,IF(A117&lt;'Données projet'!$A$62,$AF$205^A117,IF(A117='Données projet'!$A$62,'Données projet'!$B$62,AI116+AH117-AQ116)))</f>
        <v>219.9220085470082</v>
      </c>
      <c r="AJ117" s="13">
        <f>AI117*VLOOKUP('Données projet'!$B$10,Paramètres!$A$1:$I$89,3,0)*VLOOKUP('Données projet'!$B$10,Paramètres!$A$1:$I$89,5,0)</f>
        <v>223.00091666666631</v>
      </c>
      <c r="AK117" s="13">
        <f t="shared" si="89"/>
        <v>54.766604945604634</v>
      </c>
      <c r="AL117" s="20">
        <f t="shared" si="58"/>
        <v>483.77843347470525</v>
      </c>
      <c r="AM117" s="59">
        <f t="shared" si="59"/>
        <v>764.64384850941065</v>
      </c>
      <c r="AN117" s="59">
        <f ca="1">AVERAGE(OFFSET($AM$3,0,0,'Données projet'!$E$10+1,1))-AVERAGE(OFFSET($H$3,0,0,'Données projet'!$E$10+1,1))</f>
        <v>424.89201140676084</v>
      </c>
      <c r="AO117" s="59">
        <f t="shared" si="90"/>
        <v>253.0016648946303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39.225763257907019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39.225763257907019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155.99999999999991</v>
      </c>
      <c r="BE117" s="13">
        <f>BD117*VLOOKUP('Données projet'!$B$11,Paramètres!$A$1:$I$89,3,0)*VLOOKUP('Données projet'!$B$11,Paramètres!$A$1:$I$89,5,0)</f>
        <v>136.28159999999994</v>
      </c>
      <c r="BF117" s="13">
        <f t="shared" si="91"/>
        <v>35.443842312892279</v>
      </c>
      <c r="BG117" s="20">
        <f t="shared" si="61"/>
        <v>299.08847869495395</v>
      </c>
      <c r="BH117" s="59">
        <f t="shared" si="62"/>
        <v>579.9538937296594</v>
      </c>
      <c r="BI117" s="59">
        <f ca="1">AVERAGE(OFFSET($BH$3,0,0,'Données projet'!$E$11+1,1))-AVERAGE(OFFSET($H$3,0,0,'Données projet'!$E$11+1,1))</f>
        <v>218.97952644043698</v>
      </c>
      <c r="BJ117" s="59">
        <f t="shared" si="92"/>
        <v>204.10961748628714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0.90682982030543735</v>
      </c>
      <c r="BQ117" s="21">
        <f>EXP(-LN(2)/25)*BQ116+(1-EXP(-LN(2)/25))/(LN(2)/25)*Calculateur!BL117*Calculateur!BN117*VLOOKUP('Données projet'!$B$11,Paramètres!$A$1:$I$89,3,0)*0.475*44/12</f>
        <v>1.9512750791887947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2.858104899494232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191.99999999999977</v>
      </c>
      <c r="BZ117" s="13">
        <f>BY117*VLOOKUP('Données projet'!$B$12,Paramètres!$A$1:$I$89,3,0)*VLOOKUP('Données projet'!$B$12,Paramètres!$A$1:$I$89,5,0)</f>
        <v>155.75039999999984</v>
      </c>
      <c r="CA117" s="13">
        <f t="shared" si="93"/>
        <v>39.882509755133718</v>
      </c>
      <c r="CB117" s="20">
        <f t="shared" si="64"/>
        <v>340.72731782352429</v>
      </c>
      <c r="CC117" s="59">
        <f t="shared" si="65"/>
        <v>621.59273285822974</v>
      </c>
      <c r="CD117" s="59">
        <f ca="1">AVERAGE(OFFSET($CC$3,0,0,'Données projet'!$E$12+1,1))-AVERAGE(OFFSET($H$3,0,0,'Données projet'!$E$12+1,1))</f>
        <v>256.23994291192162</v>
      </c>
      <c r="CE117" s="59">
        <f t="shared" si="94"/>
        <v>207.9118653708222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2.1202190761212587</v>
      </c>
      <c r="CL117" s="21">
        <f>EXP(-LN(2)/25)*CL116+(1-EXP(-LN(2)/25))/(LN(2)/25)*Calculateur!CG117*Calculateur!CI117*VLOOKUP('Données projet'!$B$12,Paramètres!$A$1:$I$89,3,0)*0.475*44/12</f>
        <v>5.037226022970148</v>
      </c>
      <c r="CM117" s="21">
        <f>EXP(-LN(2)/2)*CM116+(1-EXP(-LN(2)/2))/(LN(2)/2)*CG117*CJ117*VLOOKUP('Données projet'!$B$12,Paramètres!$A$1:$I$89,3,0)*0.475*44/12</f>
        <v>4.5677583278492433E-4</v>
      </c>
      <c r="CN117" s="22">
        <f t="shared" si="66"/>
        <v>7.1579018749241916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170.99999999999991</v>
      </c>
      <c r="CU117" s="17">
        <f>CT117*VLOOKUP('Données projet'!$B$13,Paramètres!$A$1:$I$89,3,0)*VLOOKUP('Données projet'!$B$13,Paramètres!$A$1:$I$89,5,0)</f>
        <v>98.701199999999957</v>
      </c>
      <c r="CV117" s="13">
        <f t="shared" si="95"/>
        <v>26.652341328097943</v>
      </c>
      <c r="CW117" s="20">
        <f t="shared" si="67"/>
        <v>218.32408447977051</v>
      </c>
      <c r="CX117" s="59">
        <f t="shared" si="68"/>
        <v>499.18949951447598</v>
      </c>
      <c r="CY117" s="59">
        <f ca="1">AVERAGE(OFFSET($CX$3,0,0,'Données projet'!$E$13+1,1))-AVERAGE(OFFSET($H$3,0,0,'Données projet'!$E$13+1,1))</f>
        <v>205.74526926885287</v>
      </c>
      <c r="CZ117" s="59">
        <f t="shared" si="96"/>
        <v>201.56217137928999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0.55493998123366794</v>
      </c>
      <c r="DG117" s="21">
        <f>EXP(-LN(2)/25)*DG116+(1-EXP(-LN(2)/25))/(LN(2)/25)*Calculateur!DB117*Calculateur!DD117*VLOOKUP('Données projet'!$B$13,Paramètres!$A$1:$I$89,3,0)*0.475*44/12</f>
        <v>3.8106935260361201</v>
      </c>
      <c r="DH117" s="21">
        <f>EXP(-LN(2)/2)*DH116+(1-EXP(-LN(2)/2))/(LN(2)/2)*DB117*DE117*VLOOKUP('Données projet'!$B$13,Paramètres!$A$1:$I$89,3,0)*0.475*44/12</f>
        <v>5.4339189660892735E-4</v>
      </c>
      <c r="DI117" s="22">
        <f t="shared" si="69"/>
        <v>4.3661768991663967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5.3066239316239274</v>
      </c>
      <c r="DO117" s="12">
        <f>IF('Données projet'!$A$166&gt;35,DO116+DN117-DW116,IF(A117&lt;'Données projet'!$A$166,$DL$205^A117,IF(A117='Données projet'!$A$166,'Données projet'!$B$166,DO116+DN117-DW116)))</f>
        <v>219.9220085470082</v>
      </c>
      <c r="DP117" s="17">
        <f>DO117*VLOOKUP('Données projet'!$B$14,Paramètres!$A$1:$I$89,3,0)*VLOOKUP('Données projet'!$B$14,Paramètres!$A$1:$I$89,5,0)</f>
        <v>209.27778333333302</v>
      </c>
      <c r="DQ117" s="13">
        <f t="shared" si="97"/>
        <v>51.777731556114787</v>
      </c>
      <c r="DR117" s="20">
        <f t="shared" si="70"/>
        <v>454.67168843245491</v>
      </c>
      <c r="DS117" s="59">
        <f t="shared" si="71"/>
        <v>735.53710346716036</v>
      </c>
      <c r="DT117" s="59">
        <f ca="1">AVERAGE(OFFSET($DS$3,0,0,'Données projet'!$E$14+1,1))-AVERAGE(OFFSET($H$3,0,0,'Données projet'!$E$14+1,1))</f>
        <v>403.89478276355294</v>
      </c>
      <c r="DU117" s="59">
        <f t="shared" si="98"/>
        <v>241.1593989733278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36.811870134343515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36.811870134343515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5.3066239316239274</v>
      </c>
      <c r="N118" s="13">
        <f>IF('Données projet'!$A$36&gt;35,N117+M118-V117,IF(A118&lt;'Données projet'!$A$36,$K$205^A118,IF(A118='Données projet'!$A$36,'Données projet'!$B$36,N117+M118-V117)))</f>
        <v>225.22863247863214</v>
      </c>
      <c r="O118" s="13">
        <f>N118*VLOOKUP('Données projet'!$B$9,Paramètres!$A$1:$I$89,3,0)*VLOOKUP('Données projet'!$B$9,Paramètres!$A$1:$I$89,5,0)</f>
        <v>203.78686666666636</v>
      </c>
      <c r="P118" s="13">
        <f t="shared" si="87"/>
        <v>50.57549569083951</v>
      </c>
      <c r="Q118" s="20">
        <f t="shared" si="107"/>
        <v>443.01444777265607</v>
      </c>
      <c r="R118" s="59">
        <f t="shared" si="55"/>
        <v>724.09615331575333</v>
      </c>
      <c r="S118" s="59">
        <f ca="1">AVERAGE(OFFSET($R$3,0,0,'Données projet'!$E$9+1,1))-AVERAGE(OFFSET($H$3,0,0,'Données projet'!$E$9+1,1))</f>
        <v>388.1278150896951</v>
      </c>
      <c r="T118" s="59">
        <f t="shared" si="88"/>
        <v>232.26614607059227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34.315093200227878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34.315093200227878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5.3066239316239274</v>
      </c>
      <c r="AI118" s="13">
        <f>IF('Données projet'!$A$62&gt;35,AI117+AH118-AQ117,IF(A118&lt;'Données projet'!$A$62,$AF$205^A118,IF(A118='Données projet'!$A$62,'Données projet'!$B$62,AI117+AH118-AQ117)))</f>
        <v>225.22863247863214</v>
      </c>
      <c r="AJ118" s="13">
        <f>AI118*VLOOKUP('Données projet'!$B$10,Paramètres!$A$1:$I$89,3,0)*VLOOKUP('Données projet'!$B$10,Paramètres!$A$1:$I$89,5,0)</f>
        <v>228.38183333333299</v>
      </c>
      <c r="AK118" s="13">
        <f t="shared" si="89"/>
        <v>55.932652422184837</v>
      </c>
      <c r="AL118" s="20">
        <f t="shared" si="58"/>
        <v>495.18106269086019</v>
      </c>
      <c r="AM118" s="59">
        <f t="shared" si="59"/>
        <v>776.26276823395744</v>
      </c>
      <c r="AN118" s="59">
        <f ca="1">AVERAGE(OFFSET($AM$3,0,0,'Données projet'!$E$10+1,1))-AVERAGE(OFFSET($H$3,0,0,'Données projet'!$E$10+1,1))</f>
        <v>424.89201140676084</v>
      </c>
      <c r="AO118" s="59">
        <f t="shared" si="90"/>
        <v>253.0016648946303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38.456569965772616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38.456569965772616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155.99999999999991</v>
      </c>
      <c r="BE118" s="13">
        <f>BD118*VLOOKUP('Données projet'!$B$11,Paramètres!$A$1:$I$89,3,0)*VLOOKUP('Données projet'!$B$11,Paramètres!$A$1:$I$89,5,0)</f>
        <v>136.28159999999994</v>
      </c>
      <c r="BF118" s="13">
        <f t="shared" si="91"/>
        <v>35.443842312892279</v>
      </c>
      <c r="BG118" s="20">
        <f t="shared" si="61"/>
        <v>299.08847869495395</v>
      </c>
      <c r="BH118" s="59">
        <f t="shared" si="62"/>
        <v>580.17018423805121</v>
      </c>
      <c r="BI118" s="59">
        <f ca="1">AVERAGE(OFFSET($BH$3,0,0,'Données projet'!$E$11+1,1))-AVERAGE(OFFSET($H$3,0,0,'Données projet'!$E$11+1,1))</f>
        <v>218.97952644043698</v>
      </c>
      <c r="BJ118" s="59">
        <f t="shared" si="92"/>
        <v>204.10961748628714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0.88904744064082286</v>
      </c>
      <c r="BQ118" s="21">
        <f>EXP(-LN(2)/25)*BQ117+(1-EXP(-LN(2)/25))/(LN(2)/25)*Calculateur!BL118*Calculateur!BN118*VLOOKUP('Données projet'!$B$11,Paramètres!$A$1:$I$89,3,0)*0.475*44/12</f>
        <v>1.8979173595352805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2.7869648001761034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191.99999999999977</v>
      </c>
      <c r="BZ118" s="13">
        <f>BY118*VLOOKUP('Données projet'!$B$12,Paramètres!$A$1:$I$89,3,0)*VLOOKUP('Données projet'!$B$12,Paramètres!$A$1:$I$89,5,0)</f>
        <v>155.75039999999984</v>
      </c>
      <c r="CA118" s="13">
        <f t="shared" si="93"/>
        <v>39.882509755133718</v>
      </c>
      <c r="CB118" s="20">
        <f t="shared" si="64"/>
        <v>340.72731782352429</v>
      </c>
      <c r="CC118" s="59">
        <f t="shared" si="65"/>
        <v>621.80902336662155</v>
      </c>
      <c r="CD118" s="59">
        <f ca="1">AVERAGE(OFFSET($CC$3,0,0,'Données projet'!$E$12+1,1))-AVERAGE(OFFSET($H$3,0,0,'Données projet'!$E$12+1,1))</f>
        <v>256.23994291192162</v>
      </c>
      <c r="CE118" s="59">
        <f t="shared" si="94"/>
        <v>207.9118653708222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2.0786428732444637</v>
      </c>
      <c r="CL118" s="21">
        <f>EXP(-LN(2)/25)*CL117+(1-EXP(-LN(2)/25))/(LN(2)/25)*Calculateur!CG118*Calculateur!CI118*VLOOKUP('Données projet'!$B$12,Paramètres!$A$1:$I$89,3,0)*0.475*44/12</f>
        <v>4.8994828124758252</v>
      </c>
      <c r="CM118" s="21">
        <f>EXP(-LN(2)/2)*CM117+(1-EXP(-LN(2)/2))/(LN(2)/2)*CG118*CJ118*VLOOKUP('Données projet'!$B$12,Paramètres!$A$1:$I$89,3,0)*0.475*44/12</f>
        <v>3.2298928884435255E-4</v>
      </c>
      <c r="CN118" s="22">
        <f t="shared" si="66"/>
        <v>6.9784486750091332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170.99999999999991</v>
      </c>
      <c r="CU118" s="17">
        <f>CT118*VLOOKUP('Données projet'!$B$13,Paramètres!$A$1:$I$89,3,0)*VLOOKUP('Données projet'!$B$13,Paramètres!$A$1:$I$89,5,0)</f>
        <v>98.701199999999957</v>
      </c>
      <c r="CV118" s="13">
        <f t="shared" si="95"/>
        <v>26.652341328097943</v>
      </c>
      <c r="CW118" s="20">
        <f t="shared" si="67"/>
        <v>218.32408447977051</v>
      </c>
      <c r="CX118" s="59">
        <f t="shared" si="68"/>
        <v>499.40579002286779</v>
      </c>
      <c r="CY118" s="59">
        <f ca="1">AVERAGE(OFFSET($CX$3,0,0,'Données projet'!$E$13+1,1))-AVERAGE(OFFSET($H$3,0,0,'Données projet'!$E$13+1,1))</f>
        <v>205.74526926885287</v>
      </c>
      <c r="CZ118" s="59">
        <f t="shared" si="96"/>
        <v>201.56217137928999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0.5440579466816422</v>
      </c>
      <c r="DG118" s="21">
        <f>EXP(-LN(2)/25)*DG117+(1-EXP(-LN(2)/25))/(LN(2)/25)*Calculateur!DB118*Calculateur!DD118*VLOOKUP('Données projet'!$B$13,Paramètres!$A$1:$I$89,3,0)*0.475*44/12</f>
        <v>3.7064899111709995</v>
      </c>
      <c r="DH118" s="21">
        <f>EXP(-LN(2)/2)*DH117+(1-EXP(-LN(2)/2))/(LN(2)/2)*DB118*DE118*VLOOKUP('Données projet'!$B$13,Paramètres!$A$1:$I$89,3,0)*0.475*44/12</f>
        <v>3.8423609493399186E-4</v>
      </c>
      <c r="DI118" s="22">
        <f t="shared" si="69"/>
        <v>4.2509320939475757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5.3066239316239274</v>
      </c>
      <c r="DO118" s="12">
        <f>IF('Données projet'!$A$166&gt;35,DO117+DN118-DW117,IF(A118&lt;'Données projet'!$A$166,$DL$205^A118,IF(A118='Données projet'!$A$166,'Données projet'!$B$166,DO117+DN118-DW117)))</f>
        <v>225.22863247863214</v>
      </c>
      <c r="DP118" s="17">
        <f>DO118*VLOOKUP('Données projet'!$B$14,Paramètres!$A$1:$I$89,3,0)*VLOOKUP('Données projet'!$B$14,Paramètres!$A$1:$I$89,5,0)</f>
        <v>214.32756666666634</v>
      </c>
      <c r="DQ118" s="13">
        <f t="shared" si="97"/>
        <v>52.880142291343276</v>
      </c>
      <c r="DR118" s="20">
        <f t="shared" si="70"/>
        <v>465.38675976853341</v>
      </c>
      <c r="DS118" s="59">
        <f t="shared" si="71"/>
        <v>746.46846531163067</v>
      </c>
      <c r="DT118" s="59">
        <f ca="1">AVERAGE(OFFSET($DS$3,0,0,'Données projet'!$E$14+1,1))-AVERAGE(OFFSET($H$3,0,0,'Données projet'!$E$14+1,1))</f>
        <v>403.89478276355294</v>
      </c>
      <c r="DU118" s="59">
        <f t="shared" si="98"/>
        <v>241.1593989733278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36.090011814032771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36.090011814032771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5.3066239316239274</v>
      </c>
      <c r="N119" s="13">
        <f>IF('Données projet'!$A$36&gt;35,N118+M119-V118,IF(A119&lt;'Données projet'!$A$36,$K$205^A119,IF(A119='Données projet'!$A$36,'Données projet'!$B$36,N118+M119-V118)))</f>
        <v>230.53525641025607</v>
      </c>
      <c r="O119" s="13">
        <f>N119*VLOOKUP('Données projet'!$B$9,Paramètres!$A$1:$I$89,3,0)*VLOOKUP('Données projet'!$B$9,Paramètres!$A$1:$I$89,5,0)</f>
        <v>208.58829999999969</v>
      </c>
      <c r="P119" s="13">
        <f t="shared" si="87"/>
        <v>51.626972732243416</v>
      </c>
      <c r="Q119" s="20">
        <f t="shared" si="107"/>
        <v>453.20826667532333</v>
      </c>
      <c r="R119" s="59">
        <f t="shared" si="55"/>
        <v>734.50251057004482</v>
      </c>
      <c r="S119" s="59">
        <f ca="1">AVERAGE(OFFSET($R$3,0,0,'Données projet'!$E$9+1,1))-AVERAGE(OFFSET($H$3,0,0,'Données projet'!$E$9+1,1))</f>
        <v>388.1278150896951</v>
      </c>
      <c r="T119" s="59">
        <f t="shared" si="88"/>
        <v>232.26614607059227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33.642195152711579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33.642195152711579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5.3066239316239274</v>
      </c>
      <c r="AI119" s="13">
        <f>IF('Données projet'!$A$62&gt;35,AI118+AH119-AQ118,IF(A119&lt;'Données projet'!$A$62,$AF$205^A119,IF(A119='Données projet'!$A$62,'Données projet'!$B$62,AI118+AH119-AQ118)))</f>
        <v>230.53525641025607</v>
      </c>
      <c r="AJ119" s="13">
        <f>AI119*VLOOKUP('Données projet'!$B$10,Paramètres!$A$1:$I$89,3,0)*VLOOKUP('Données projet'!$B$10,Paramètres!$A$1:$I$89,5,0)</f>
        <v>233.76274999999964</v>
      </c>
      <c r="AK119" s="13">
        <f t="shared" si="89"/>
        <v>57.095506074599044</v>
      </c>
      <c r="AL119" s="20">
        <f t="shared" si="58"/>
        <v>506.57812932992596</v>
      </c>
      <c r="AM119" s="59">
        <f t="shared" si="59"/>
        <v>787.87237322464739</v>
      </c>
      <c r="AN119" s="59">
        <f ca="1">AVERAGE(OFFSET($AM$3,0,0,'Données projet'!$E$10+1,1))-AVERAGE(OFFSET($H$3,0,0,'Données projet'!$E$10+1,1))</f>
        <v>424.89201140676084</v>
      </c>
      <c r="AO119" s="59">
        <f t="shared" si="90"/>
        <v>253.0016648946303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37.702460084935389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37.702460084935389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155.99999999999991</v>
      </c>
      <c r="BE119" s="13">
        <f>BD119*VLOOKUP('Données projet'!$B$11,Paramètres!$A$1:$I$89,3,0)*VLOOKUP('Données projet'!$B$11,Paramètres!$A$1:$I$89,5,0)</f>
        <v>136.28159999999994</v>
      </c>
      <c r="BF119" s="13">
        <f t="shared" si="91"/>
        <v>35.443842312892279</v>
      </c>
      <c r="BG119" s="20">
        <f t="shared" si="61"/>
        <v>299.08847869495395</v>
      </c>
      <c r="BH119" s="59">
        <f t="shared" si="62"/>
        <v>580.3827225896755</v>
      </c>
      <c r="BI119" s="59">
        <f ca="1">AVERAGE(OFFSET($BH$3,0,0,'Données projet'!$E$11+1,1))-AVERAGE(OFFSET($H$3,0,0,'Données projet'!$E$11+1,1))</f>
        <v>218.97952644043698</v>
      </c>
      <c r="BJ119" s="59">
        <f t="shared" si="92"/>
        <v>204.10961748628714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0.87161376259525081</v>
      </c>
      <c r="BQ119" s="21">
        <f>EXP(-LN(2)/25)*BQ118+(1-EXP(-LN(2)/25))/(LN(2)/25)*Calculateur!BL119*Calculateur!BN119*VLOOKUP('Données projet'!$B$11,Paramètres!$A$1:$I$89,3,0)*0.475*44/12</f>
        <v>1.846018709531652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2.717632472126903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191.99999999999977</v>
      </c>
      <c r="BZ119" s="13">
        <f>BY119*VLOOKUP('Données projet'!$B$12,Paramètres!$A$1:$I$89,3,0)*VLOOKUP('Données projet'!$B$12,Paramètres!$A$1:$I$89,5,0)</f>
        <v>155.75039999999984</v>
      </c>
      <c r="CA119" s="13">
        <f t="shared" si="93"/>
        <v>39.882509755133718</v>
      </c>
      <c r="CB119" s="20">
        <f t="shared" si="64"/>
        <v>340.72731782352429</v>
      </c>
      <c r="CC119" s="59">
        <f t="shared" si="65"/>
        <v>622.02156171824572</v>
      </c>
      <c r="CD119" s="59">
        <f ca="1">AVERAGE(OFFSET($CC$3,0,0,'Données projet'!$E$12+1,1))-AVERAGE(OFFSET($H$3,0,0,'Données projet'!$E$12+1,1))</f>
        <v>256.23994291192162</v>
      </c>
      <c r="CE119" s="59">
        <f t="shared" si="94"/>
        <v>207.9118653708222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2.0378819543471032</v>
      </c>
      <c r="CL119" s="21">
        <f>EXP(-LN(2)/25)*CL118+(1-EXP(-LN(2)/25))/(LN(2)/25)*Calculateur!CG119*Calculateur!CI119*VLOOKUP('Données projet'!$B$12,Paramètres!$A$1:$I$89,3,0)*0.475*44/12</f>
        <v>4.7655061973160704</v>
      </c>
      <c r="CM119" s="21">
        <f>EXP(-LN(2)/2)*CM118+(1-EXP(-LN(2)/2))/(LN(2)/2)*CG119*CJ119*VLOOKUP('Données projet'!$B$12,Paramètres!$A$1:$I$89,3,0)*0.475*44/12</f>
        <v>2.2838791639246222E-4</v>
      </c>
      <c r="CN119" s="22">
        <f t="shared" si="66"/>
        <v>6.8036165395795658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170.99999999999991</v>
      </c>
      <c r="CU119" s="17">
        <f>CT119*VLOOKUP('Données projet'!$B$13,Paramètres!$A$1:$I$89,3,0)*VLOOKUP('Données projet'!$B$13,Paramètres!$A$1:$I$89,5,0)</f>
        <v>98.701199999999957</v>
      </c>
      <c r="CV119" s="13">
        <f t="shared" si="95"/>
        <v>26.652341328097943</v>
      </c>
      <c r="CW119" s="20">
        <f t="shared" si="67"/>
        <v>218.32408447977051</v>
      </c>
      <c r="CX119" s="59">
        <f t="shared" si="68"/>
        <v>499.61832837449197</v>
      </c>
      <c r="CY119" s="59">
        <f ca="1">AVERAGE(OFFSET($CX$3,0,0,'Données projet'!$E$13+1,1))-AVERAGE(OFFSET($H$3,0,0,'Données projet'!$E$13+1,1))</f>
        <v>205.74526926885287</v>
      </c>
      <c r="CZ119" s="59">
        <f t="shared" si="96"/>
        <v>201.56217137928999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0.53338930218979597</v>
      </c>
      <c r="DG119" s="21">
        <f>EXP(-LN(2)/25)*DG118+(1-EXP(-LN(2)/25))/(LN(2)/25)*Calculateur!DB119*Calculateur!DD119*VLOOKUP('Données projet'!$B$13,Paramètres!$A$1:$I$89,3,0)*0.475*44/12</f>
        <v>3.6051357496341954</v>
      </c>
      <c r="DH119" s="21">
        <f>EXP(-LN(2)/2)*DH118+(1-EXP(-LN(2)/2))/(LN(2)/2)*DB119*DE119*VLOOKUP('Données projet'!$B$13,Paramètres!$A$1:$I$89,3,0)*0.475*44/12</f>
        <v>2.7169594830446368E-4</v>
      </c>
      <c r="DI119" s="22">
        <f t="shared" si="69"/>
        <v>4.1387967477722967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5.3066239316239274</v>
      </c>
      <c r="DO119" s="12">
        <f>IF('Données projet'!$A$166&gt;35,DO118+DN119-DW118,IF(A119&lt;'Données projet'!$A$166,$DL$205^A119,IF(A119='Données projet'!$A$166,'Données projet'!$B$166,DO118+DN119-DW118)))</f>
        <v>230.53525641025607</v>
      </c>
      <c r="DP119" s="17">
        <f>DO119*VLOOKUP('Données projet'!$B$14,Paramètres!$A$1:$I$89,3,0)*VLOOKUP('Données projet'!$B$14,Paramètres!$A$1:$I$89,5,0)</f>
        <v>219.37734999999969</v>
      </c>
      <c r="DQ119" s="13">
        <f t="shared" si="97"/>
        <v>53.979533504538885</v>
      </c>
      <c r="DR119" s="20">
        <f t="shared" si="70"/>
        <v>476.09657210373803</v>
      </c>
      <c r="DS119" s="59">
        <f t="shared" si="71"/>
        <v>757.39081599845952</v>
      </c>
      <c r="DT119" s="59">
        <f ca="1">AVERAGE(OFFSET($DS$3,0,0,'Données projet'!$E$14+1,1))-AVERAGE(OFFSET($H$3,0,0,'Données projet'!$E$14+1,1))</f>
        <v>403.89478276355294</v>
      </c>
      <c r="DU119" s="59">
        <f t="shared" si="98"/>
        <v>241.1593989733278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35.382308695093215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35.382308695093215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5.3066239316239274</v>
      </c>
      <c r="N120" s="13">
        <f>IF('Données projet'!$A$36&gt;35,N119+M120-V119,IF(A120&lt;'Données projet'!$A$36,$K$205^A120,IF(A120='Données projet'!$A$36,'Données projet'!$B$36,N119+M120-V119)))</f>
        <v>235.84188034188</v>
      </c>
      <c r="O120" s="13">
        <f>N120*VLOOKUP('Données projet'!$B$9,Paramètres!$A$1:$I$89,3,0)*VLOOKUP('Données projet'!$B$9,Paramètres!$A$1:$I$89,5,0)</f>
        <v>213.389733333333</v>
      </c>
      <c r="P120" s="13">
        <f t="shared" si="87"/>
        <v>52.675635977819994</v>
      </c>
      <c r="Q120" s="20">
        <f t="shared" si="107"/>
        <v>463.39718488359148</v>
      </c>
      <c r="R120" s="59">
        <f t="shared" si="55"/>
        <v>744.90028006470106</v>
      </c>
      <c r="S120" s="59">
        <f ca="1">AVERAGE(OFFSET($R$3,0,0,'Données projet'!$E$9+1,1))-AVERAGE(OFFSET($H$3,0,0,'Données projet'!$E$9+1,1))</f>
        <v>388.1278150896951</v>
      </c>
      <c r="T120" s="59">
        <f t="shared" si="88"/>
        <v>232.26614607059227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32.982492225479795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32.982492225479795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5.3066239316239274</v>
      </c>
      <c r="AI120" s="13">
        <f>IF('Données projet'!$A$62&gt;35,AI119+AH120-AQ119,IF(A120&lt;'Données projet'!$A$62,$AF$205^A120,IF(A120='Données projet'!$A$62,'Données projet'!$B$62,AI119+AH120-AQ119)))</f>
        <v>235.84188034188</v>
      </c>
      <c r="AJ120" s="13">
        <f>AI120*VLOOKUP('Données projet'!$B$10,Paramètres!$A$1:$I$89,3,0)*VLOOKUP('Données projet'!$B$10,Paramètres!$A$1:$I$89,5,0)</f>
        <v>239.14366666666635</v>
      </c>
      <c r="AK120" s="13">
        <f t="shared" si="89"/>
        <v>58.255247882792112</v>
      </c>
      <c r="AL120" s="20">
        <f t="shared" si="58"/>
        <v>517.96977617364007</v>
      </c>
      <c r="AM120" s="59">
        <f t="shared" si="59"/>
        <v>799.47287135474971</v>
      </c>
      <c r="AN120" s="59">
        <f ca="1">AVERAGE(OFFSET($AM$3,0,0,'Données projet'!$E$10+1,1))-AVERAGE(OFFSET($H$3,0,0,'Données projet'!$E$10+1,1))</f>
        <v>424.89201140676084</v>
      </c>
      <c r="AO120" s="59">
        <f t="shared" si="90"/>
        <v>253.0016648946303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36.963137838899769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36.963137838899769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155.99999999999991</v>
      </c>
      <c r="BE120" s="13">
        <f>BD120*VLOOKUP('Données projet'!$B$11,Paramètres!$A$1:$I$89,3,0)*VLOOKUP('Données projet'!$B$11,Paramètres!$A$1:$I$89,5,0)</f>
        <v>136.28159999999994</v>
      </c>
      <c r="BF120" s="13">
        <f t="shared" si="91"/>
        <v>35.443842312892279</v>
      </c>
      <c r="BG120" s="20">
        <f t="shared" si="61"/>
        <v>299.08847869495395</v>
      </c>
      <c r="BH120" s="59">
        <f t="shared" si="62"/>
        <v>580.59157387606365</v>
      </c>
      <c r="BI120" s="59">
        <f ca="1">AVERAGE(OFFSET($BH$3,0,0,'Données projet'!$E$11+1,1))-AVERAGE(OFFSET($H$3,0,0,'Données projet'!$E$11+1,1))</f>
        <v>218.97952644043698</v>
      </c>
      <c r="BJ120" s="59">
        <f t="shared" si="92"/>
        <v>204.10961748628714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0.85452194834265882</v>
      </c>
      <c r="BQ120" s="21">
        <f>EXP(-LN(2)/25)*BQ119+(1-EXP(-LN(2)/25))/(LN(2)/25)*Calculateur!BL120*Calculateur!BN120*VLOOKUP('Données projet'!$B$11,Paramètres!$A$1:$I$89,3,0)*0.475*44/12</f>
        <v>1.7955392308416043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2.650061179184263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191.99999999999977</v>
      </c>
      <c r="BZ120" s="13">
        <f>BY120*VLOOKUP('Données projet'!$B$12,Paramètres!$A$1:$I$89,3,0)*VLOOKUP('Données projet'!$B$12,Paramètres!$A$1:$I$89,5,0)</f>
        <v>155.75039999999984</v>
      </c>
      <c r="CA120" s="13">
        <f t="shared" si="93"/>
        <v>39.882509755133718</v>
      </c>
      <c r="CB120" s="20">
        <f t="shared" si="64"/>
        <v>340.72731782352429</v>
      </c>
      <c r="CC120" s="59">
        <f t="shared" si="65"/>
        <v>622.23041300463387</v>
      </c>
      <c r="CD120" s="59">
        <f ca="1">AVERAGE(OFFSET($CC$3,0,0,'Données projet'!$E$12+1,1))-AVERAGE(OFFSET($H$3,0,0,'Données projet'!$E$12+1,1))</f>
        <v>256.23994291192162</v>
      </c>
      <c r="CE120" s="59">
        <f t="shared" si="94"/>
        <v>207.9118653708222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1.997920332207614</v>
      </c>
      <c r="CL120" s="21">
        <f>EXP(-LN(2)/25)*CL119+(1-EXP(-LN(2)/25))/(LN(2)/25)*Calculateur!CG120*Calculateur!CI120*VLOOKUP('Données projet'!$B$12,Paramètres!$A$1:$I$89,3,0)*0.475*44/12</f>
        <v>4.635193179743383</v>
      </c>
      <c r="CM120" s="21">
        <f>EXP(-LN(2)/2)*CM119+(1-EXP(-LN(2)/2))/(LN(2)/2)*CG120*CJ120*VLOOKUP('Données projet'!$B$12,Paramètres!$A$1:$I$89,3,0)*0.475*44/12</f>
        <v>1.614946444221763E-4</v>
      </c>
      <c r="CN120" s="22">
        <f t="shared" si="66"/>
        <v>6.6332750065954196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170.99999999999991</v>
      </c>
      <c r="CU120" s="17">
        <f>CT120*VLOOKUP('Données projet'!$B$13,Paramètres!$A$1:$I$89,3,0)*VLOOKUP('Données projet'!$B$13,Paramètres!$A$1:$I$89,5,0)</f>
        <v>98.701199999999957</v>
      </c>
      <c r="CV120" s="13">
        <f t="shared" si="95"/>
        <v>26.652341328097943</v>
      </c>
      <c r="CW120" s="20">
        <f t="shared" si="67"/>
        <v>218.32408447977051</v>
      </c>
      <c r="CX120" s="59">
        <f t="shared" si="68"/>
        <v>499.82717966088012</v>
      </c>
      <c r="CY120" s="59">
        <f ca="1">AVERAGE(OFFSET($CX$3,0,0,'Données projet'!$E$13+1,1))-AVERAGE(OFFSET($H$3,0,0,'Données projet'!$E$13+1,1))</f>
        <v>205.74526926885287</v>
      </c>
      <c r="CZ120" s="59">
        <f t="shared" si="96"/>
        <v>201.56217137928999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0.52292986330920421</v>
      </c>
      <c r="DG120" s="21">
        <f>EXP(-LN(2)/25)*DG119+(1-EXP(-LN(2)/25))/(LN(2)/25)*Calculateur!DB120*Calculateur!DD120*VLOOKUP('Données projet'!$B$13,Paramètres!$A$1:$I$89,3,0)*0.475*44/12</f>
        <v>3.5065531229745988</v>
      </c>
      <c r="DH120" s="21">
        <f>EXP(-LN(2)/2)*DH119+(1-EXP(-LN(2)/2))/(LN(2)/2)*DB120*DE120*VLOOKUP('Données projet'!$B$13,Paramètres!$A$1:$I$89,3,0)*0.475*44/12</f>
        <v>1.9211804746699593E-4</v>
      </c>
      <c r="DI120" s="22">
        <f t="shared" si="69"/>
        <v>4.02967510433127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5.3066239316239274</v>
      </c>
      <c r="DO120" s="12">
        <f>IF('Données projet'!$A$166&gt;35,DO119+DN120-DW119,IF(A120&lt;'Données projet'!$A$166,$DL$205^A120,IF(A120='Données projet'!$A$166,'Données projet'!$B$166,DO119+DN120-DW119)))</f>
        <v>235.84188034188</v>
      </c>
      <c r="DP120" s="17">
        <f>DO120*VLOOKUP('Données projet'!$B$14,Paramètres!$A$1:$I$89,3,0)*VLOOKUP('Données projet'!$B$14,Paramètres!$A$1:$I$89,5,0)</f>
        <v>224.42713333333299</v>
      </c>
      <c r="DQ120" s="13">
        <f t="shared" si="97"/>
        <v>55.075982701611863</v>
      </c>
      <c r="DR120" s="20">
        <f t="shared" si="70"/>
        <v>486.80126042752903</v>
      </c>
      <c r="DS120" s="59">
        <f t="shared" si="71"/>
        <v>768.30435560863862</v>
      </c>
      <c r="DT120" s="59">
        <f ca="1">AVERAGE(OFFSET($DS$3,0,0,'Données projet'!$E$14+1,1))-AVERAGE(OFFSET($H$3,0,0,'Données projet'!$E$14+1,1))</f>
        <v>403.89478276355294</v>
      </c>
      <c r="DU120" s="59">
        <f t="shared" si="98"/>
        <v>241.1593989733278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34.688483202659789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34.688483202659789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5.3066239316239274</v>
      </c>
      <c r="N121" s="13">
        <f>IF('Données projet'!$A$36&gt;35,N120+M121-V120,IF(A121&lt;'Données projet'!$A$36,$K$205^A121,IF(A121='Données projet'!$A$36,'Données projet'!$B$36,N120+M121-V120)))</f>
        <v>241.14850427350393</v>
      </c>
      <c r="O121" s="13">
        <f>N121*VLOOKUP('Données projet'!$B$9,Paramètres!$A$1:$I$89,3,0)*VLOOKUP('Données projet'!$B$9,Paramètres!$A$1:$I$89,5,0)</f>
        <v>218.19116666666633</v>
      </c>
      <c r="P121" s="13">
        <f t="shared" si="87"/>
        <v>53.721556029282723</v>
      </c>
      <c r="Q121" s="20">
        <f t="shared" si="107"/>
        <v>473.58132536211127</v>
      </c>
      <c r="R121" s="59">
        <f t="shared" si="55"/>
        <v>755.28964872671168</v>
      </c>
      <c r="S121" s="59">
        <f ca="1">AVERAGE(OFFSET($R$3,0,0,'Données projet'!$E$9+1,1))-AVERAGE(OFFSET($H$3,0,0,'Données projet'!$E$9+1,1))</f>
        <v>388.1278150896951</v>
      </c>
      <c r="T121" s="59">
        <f t="shared" si="88"/>
        <v>232.26614607059227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32.33572567027197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32.33572567027197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5.3066239316239274</v>
      </c>
      <c r="AI121" s="13">
        <f>IF('Données projet'!$A$62&gt;35,AI120+AH121-AQ120,IF(A121&lt;'Données projet'!$A$62,$AF$205^A121,IF(A121='Données projet'!$A$62,'Données projet'!$B$62,AI120+AH121-AQ120)))</f>
        <v>241.14850427350393</v>
      </c>
      <c r="AJ121" s="13">
        <f>AI121*VLOOKUP('Données projet'!$B$10,Paramètres!$A$1:$I$89,3,0)*VLOOKUP('Données projet'!$B$10,Paramètres!$A$1:$I$89,5,0)</f>
        <v>244.52458333333303</v>
      </c>
      <c r="AK121" s="13">
        <f t="shared" si="89"/>
        <v>59.41195592689057</v>
      </c>
      <c r="AL121" s="20">
        <f t="shared" si="58"/>
        <v>529.35613921155607</v>
      </c>
      <c r="AM121" s="59">
        <f t="shared" si="59"/>
        <v>811.06446257615653</v>
      </c>
      <c r="AN121" s="59">
        <f ca="1">AVERAGE(OFFSET($AM$3,0,0,'Données projet'!$E$10+1,1))-AVERAGE(OFFSET($H$3,0,0,'Données projet'!$E$10+1,1))</f>
        <v>424.89201140676084</v>
      </c>
      <c r="AO121" s="59">
        <f t="shared" si="90"/>
        <v>253.0016648946303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36.238313251166865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36.238313251166865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155.99999999999991</v>
      </c>
      <c r="BE121" s="13">
        <f>BD121*VLOOKUP('Données projet'!$B$11,Paramètres!$A$1:$I$89,3,0)*VLOOKUP('Données projet'!$B$11,Paramètres!$A$1:$I$89,5,0)</f>
        <v>136.28159999999994</v>
      </c>
      <c r="BF121" s="13">
        <f t="shared" si="91"/>
        <v>35.443842312892279</v>
      </c>
      <c r="BG121" s="20">
        <f t="shared" si="61"/>
        <v>299.08847869495395</v>
      </c>
      <c r="BH121" s="59">
        <f t="shared" si="62"/>
        <v>580.79680205955435</v>
      </c>
      <c r="BI121" s="59">
        <f ca="1">AVERAGE(OFFSET($BH$3,0,0,'Données projet'!$E$11+1,1))-AVERAGE(OFFSET($H$3,0,0,'Données projet'!$E$11+1,1))</f>
        <v>218.97952644043698</v>
      </c>
      <c r="BJ121" s="59">
        <f t="shared" si="92"/>
        <v>204.10961748628714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0.83776529414258283</v>
      </c>
      <c r="BQ121" s="21">
        <f>EXP(-LN(2)/25)*BQ120+(1-EXP(-LN(2)/25))/(LN(2)/25)*Calculateur!BL121*Calculateur!BN121*VLOOKUP('Données projet'!$B$11,Paramètres!$A$1:$I$89,3,0)*0.475*44/12</f>
        <v>1.7464401161509362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2.584205410293519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191.99999999999977</v>
      </c>
      <c r="BZ121" s="13">
        <f>BY121*VLOOKUP('Données projet'!$B$12,Paramètres!$A$1:$I$89,3,0)*VLOOKUP('Données projet'!$B$12,Paramètres!$A$1:$I$89,5,0)</f>
        <v>155.75039999999984</v>
      </c>
      <c r="CA121" s="13">
        <f t="shared" si="93"/>
        <v>39.882509755133718</v>
      </c>
      <c r="CB121" s="20">
        <f t="shared" si="64"/>
        <v>340.72731782352429</v>
      </c>
      <c r="CC121" s="59">
        <f t="shared" si="65"/>
        <v>622.43564118812469</v>
      </c>
      <c r="CD121" s="59">
        <f ca="1">AVERAGE(OFFSET($CC$3,0,0,'Données projet'!$E$12+1,1))-AVERAGE(OFFSET($H$3,0,0,'Données projet'!$E$12+1,1))</f>
        <v>256.23994291192162</v>
      </c>
      <c r="CE121" s="59">
        <f t="shared" si="94"/>
        <v>207.9118653708222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1.9587423331040974</v>
      </c>
      <c r="CL121" s="21">
        <f>EXP(-LN(2)/25)*CL120+(1-EXP(-LN(2)/25))/(LN(2)/25)*Calculateur!CG121*Calculateur!CI121*VLOOKUP('Données projet'!$B$12,Paramètres!$A$1:$I$89,3,0)*0.475*44/12</f>
        <v>4.5084435784890848</v>
      </c>
      <c r="CM121" s="21">
        <f>EXP(-LN(2)/2)*CM120+(1-EXP(-LN(2)/2))/(LN(2)/2)*CG121*CJ121*VLOOKUP('Données projet'!$B$12,Paramètres!$A$1:$I$89,3,0)*0.475*44/12</f>
        <v>1.1419395819623112E-4</v>
      </c>
      <c r="CN121" s="22">
        <f t="shared" si="66"/>
        <v>6.4673001055513781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170.99999999999991</v>
      </c>
      <c r="CU121" s="17">
        <f>CT121*VLOOKUP('Données projet'!$B$13,Paramètres!$A$1:$I$89,3,0)*VLOOKUP('Données projet'!$B$13,Paramètres!$A$1:$I$89,5,0)</f>
        <v>98.701199999999957</v>
      </c>
      <c r="CV121" s="13">
        <f t="shared" si="95"/>
        <v>26.652341328097943</v>
      </c>
      <c r="CW121" s="20">
        <f t="shared" si="67"/>
        <v>218.32408447977051</v>
      </c>
      <c r="CX121" s="59">
        <f t="shared" si="68"/>
        <v>500.03240784437094</v>
      </c>
      <c r="CY121" s="59">
        <f ca="1">AVERAGE(OFFSET($CX$3,0,0,'Données projet'!$E$13+1,1))-AVERAGE(OFFSET($H$3,0,0,'Données projet'!$E$13+1,1))</f>
        <v>205.74526926885287</v>
      </c>
      <c r="CZ121" s="59">
        <f t="shared" si="96"/>
        <v>201.56217137928999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0.51267552764543312</v>
      </c>
      <c r="DG121" s="21">
        <f>EXP(-LN(2)/25)*DG120+(1-EXP(-LN(2)/25))/(LN(2)/25)*Calculateur!DB121*Calculateur!DD121*VLOOKUP('Données projet'!$B$13,Paramètres!$A$1:$I$89,3,0)*0.475*44/12</f>
        <v>3.4106662434252439</v>
      </c>
      <c r="DH121" s="21">
        <f>EXP(-LN(2)/2)*DH120+(1-EXP(-LN(2)/2))/(LN(2)/2)*DB121*DE121*VLOOKUP('Données projet'!$B$13,Paramètres!$A$1:$I$89,3,0)*0.475*44/12</f>
        <v>1.3584797415223184E-4</v>
      </c>
      <c r="DI121" s="22">
        <f t="shared" si="69"/>
        <v>3.9234776190448297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5.3066239316239274</v>
      </c>
      <c r="DO121" s="12">
        <f>IF('Données projet'!$A$166&gt;35,DO120+DN121-DW120,IF(A121&lt;'Données projet'!$A$166,$DL$205^A121,IF(A121='Données projet'!$A$166,'Données projet'!$B$166,DO120+DN121-DW120)))</f>
        <v>241.14850427350393</v>
      </c>
      <c r="DP121" s="17">
        <f>DO121*VLOOKUP('Données projet'!$B$14,Paramètres!$A$1:$I$89,3,0)*VLOOKUP('Données projet'!$B$14,Paramètres!$A$1:$I$89,5,0)</f>
        <v>229.47691666666634</v>
      </c>
      <c r="DQ121" s="13">
        <f t="shared" si="97"/>
        <v>56.169563701486098</v>
      </c>
      <c r="DR121" s="20">
        <f t="shared" si="70"/>
        <v>497.50095330786547</v>
      </c>
      <c r="DS121" s="59">
        <f t="shared" si="71"/>
        <v>779.20927667246588</v>
      </c>
      <c r="DT121" s="59">
        <f ca="1">AVERAGE(OFFSET($DS$3,0,0,'Données projet'!$E$14+1,1))-AVERAGE(OFFSET($H$3,0,0,'Données projet'!$E$14+1,1))</f>
        <v>403.89478276355294</v>
      </c>
      <c r="DU121" s="59">
        <f t="shared" si="98"/>
        <v>241.1593989733278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34.008263204941215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34.008263204941215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5.3066239316239274</v>
      </c>
      <c r="N122" s="13">
        <f>IF('Données projet'!$A$36&gt;35,N121+M122-V121,IF(A122&lt;'Données projet'!$A$36,$K$205^A122,IF(A122='Données projet'!$A$36,'Données projet'!$B$36,N121+M122-V121)))</f>
        <v>246.45512820512786</v>
      </c>
      <c r="O122" s="13">
        <f>N122*VLOOKUP('Données projet'!$B$9,Paramètres!$A$1:$I$89,3,0)*VLOOKUP('Données projet'!$B$9,Paramètres!$A$1:$I$89,5,0)</f>
        <v>222.99259999999967</v>
      </c>
      <c r="P122" s="13">
        <f t="shared" si="87"/>
        <v>54.764800203643112</v>
      </c>
      <c r="Q122" s="20">
        <f t="shared" si="107"/>
        <v>483.76080535467781</v>
      </c>
      <c r="R122" s="59">
        <f t="shared" si="55"/>
        <v>765.6707966526069</v>
      </c>
      <c r="S122" s="59">
        <f ca="1">AVERAGE(OFFSET($R$3,0,0,'Données projet'!$E$9+1,1))-AVERAGE(OFFSET($H$3,0,0,'Données projet'!$E$9+1,1))</f>
        <v>388.1278150896951</v>
      </c>
      <c r="T122" s="59">
        <f t="shared" si="88"/>
        <v>232.26614607059227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31.701641812723125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31.701641812723125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5.3066239316239274</v>
      </c>
      <c r="AI122" s="13">
        <f>IF('Données projet'!$A$62&gt;35,AI121+AH122-AQ121,IF(A122&lt;'Données projet'!$A$62,$AF$205^A122,IF(A122='Données projet'!$A$62,'Données projet'!$B$62,AI121+AH122-AQ121)))</f>
        <v>246.45512820512786</v>
      </c>
      <c r="AJ122" s="13">
        <f>AI122*VLOOKUP('Données projet'!$B$10,Paramètres!$A$1:$I$89,3,0)*VLOOKUP('Données projet'!$B$10,Paramètres!$A$1:$I$89,5,0)</f>
        <v>249.90549999999968</v>
      </c>
      <c r="AK122" s="13">
        <f t="shared" si="89"/>
        <v>60.565704654390196</v>
      </c>
      <c r="AL122" s="20">
        <f t="shared" si="58"/>
        <v>540.73734810639564</v>
      </c>
      <c r="AM122" s="59">
        <f t="shared" si="59"/>
        <v>822.64733940432484</v>
      </c>
      <c r="AN122" s="59">
        <f ca="1">AVERAGE(OFFSET($AM$3,0,0,'Données projet'!$E$10+1,1))-AVERAGE(OFFSET($H$3,0,0,'Données projet'!$E$10+1,1))</f>
        <v>424.89201140676084</v>
      </c>
      <c r="AO122" s="59">
        <f t="shared" si="90"/>
        <v>253.0016648946303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35.527702031500056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35.527702031500056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155.99999999999991</v>
      </c>
      <c r="BE122" s="13">
        <f>BD122*VLOOKUP('Données projet'!$B$11,Paramètres!$A$1:$I$89,3,0)*VLOOKUP('Données projet'!$B$11,Paramètres!$A$1:$I$89,5,0)</f>
        <v>136.28159999999994</v>
      </c>
      <c r="BF122" s="13">
        <f t="shared" si="91"/>
        <v>35.443842312892279</v>
      </c>
      <c r="BG122" s="20">
        <f t="shared" si="61"/>
        <v>299.08847869495395</v>
      </c>
      <c r="BH122" s="59">
        <f t="shared" si="62"/>
        <v>580.99846999288309</v>
      </c>
      <c r="BI122" s="59">
        <f ca="1">AVERAGE(OFFSET($BH$3,0,0,'Données projet'!$E$11+1,1))-AVERAGE(OFFSET($H$3,0,0,'Données projet'!$E$11+1,1))</f>
        <v>218.97952644043698</v>
      </c>
      <c r="BJ122" s="59">
        <f t="shared" si="92"/>
        <v>204.10961748628714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0.82133722771082052</v>
      </c>
      <c r="BQ122" s="21">
        <f>EXP(-LN(2)/25)*BQ121+(1-EXP(-LN(2)/25))/(LN(2)/25)*Calculateur!BL122*Calculateur!BN122*VLOOKUP('Données projet'!$B$11,Paramètres!$A$1:$I$89,3,0)*0.475*44/12</f>
        <v>1.6986836193334947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2.5200208470443153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191.99999999999977</v>
      </c>
      <c r="BZ122" s="13">
        <f>BY122*VLOOKUP('Données projet'!$B$12,Paramètres!$A$1:$I$89,3,0)*VLOOKUP('Données projet'!$B$12,Paramètres!$A$1:$I$89,5,0)</f>
        <v>155.75039999999984</v>
      </c>
      <c r="CA122" s="13">
        <f t="shared" si="93"/>
        <v>39.882509755133718</v>
      </c>
      <c r="CB122" s="20">
        <f t="shared" si="64"/>
        <v>340.72731782352429</v>
      </c>
      <c r="CC122" s="59">
        <f t="shared" si="65"/>
        <v>622.63730912145343</v>
      </c>
      <c r="CD122" s="59">
        <f ca="1">AVERAGE(OFFSET($CC$3,0,0,'Données projet'!$E$12+1,1))-AVERAGE(OFFSET($H$3,0,0,'Données projet'!$E$12+1,1))</f>
        <v>256.23994291192162</v>
      </c>
      <c r="CE122" s="59">
        <f t="shared" si="94"/>
        <v>207.9118653708222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1.920332590666781</v>
      </c>
      <c r="CL122" s="21">
        <f>EXP(-LN(2)/25)*CL121+(1-EXP(-LN(2)/25))/(LN(2)/25)*Calculateur!CG122*Calculateur!CI122*VLOOKUP('Données projet'!$B$12,Paramètres!$A$1:$I$89,3,0)*0.475*44/12</f>
        <v>4.3851599517465569</v>
      </c>
      <c r="CM122" s="21">
        <f>EXP(-LN(2)/2)*CM121+(1-EXP(-LN(2)/2))/(LN(2)/2)*CG122*CJ122*VLOOKUP('Données projet'!$B$12,Paramètres!$A$1:$I$89,3,0)*0.475*44/12</f>
        <v>8.0747322211088165E-5</v>
      </c>
      <c r="CN122" s="22">
        <f t="shared" si="66"/>
        <v>6.3055732897355492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170.99999999999991</v>
      </c>
      <c r="CU122" s="17">
        <f>CT122*VLOOKUP('Données projet'!$B$13,Paramètres!$A$1:$I$89,3,0)*VLOOKUP('Données projet'!$B$13,Paramètres!$A$1:$I$89,5,0)</f>
        <v>98.701199999999957</v>
      </c>
      <c r="CV122" s="13">
        <f t="shared" si="95"/>
        <v>26.652341328097943</v>
      </c>
      <c r="CW122" s="20">
        <f t="shared" si="67"/>
        <v>218.32408447977051</v>
      </c>
      <c r="CX122" s="59">
        <f t="shared" si="68"/>
        <v>500.23407577769967</v>
      </c>
      <c r="CY122" s="59">
        <f ca="1">AVERAGE(OFFSET($CX$3,0,0,'Données projet'!$E$13+1,1))-AVERAGE(OFFSET($H$3,0,0,'Données projet'!$E$13+1,1))</f>
        <v>205.74526926885287</v>
      </c>
      <c r="CZ122" s="59">
        <f t="shared" si="96"/>
        <v>201.56217137928999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0.50262227324950137</v>
      </c>
      <c r="DG122" s="21">
        <f>EXP(-LN(2)/25)*DG121+(1-EXP(-LN(2)/25))/(LN(2)/25)*Calculateur!DB122*Calculateur!DD122*VLOOKUP('Données projet'!$B$13,Paramètres!$A$1:$I$89,3,0)*0.475*44/12</f>
        <v>3.3174013956396382</v>
      </c>
      <c r="DH122" s="21">
        <f>EXP(-LN(2)/2)*DH121+(1-EXP(-LN(2)/2))/(LN(2)/2)*DB122*DE122*VLOOKUP('Données projet'!$B$13,Paramètres!$A$1:$I$89,3,0)*0.475*44/12</f>
        <v>9.6059023733497965E-5</v>
      </c>
      <c r="DI122" s="22">
        <f t="shared" si="69"/>
        <v>3.8201197279128731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5.3066239316239274</v>
      </c>
      <c r="DO122" s="12">
        <f>IF('Données projet'!$A$166&gt;35,DO121+DN122-DW121,IF(A122&lt;'Données projet'!$A$166,$DL$205^A122,IF(A122='Données projet'!$A$166,'Données projet'!$B$166,DO121+DN122-DW121)))</f>
        <v>246.45512820512786</v>
      </c>
      <c r="DP122" s="17">
        <f>DO122*VLOOKUP('Données projet'!$B$14,Paramètres!$A$1:$I$89,3,0)*VLOOKUP('Données projet'!$B$14,Paramètres!$A$1:$I$89,5,0)</f>
        <v>234.52669999999969</v>
      </c>
      <c r="DQ122" s="13">
        <f t="shared" si="97"/>
        <v>57.260346888704206</v>
      </c>
      <c r="DR122" s="20">
        <f t="shared" si="70"/>
        <v>508.19577333115927</v>
      </c>
      <c r="DS122" s="59">
        <f t="shared" si="71"/>
        <v>790.10576462908841</v>
      </c>
      <c r="DT122" s="59">
        <f ca="1">AVERAGE(OFFSET($DS$3,0,0,'Données projet'!$E$14+1,1))-AVERAGE(OFFSET($H$3,0,0,'Données projet'!$E$14+1,1))</f>
        <v>403.89478276355294</v>
      </c>
      <c r="DU122" s="59">
        <f t="shared" si="98"/>
        <v>241.1593989733278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33.341381906484671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33.341381906484671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5.3066239316239274</v>
      </c>
      <c r="N123" s="13">
        <f>IF('Données projet'!$A$36&gt;35,N122+M123-V122,IF(A123&lt;'Données projet'!$A$36,$K$205^A123,IF(A123='Données projet'!$A$36,'Données projet'!$B$36,N122+M123-V122)))</f>
        <v>251.7617521367518</v>
      </c>
      <c r="O123" s="13">
        <f>N123*VLOOKUP('Données projet'!$B$9,Paramètres!$A$1:$I$89,3,0)*VLOOKUP('Données projet'!$B$9,Paramètres!$A$1:$I$89,5,0)</f>
        <v>227.794033333333</v>
      </c>
      <c r="P123" s="13">
        <f t="shared" si="87"/>
        <v>55.805432753411694</v>
      </c>
      <c r="Q123" s="20">
        <f t="shared" si="107"/>
        <v>493.93573676774707</v>
      </c>
      <c r="R123" s="59">
        <f t="shared" si="55"/>
        <v>776.04389751122369</v>
      </c>
      <c r="S123" s="59">
        <f ca="1">AVERAGE(OFFSET($R$3,0,0,'Données projet'!$E$9+1,1))-AVERAGE(OFFSET($H$3,0,0,'Données projet'!$E$9+1,1))</f>
        <v>388.1278150896951</v>
      </c>
      <c r="T123" s="59">
        <f t="shared" si="88"/>
        <v>232.26614607059227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31.07999195286785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31.07999195286785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5.3066239316239274</v>
      </c>
      <c r="AI123" s="13">
        <f>IF('Données projet'!$A$62&gt;35,AI122+AH123-AQ122,IF(A123&lt;'Données projet'!$A$62,$AF$205^A123,IF(A123='Données projet'!$A$62,'Données projet'!$B$62,AI122+AH123-AQ122)))</f>
        <v>251.7617521367518</v>
      </c>
      <c r="AJ123" s="13">
        <f>AI123*VLOOKUP('Données projet'!$B$10,Paramètres!$A$1:$I$89,3,0)*VLOOKUP('Données projet'!$B$10,Paramètres!$A$1:$I$89,5,0)</f>
        <v>255.28641666666636</v>
      </c>
      <c r="AK123" s="13">
        <f t="shared" si="89"/>
        <v>61.716565123681811</v>
      </c>
      <c r="AL123" s="20">
        <f t="shared" si="58"/>
        <v>552.11352661818967</v>
      </c>
      <c r="AM123" s="59">
        <f t="shared" si="59"/>
        <v>834.22168736166623</v>
      </c>
      <c r="AN123" s="59">
        <f ca="1">AVERAGE(OFFSET($AM$3,0,0,'Données projet'!$E$10+1,1))-AVERAGE(OFFSET($H$3,0,0,'Données projet'!$E$10+1,1))</f>
        <v>424.89201140676084</v>
      </c>
      <c r="AO123" s="59">
        <f t="shared" si="90"/>
        <v>253.0016648946303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34.831025464420868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34.831025464420868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155.99999999999991</v>
      </c>
      <c r="BE123" s="13">
        <f>BD123*VLOOKUP('Données projet'!$B$11,Paramètres!$A$1:$I$89,3,0)*VLOOKUP('Données projet'!$B$11,Paramètres!$A$1:$I$89,5,0)</f>
        <v>136.28159999999994</v>
      </c>
      <c r="BF123" s="13">
        <f t="shared" si="91"/>
        <v>35.443842312892279</v>
      </c>
      <c r="BG123" s="20">
        <f t="shared" si="61"/>
        <v>299.08847869495395</v>
      </c>
      <c r="BH123" s="59">
        <f t="shared" si="62"/>
        <v>581.19663943843057</v>
      </c>
      <c r="BI123" s="59">
        <f ca="1">AVERAGE(OFFSET($BH$3,0,0,'Données projet'!$E$11+1,1))-AVERAGE(OFFSET($H$3,0,0,'Données projet'!$E$11+1,1))</f>
        <v>218.97952644043698</v>
      </c>
      <c r="BJ123" s="59">
        <f t="shared" si="92"/>
        <v>204.10961748628714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0.8052313056416539</v>
      </c>
      <c r="BQ123" s="21">
        <f>EXP(-LN(2)/25)*BQ122+(1-EXP(-LN(2)/25))/(LN(2)/25)*Calculateur!BL123*Calculateur!BN123*VLOOKUP('Données projet'!$B$11,Paramètres!$A$1:$I$89,3,0)*0.475*44/12</f>
        <v>1.652233026432931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2.457464332074585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191.99999999999977</v>
      </c>
      <c r="BZ123" s="13">
        <f>BY123*VLOOKUP('Données projet'!$B$12,Paramètres!$A$1:$I$89,3,0)*VLOOKUP('Données projet'!$B$12,Paramètres!$A$1:$I$89,5,0)</f>
        <v>155.75039999999984</v>
      </c>
      <c r="CA123" s="13">
        <f t="shared" si="93"/>
        <v>39.882509755133718</v>
      </c>
      <c r="CB123" s="20">
        <f t="shared" si="64"/>
        <v>340.72731782352429</v>
      </c>
      <c r="CC123" s="59">
        <f t="shared" si="65"/>
        <v>622.83547856700091</v>
      </c>
      <c r="CD123" s="59">
        <f ca="1">AVERAGE(OFFSET($CC$3,0,0,'Données projet'!$E$12+1,1))-AVERAGE(OFFSET($H$3,0,0,'Données projet'!$E$12+1,1))</f>
        <v>256.23994291192162</v>
      </c>
      <c r="CE123" s="59">
        <f t="shared" si="94"/>
        <v>207.9118653708222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1.8826760398510307</v>
      </c>
      <c r="CL123" s="21">
        <f>EXP(-LN(2)/25)*CL122+(1-EXP(-LN(2)/25))/(LN(2)/25)*Calculateur!CG123*Calculateur!CI123*VLOOKUP('Données projet'!$B$12,Paramètres!$A$1:$I$89,3,0)*0.475*44/12</f>
        <v>4.2652475222605082</v>
      </c>
      <c r="CM123" s="21">
        <f>EXP(-LN(2)/2)*CM122+(1-EXP(-LN(2)/2))/(LN(2)/2)*CG123*CJ123*VLOOKUP('Données projet'!$B$12,Paramètres!$A$1:$I$89,3,0)*0.475*44/12</f>
        <v>5.7096979098115568E-5</v>
      </c>
      <c r="CN123" s="22">
        <f t="shared" si="66"/>
        <v>6.1479806590906376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170.99999999999991</v>
      </c>
      <c r="CU123" s="17">
        <f>CT123*VLOOKUP('Données projet'!$B$13,Paramètres!$A$1:$I$89,3,0)*VLOOKUP('Données projet'!$B$13,Paramètres!$A$1:$I$89,5,0)</f>
        <v>98.701199999999957</v>
      </c>
      <c r="CV123" s="13">
        <f t="shared" si="95"/>
        <v>26.652341328097943</v>
      </c>
      <c r="CW123" s="20">
        <f t="shared" si="67"/>
        <v>218.32408447977051</v>
      </c>
      <c r="CX123" s="59">
        <f t="shared" si="68"/>
        <v>500.43224522324715</v>
      </c>
      <c r="CY123" s="59">
        <f ca="1">AVERAGE(OFFSET($CX$3,0,0,'Données projet'!$E$13+1,1))-AVERAGE(OFFSET($H$3,0,0,'Données projet'!$E$13+1,1))</f>
        <v>205.74526926885287</v>
      </c>
      <c r="CZ123" s="59">
        <f t="shared" si="96"/>
        <v>201.56217137928999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0.49276615704039411</v>
      </c>
      <c r="DG123" s="21">
        <f>EXP(-LN(2)/25)*DG122+(1-EXP(-LN(2)/25))/(LN(2)/25)*Calculateur!DB123*Calculateur!DD123*VLOOKUP('Données projet'!$B$13,Paramètres!$A$1:$I$89,3,0)*0.475*44/12</f>
        <v>3.2266868800213149</v>
      </c>
      <c r="DH123" s="21">
        <f>EXP(-LN(2)/2)*DH122+(1-EXP(-LN(2)/2))/(LN(2)/2)*DB123*DE123*VLOOKUP('Données projet'!$B$13,Paramètres!$A$1:$I$89,3,0)*0.475*44/12</f>
        <v>6.7923987076115919E-5</v>
      </c>
      <c r="DI123" s="22">
        <f t="shared" si="69"/>
        <v>3.7195209610487852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5.3066239316239274</v>
      </c>
      <c r="DO123" s="12">
        <f>IF('Données projet'!$A$166&gt;35,DO122+DN123-DW122,IF(A123&lt;'Données projet'!$A$166,$DL$205^A123,IF(A123='Données projet'!$A$166,'Données projet'!$B$166,DO122+DN123-DW122)))</f>
        <v>251.7617521367518</v>
      </c>
      <c r="DP123" s="17">
        <f>DO123*VLOOKUP('Données projet'!$B$14,Paramètres!$A$1:$I$89,3,0)*VLOOKUP('Données projet'!$B$14,Paramètres!$A$1:$I$89,5,0)</f>
        <v>239.57648333333302</v>
      </c>
      <c r="DQ123" s="13">
        <f t="shared" si="97"/>
        <v>58.348399443663808</v>
      </c>
      <c r="DR123" s="20">
        <f t="shared" si="70"/>
        <v>518.8858375032695</v>
      </c>
      <c r="DS123" s="59">
        <f t="shared" si="71"/>
        <v>800.99399824674606</v>
      </c>
      <c r="DT123" s="59">
        <f ca="1">AVERAGE(OFFSET($DS$3,0,0,'Données projet'!$E$14+1,1))-AVERAGE(OFFSET($H$3,0,0,'Données projet'!$E$14+1,1))</f>
        <v>403.89478276355294</v>
      </c>
      <c r="DU123" s="59">
        <f t="shared" si="98"/>
        <v>241.1593989733278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32.687577743533431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32.687577743533431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5.3066239316239274</v>
      </c>
      <c r="N124" s="13">
        <f>IF('Données projet'!$A$36&gt;35,N123+M124-V123,IF(A124&lt;'Données projet'!$A$36,$K$205^A124,IF(A124='Données projet'!$A$36,'Données projet'!$B$36,N123+M124-V123)))</f>
        <v>257.0683760683757</v>
      </c>
      <c r="O124" s="13">
        <f>N124*VLOOKUP('Données projet'!$B$9,Paramètres!$A$1:$I$89,3,0)*VLOOKUP('Données projet'!$B$9,Paramètres!$A$1:$I$89,5,0)</f>
        <v>232.59546666666634</v>
      </c>
      <c r="P124" s="13">
        <f t="shared" si="87"/>
        <v>56.843515067710278</v>
      </c>
      <c r="Q124" s="20">
        <f t="shared" si="107"/>
        <v>504.10622652070589</v>
      </c>
      <c r="R124" s="59">
        <f t="shared" si="55"/>
        <v>786.40911891289034</v>
      </c>
      <c r="S124" s="59">
        <f ca="1">AVERAGE(OFFSET($R$3,0,0,'Données projet'!$E$9+1,1))-AVERAGE(OFFSET($H$3,0,0,'Données projet'!$E$9+1,1))</f>
        <v>388.1278150896951</v>
      </c>
      <c r="T124" s="59">
        <f t="shared" si="88"/>
        <v>232.26614607059227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30.470532267595363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30.470532267595363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5.3066239316239274</v>
      </c>
      <c r="AI124" s="13">
        <f>IF('Données projet'!$A$62&gt;35,AI123+AH124-AQ123,IF(A124&lt;'Données projet'!$A$62,$AF$205^A124,IF(A124='Données projet'!$A$62,'Données projet'!$B$62,AI123+AH124-AQ123)))</f>
        <v>257.0683760683757</v>
      </c>
      <c r="AJ124" s="13">
        <f>AI124*VLOOKUP('Données projet'!$B$10,Paramètres!$A$1:$I$89,3,0)*VLOOKUP('Données projet'!$B$10,Paramètres!$A$1:$I$89,5,0)</f>
        <v>260.66733333333298</v>
      </c>
      <c r="AK124" s="13">
        <f t="shared" si="89"/>
        <v>62.864605226466139</v>
      </c>
      <c r="AL124" s="20">
        <f t="shared" si="58"/>
        <v>563.48479299165012</v>
      </c>
      <c r="AM124" s="59">
        <f t="shared" si="59"/>
        <v>845.78768538383451</v>
      </c>
      <c r="AN124" s="59">
        <f ca="1">AVERAGE(OFFSET($AM$3,0,0,'Données projet'!$E$10+1,1))-AVERAGE(OFFSET($H$3,0,0,'Données projet'!$E$10+1,1))</f>
        <v>424.89201140676084</v>
      </c>
      <c r="AO124" s="59">
        <f t="shared" si="90"/>
        <v>253.0016648946303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34.148010299891354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34.148010299891354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155.99999999999991</v>
      </c>
      <c r="BE124" s="13">
        <f>BD124*VLOOKUP('Données projet'!$B$11,Paramètres!$A$1:$I$89,3,0)*VLOOKUP('Données projet'!$B$11,Paramètres!$A$1:$I$89,5,0)</f>
        <v>136.28159999999994</v>
      </c>
      <c r="BF124" s="13">
        <f t="shared" si="91"/>
        <v>35.443842312892279</v>
      </c>
      <c r="BG124" s="20">
        <f t="shared" si="61"/>
        <v>299.08847869495395</v>
      </c>
      <c r="BH124" s="59">
        <f t="shared" si="62"/>
        <v>581.3913710871384</v>
      </c>
      <c r="BI124" s="59">
        <f ca="1">AVERAGE(OFFSET($BH$3,0,0,'Données projet'!$E$11+1,1))-AVERAGE(OFFSET($H$3,0,0,'Données projet'!$E$11+1,1))</f>
        <v>218.97952644043698</v>
      </c>
      <c r="BJ124" s="59">
        <f t="shared" si="92"/>
        <v>204.10961748628714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0.78944121088062125</v>
      </c>
      <c r="BQ124" s="21">
        <f>EXP(-LN(2)/25)*BQ123+(1-EXP(-LN(2)/25))/(LN(2)/25)*Calculateur!BL124*Calculateur!BN124*VLOOKUP('Données projet'!$B$11,Paramètres!$A$1:$I$89,3,0)*0.475*44/12</f>
        <v>1.607052627437964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2.3964938383185852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191.99999999999977</v>
      </c>
      <c r="BZ124" s="13">
        <f>BY124*VLOOKUP('Données projet'!$B$12,Paramètres!$A$1:$I$89,3,0)*VLOOKUP('Données projet'!$B$12,Paramètres!$A$1:$I$89,5,0)</f>
        <v>155.75039999999984</v>
      </c>
      <c r="CA124" s="13">
        <f t="shared" si="93"/>
        <v>39.882509755133718</v>
      </c>
      <c r="CB124" s="20">
        <f t="shared" si="64"/>
        <v>340.72731782352429</v>
      </c>
      <c r="CC124" s="59">
        <f t="shared" si="65"/>
        <v>623.03021021570862</v>
      </c>
      <c r="CD124" s="59">
        <f ca="1">AVERAGE(OFFSET($CC$3,0,0,'Données projet'!$E$12+1,1))-AVERAGE(OFFSET($H$3,0,0,'Données projet'!$E$12+1,1))</f>
        <v>256.23994291192162</v>
      </c>
      <c r="CE124" s="59">
        <f t="shared" si="94"/>
        <v>207.9118653708222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1.8457579110285491</v>
      </c>
      <c r="CL124" s="21">
        <f>EXP(-LN(2)/25)*CL123+(1-EXP(-LN(2)/25))/(LN(2)/25)*Calculateur!CG124*Calculateur!CI124*VLOOKUP('Données projet'!$B$12,Paramètres!$A$1:$I$89,3,0)*0.475*44/12</f>
        <v>4.1486141044646754</v>
      </c>
      <c r="CM124" s="21">
        <f>EXP(-LN(2)/2)*CM123+(1-EXP(-LN(2)/2))/(LN(2)/2)*CG124*CJ124*VLOOKUP('Données projet'!$B$12,Paramètres!$A$1:$I$89,3,0)*0.475*44/12</f>
        <v>4.0373661105544082E-5</v>
      </c>
      <c r="CN124" s="22">
        <f t="shared" si="66"/>
        <v>5.9944123891543306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170.99999999999991</v>
      </c>
      <c r="CU124" s="17">
        <f>CT124*VLOOKUP('Données projet'!$B$13,Paramètres!$A$1:$I$89,3,0)*VLOOKUP('Données projet'!$B$13,Paramètres!$A$1:$I$89,5,0)</f>
        <v>98.701199999999957</v>
      </c>
      <c r="CV124" s="13">
        <f t="shared" si="95"/>
        <v>26.652341328097943</v>
      </c>
      <c r="CW124" s="20">
        <f t="shared" si="67"/>
        <v>218.32408447977051</v>
      </c>
      <c r="CX124" s="59">
        <f t="shared" si="68"/>
        <v>500.62697687195487</v>
      </c>
      <c r="CY124" s="59">
        <f ca="1">AVERAGE(OFFSET($CX$3,0,0,'Données projet'!$E$13+1,1))-AVERAGE(OFFSET($H$3,0,0,'Données projet'!$E$13+1,1))</f>
        <v>205.74526926885287</v>
      </c>
      <c r="CZ124" s="59">
        <f t="shared" si="96"/>
        <v>201.56217137928999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0.48310331325851019</v>
      </c>
      <c r="DG124" s="21">
        <f>EXP(-LN(2)/25)*DG123+(1-EXP(-LN(2)/25))/(LN(2)/25)*Calculateur!DB124*Calculateur!DD124*VLOOKUP('Données projet'!$B$13,Paramètres!$A$1:$I$89,3,0)*0.475*44/12</f>
        <v>3.1384529576030435</v>
      </c>
      <c r="DH124" s="21">
        <f>EXP(-LN(2)/2)*DH123+(1-EXP(-LN(2)/2))/(LN(2)/2)*DB124*DE124*VLOOKUP('Données projet'!$B$13,Paramètres!$A$1:$I$89,3,0)*0.475*44/12</f>
        <v>4.8029511866748982E-5</v>
      </c>
      <c r="DI124" s="22">
        <f t="shared" si="69"/>
        <v>3.6216043003734204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5.3066239316239274</v>
      </c>
      <c r="DO124" s="12">
        <f>IF('Données projet'!$A$166&gt;35,DO123+DN124-DW123,IF(A124&lt;'Données projet'!$A$166,$DL$205^A124,IF(A124='Données projet'!$A$166,'Données projet'!$B$166,DO123+DN124-DW123)))</f>
        <v>257.0683760683757</v>
      </c>
      <c r="DP124" s="17">
        <f>DO124*VLOOKUP('Données projet'!$B$14,Paramètres!$A$1:$I$89,3,0)*VLOOKUP('Données projet'!$B$14,Paramètres!$A$1:$I$89,5,0)</f>
        <v>244.62626666666634</v>
      </c>
      <c r="DQ124" s="13">
        <f t="shared" si="97"/>
        <v>59.433785552893355</v>
      </c>
      <c r="DR124" s="20">
        <f t="shared" si="70"/>
        <v>529.57125761573309</v>
      </c>
      <c r="DS124" s="59">
        <f t="shared" si="71"/>
        <v>811.87415000791748</v>
      </c>
      <c r="DT124" s="59">
        <f ca="1">AVERAGE(OFFSET($DS$3,0,0,'Données projet'!$E$14+1,1))-AVERAGE(OFFSET($H$3,0,0,'Données projet'!$E$14+1,1))</f>
        <v>403.89478276355294</v>
      </c>
      <c r="DU124" s="59">
        <f t="shared" si="98"/>
        <v>241.1593989733278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32.046594281436505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32.046594281436505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5.3066239316239274</v>
      </c>
      <c r="N125" s="13">
        <f>IF('Données projet'!$A$36&gt;35,N124+M125-V124,IF(A125&lt;'Données projet'!$A$36,$K$205^A125,IF(A125='Données projet'!$A$36,'Données projet'!$B$36,N124+M125-V124)))</f>
        <v>262.3749999999996</v>
      </c>
      <c r="O125" s="13">
        <f>N125*VLOOKUP('Données projet'!$B$9,Paramètres!$A$1:$I$89,3,0)*VLOOKUP('Données projet'!$B$9,Paramètres!$A$1:$I$89,5,0)</f>
        <v>237.39689999999962</v>
      </c>
      <c r="P125" s="13">
        <f t="shared" si="87"/>
        <v>57.87910585630879</v>
      </c>
      <c r="Q125" s="20">
        <f t="shared" si="107"/>
        <v>514.27237686640376</v>
      </c>
      <c r="R125" s="59">
        <f t="shared" si="55"/>
        <v>796.76662274854561</v>
      </c>
      <c r="S125" s="59">
        <f ca="1">AVERAGE(OFFSET($R$3,0,0,'Données projet'!$E$9+1,1))-AVERAGE(OFFSET($H$3,0,0,'Données projet'!$E$9+1,1))</f>
        <v>388.1278150896951</v>
      </c>
      <c r="T125" s="59">
        <f t="shared" si="88"/>
        <v>232.26614607059227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29.873023715017368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29.873023715017368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5.3066239316239274</v>
      </c>
      <c r="AI125" s="13">
        <f>IF('Données projet'!$A$62&gt;35,AI124+AH125-AQ124,IF(A125&lt;'Données projet'!$A$62,$AF$205^A125,IF(A125='Données projet'!$A$62,'Données projet'!$B$62,AI124+AH125-AQ124)))</f>
        <v>262.3749999999996</v>
      </c>
      <c r="AJ125" s="13">
        <f>AI125*VLOOKUP('Données projet'!$B$10,Paramètres!$A$1:$I$89,3,0)*VLOOKUP('Données projet'!$B$10,Paramètres!$A$1:$I$89,5,0)</f>
        <v>266.04824999999965</v>
      </c>
      <c r="AK125" s="13">
        <f t="shared" si="89"/>
        <v>64.009889891284331</v>
      </c>
      <c r="AL125" s="20">
        <f t="shared" si="58"/>
        <v>574.85126031065295</v>
      </c>
      <c r="AM125" s="59">
        <f t="shared" si="59"/>
        <v>857.3455061927948</v>
      </c>
      <c r="AN125" s="59">
        <f ca="1">AVERAGE(OFFSET($AM$3,0,0,'Données projet'!$E$10+1,1))-AVERAGE(OFFSET($H$3,0,0,'Données projet'!$E$10+1,1))</f>
        <v>424.89201140676084</v>
      </c>
      <c r="AO125" s="59">
        <f t="shared" si="90"/>
        <v>253.0016648946303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33.478388646140154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33.478388646140154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155.99999999999991</v>
      </c>
      <c r="BE125" s="13">
        <f>BD125*VLOOKUP('Données projet'!$B$11,Paramètres!$A$1:$I$89,3,0)*VLOOKUP('Données projet'!$B$11,Paramètres!$A$1:$I$89,5,0)</f>
        <v>136.28159999999994</v>
      </c>
      <c r="BF125" s="13">
        <f t="shared" si="91"/>
        <v>35.443842312892279</v>
      </c>
      <c r="BG125" s="20">
        <f t="shared" si="61"/>
        <v>299.08847869495395</v>
      </c>
      <c r="BH125" s="59">
        <f t="shared" si="62"/>
        <v>581.58272457709575</v>
      </c>
      <c r="BI125" s="59">
        <f ca="1">AVERAGE(OFFSET($BH$3,0,0,'Données projet'!$E$11+1,1))-AVERAGE(OFFSET($H$3,0,0,'Données projet'!$E$11+1,1))</f>
        <v>218.97952644043698</v>
      </c>
      <c r="BJ125" s="59">
        <f t="shared" si="92"/>
        <v>204.10961748628714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0.77396075024684563</v>
      </c>
      <c r="BQ125" s="21">
        <f>EXP(-LN(2)/25)*BQ124+(1-EXP(-LN(2)/25))/(LN(2)/25)*Calculateur!BL125*Calculateur!BN125*VLOOKUP('Données projet'!$B$11,Paramètres!$A$1:$I$89,3,0)*0.475*44/12</f>
        <v>1.5631076888294482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2.3370684390762939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191.99999999999977</v>
      </c>
      <c r="BZ125" s="13">
        <f>BY125*VLOOKUP('Données projet'!$B$12,Paramètres!$A$1:$I$89,3,0)*VLOOKUP('Données projet'!$B$12,Paramètres!$A$1:$I$89,5,0)</f>
        <v>155.75039999999984</v>
      </c>
      <c r="CA125" s="13">
        <f t="shared" si="93"/>
        <v>39.882509755133718</v>
      </c>
      <c r="CB125" s="20">
        <f t="shared" si="64"/>
        <v>340.72731782352429</v>
      </c>
      <c r="CC125" s="59">
        <f t="shared" si="65"/>
        <v>623.22156370566609</v>
      </c>
      <c r="CD125" s="59">
        <f ca="1">AVERAGE(OFFSET($CC$3,0,0,'Données projet'!$E$12+1,1))-AVERAGE(OFFSET($H$3,0,0,'Données projet'!$E$12+1,1))</f>
        <v>256.23994291192162</v>
      </c>
      <c r="CE125" s="59">
        <f t="shared" si="94"/>
        <v>207.9118653708222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1.8095637241944413</v>
      </c>
      <c r="CL125" s="21">
        <f>EXP(-LN(2)/25)*CL124+(1-EXP(-LN(2)/25))/(LN(2)/25)*Calculateur!CG125*Calculateur!CI125*VLOOKUP('Données projet'!$B$12,Paramètres!$A$1:$I$89,3,0)*0.475*44/12</f>
        <v>4.0351700336119549</v>
      </c>
      <c r="CM125" s="21">
        <f>EXP(-LN(2)/2)*CM124+(1-EXP(-LN(2)/2))/(LN(2)/2)*CG125*CJ125*VLOOKUP('Données projet'!$B$12,Paramètres!$A$1:$I$89,3,0)*0.475*44/12</f>
        <v>2.8548489549057784E-5</v>
      </c>
      <c r="CN125" s="22">
        <f t="shared" si="66"/>
        <v>5.8447623062959453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170.99999999999991</v>
      </c>
      <c r="CU125" s="17">
        <f>CT125*VLOOKUP('Données projet'!$B$13,Paramètres!$A$1:$I$89,3,0)*VLOOKUP('Données projet'!$B$13,Paramètres!$A$1:$I$89,5,0)</f>
        <v>98.701199999999957</v>
      </c>
      <c r="CV125" s="13">
        <f t="shared" si="95"/>
        <v>26.652341328097943</v>
      </c>
      <c r="CW125" s="20">
        <f t="shared" si="67"/>
        <v>218.32408447977051</v>
      </c>
      <c r="CX125" s="59">
        <f t="shared" si="68"/>
        <v>500.81833036191233</v>
      </c>
      <c r="CY125" s="59">
        <f ca="1">AVERAGE(OFFSET($CX$3,0,0,'Données projet'!$E$13+1,1))-AVERAGE(OFFSET($H$3,0,0,'Données projet'!$E$13+1,1))</f>
        <v>205.74526926885287</v>
      </c>
      <c r="CZ125" s="59">
        <f t="shared" si="96"/>
        <v>201.56217137928999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0.47362995194943625</v>
      </c>
      <c r="DG125" s="21">
        <f>EXP(-LN(2)/25)*DG124+(1-EXP(-LN(2)/25))/(LN(2)/25)*Calculateur!DB125*Calculateur!DD125*VLOOKUP('Données projet'!$B$13,Paramètres!$A$1:$I$89,3,0)*0.475*44/12</f>
        <v>3.0526317964333205</v>
      </c>
      <c r="DH125" s="21">
        <f>EXP(-LN(2)/2)*DH124+(1-EXP(-LN(2)/2))/(LN(2)/2)*DB125*DE125*VLOOKUP('Données projet'!$B$13,Paramètres!$A$1:$I$89,3,0)*0.475*44/12</f>
        <v>3.3961993538057959E-5</v>
      </c>
      <c r="DI125" s="22">
        <f t="shared" si="69"/>
        <v>3.5262957103762944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5.3066239316239274</v>
      </c>
      <c r="DO125" s="12">
        <f>IF('Données projet'!$A$166&gt;35,DO124+DN125-DW124,IF(A125&lt;'Données projet'!$A$166,$DL$205^A125,IF(A125='Données projet'!$A$166,'Données projet'!$B$166,DO124+DN125-DW124)))</f>
        <v>262.3749999999996</v>
      </c>
      <c r="DP125" s="17">
        <f>DO125*VLOOKUP('Données projet'!$B$14,Paramètres!$A$1:$I$89,3,0)*VLOOKUP('Données projet'!$B$14,Paramètres!$A$1:$I$89,5,0)</f>
        <v>249.67604999999963</v>
      </c>
      <c r="DQ125" s="13">
        <f t="shared" si="97"/>
        <v>60.516566601475539</v>
      </c>
      <c r="DR125" s="20">
        <f t="shared" si="70"/>
        <v>540.25214058090251</v>
      </c>
      <c r="DS125" s="59">
        <f t="shared" si="71"/>
        <v>822.74638646304425</v>
      </c>
      <c r="DT125" s="59">
        <f ca="1">AVERAGE(OFFSET($DS$3,0,0,'Données projet'!$E$14+1,1))-AVERAGE(OFFSET($H$3,0,0,'Données projet'!$E$14+1,1))</f>
        <v>403.89478276355294</v>
      </c>
      <c r="DU125" s="59">
        <f t="shared" si="98"/>
        <v>241.1593989733278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31.41818011406999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31.41818011406999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5.3066239316239274</v>
      </c>
      <c r="N126" s="13">
        <f>IF('Données projet'!$A$36&gt;35,N125+M126-V125,IF(A126&lt;'Données projet'!$A$36,$K$205^A126,IF(A126='Données projet'!$A$36,'Données projet'!$B$36,N125+M126-V125)))</f>
        <v>267.68162393162351</v>
      </c>
      <c r="O126" s="13">
        <f>N126*VLOOKUP('Données projet'!$B$9,Paramètres!$A$1:$I$89,3,0)*VLOOKUP('Données projet'!$B$9,Paramètres!$A$1:$I$89,5,0)</f>
        <v>242.19833333333295</v>
      </c>
      <c r="P126" s="13">
        <f t="shared" si="87"/>
        <v>58.912261318352805</v>
      </c>
      <c r="Q126" s="20">
        <f t="shared" si="107"/>
        <v>524.43428568501929</v>
      </c>
      <c r="R126" s="59">
        <f t="shared" si="55"/>
        <v>807.1165655018699</v>
      </c>
      <c r="S126" s="59">
        <f ca="1">AVERAGE(OFFSET($R$3,0,0,'Données projet'!$E$9+1,1))-AVERAGE(OFFSET($H$3,0,0,'Données projet'!$E$9+1,1))</f>
        <v>388.1278150896951</v>
      </c>
      <c r="T126" s="59">
        <f t="shared" si="88"/>
        <v>232.26614607059227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29.287231940711195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29.287231940711195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5.3066239316239274</v>
      </c>
      <c r="AI126" s="13">
        <f>IF('Données projet'!$A$62&gt;35,AI125+AH126-AQ125,IF(A126&lt;'Données projet'!$A$62,$AF$205^A126,IF(A126='Données projet'!$A$62,'Données projet'!$B$62,AI125+AH126-AQ125)))</f>
        <v>267.68162393162351</v>
      </c>
      <c r="AJ126" s="13">
        <f>AI126*VLOOKUP('Données projet'!$B$10,Paramètres!$A$1:$I$89,3,0)*VLOOKUP('Données projet'!$B$10,Paramètres!$A$1:$I$89,5,0)</f>
        <v>271.42916666666628</v>
      </c>
      <c r="AK126" s="13">
        <f t="shared" si="89"/>
        <v>65.152481270117946</v>
      </c>
      <c r="AL126" s="20">
        <f t="shared" si="58"/>
        <v>586.21303682323253</v>
      </c>
      <c r="AM126" s="59">
        <f t="shared" si="59"/>
        <v>868.89531664008314</v>
      </c>
      <c r="AN126" s="59">
        <f ca="1">AVERAGE(OFFSET($AM$3,0,0,'Données projet'!$E$10+1,1))-AVERAGE(OFFSET($H$3,0,0,'Données projet'!$E$10+1,1))</f>
        <v>424.89201140676084</v>
      </c>
      <c r="AO126" s="59">
        <f t="shared" si="90"/>
        <v>253.0016648946303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32.821897864590134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32.821897864590134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155.99999999999991</v>
      </c>
      <c r="BE126" s="13">
        <f>BD126*VLOOKUP('Données projet'!$B$11,Paramètres!$A$1:$I$89,3,0)*VLOOKUP('Données projet'!$B$11,Paramètres!$A$1:$I$89,5,0)</f>
        <v>136.28159999999994</v>
      </c>
      <c r="BF126" s="13">
        <f t="shared" si="91"/>
        <v>35.443842312892279</v>
      </c>
      <c r="BG126" s="20">
        <f t="shared" si="61"/>
        <v>299.08847869495395</v>
      </c>
      <c r="BH126" s="59">
        <f t="shared" si="62"/>
        <v>581.77075851180462</v>
      </c>
      <c r="BI126" s="59">
        <f ca="1">AVERAGE(OFFSET($BH$3,0,0,'Données projet'!$E$11+1,1))-AVERAGE(OFFSET($H$3,0,0,'Données projet'!$E$11+1,1))</f>
        <v>218.97952644043698</v>
      </c>
      <c r="BJ126" s="59">
        <f t="shared" si="92"/>
        <v>204.10961748628714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0.7587838520039496</v>
      </c>
      <c r="BQ126" s="21">
        <f>EXP(-LN(2)/25)*BQ125+(1-EXP(-LN(2)/25))/(LN(2)/25)*Calculateur!BL126*Calculateur!BN126*VLOOKUP('Données projet'!$B$11,Paramètres!$A$1:$I$89,3,0)*0.475*44/12</f>
        <v>1.520364426878146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2.2791482788820954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191.99999999999977</v>
      </c>
      <c r="BZ126" s="13">
        <f>BY126*VLOOKUP('Données projet'!$B$12,Paramètres!$A$1:$I$89,3,0)*VLOOKUP('Données projet'!$B$12,Paramètres!$A$1:$I$89,5,0)</f>
        <v>155.75039999999984</v>
      </c>
      <c r="CA126" s="13">
        <f t="shared" si="93"/>
        <v>39.882509755133718</v>
      </c>
      <c r="CB126" s="20">
        <f t="shared" si="64"/>
        <v>340.72731782352429</v>
      </c>
      <c r="CC126" s="59">
        <f t="shared" si="65"/>
        <v>623.40959764037495</v>
      </c>
      <c r="CD126" s="59">
        <f ca="1">AVERAGE(OFFSET($CC$3,0,0,'Données projet'!$E$12+1,1))-AVERAGE(OFFSET($H$3,0,0,'Données projet'!$E$12+1,1))</f>
        <v>256.23994291192162</v>
      </c>
      <c r="CE126" s="59">
        <f t="shared" si="94"/>
        <v>207.9118653708222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1.7740792832878762</v>
      </c>
      <c r="CL126" s="21">
        <f>EXP(-LN(2)/25)*CL125+(1-EXP(-LN(2)/25))/(LN(2)/25)*Calculateur!CG126*Calculateur!CI126*VLOOKUP('Données projet'!$B$12,Paramètres!$A$1:$I$89,3,0)*0.475*44/12</f>
        <v>3.9248280968424663</v>
      </c>
      <c r="CM126" s="21">
        <f>EXP(-LN(2)/2)*CM125+(1-EXP(-LN(2)/2))/(LN(2)/2)*CG126*CJ126*VLOOKUP('Données projet'!$B$12,Paramètres!$A$1:$I$89,3,0)*0.475*44/12</f>
        <v>2.0186830552772041E-5</v>
      </c>
      <c r="CN126" s="22">
        <f t="shared" si="66"/>
        <v>5.6989275669608954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170.99999999999991</v>
      </c>
      <c r="CU126" s="17">
        <f>CT126*VLOOKUP('Données projet'!$B$13,Paramètres!$A$1:$I$89,3,0)*VLOOKUP('Données projet'!$B$13,Paramètres!$A$1:$I$89,5,0)</f>
        <v>98.701199999999957</v>
      </c>
      <c r="CV126" s="13">
        <f t="shared" si="95"/>
        <v>26.652341328097943</v>
      </c>
      <c r="CW126" s="20">
        <f t="shared" si="67"/>
        <v>218.32408447977051</v>
      </c>
      <c r="CX126" s="59">
        <f t="shared" si="68"/>
        <v>501.0063642966212</v>
      </c>
      <c r="CY126" s="59">
        <f ca="1">AVERAGE(OFFSET($CX$3,0,0,'Données projet'!$E$13+1,1))-AVERAGE(OFFSET($H$3,0,0,'Données projet'!$E$13+1,1))</f>
        <v>205.74526926885287</v>
      </c>
      <c r="CZ126" s="59">
        <f t="shared" si="96"/>
        <v>201.56217137928999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0.46434235747745339</v>
      </c>
      <c r="DG126" s="21">
        <f>EXP(-LN(2)/25)*DG125+(1-EXP(-LN(2)/25))/(LN(2)/25)*Calculateur!DB126*Calculateur!DD126*VLOOKUP('Données projet'!$B$13,Paramètres!$A$1:$I$89,3,0)*0.475*44/12</f>
        <v>2.9691574194289219</v>
      </c>
      <c r="DH126" s="21">
        <f>EXP(-LN(2)/2)*DH125+(1-EXP(-LN(2)/2))/(LN(2)/2)*DB126*DE126*VLOOKUP('Données projet'!$B$13,Paramètres!$A$1:$I$89,3,0)*0.475*44/12</f>
        <v>2.4014755933374491E-5</v>
      </c>
      <c r="DI126" s="22">
        <f t="shared" si="69"/>
        <v>3.4335237916623083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5.3066239316239274</v>
      </c>
      <c r="DO126" s="12">
        <f>IF('Données projet'!$A$166&gt;35,DO125+DN126-DW125,IF(A126&lt;'Données projet'!$A$166,$DL$205^A126,IF(A126='Données projet'!$A$166,'Données projet'!$B$166,DO125+DN126-DW125)))</f>
        <v>267.68162393162351</v>
      </c>
      <c r="DP126" s="17">
        <f>DO126*VLOOKUP('Données projet'!$B$14,Paramètres!$A$1:$I$89,3,0)*VLOOKUP('Données projet'!$B$14,Paramètres!$A$1:$I$89,5,0)</f>
        <v>254.72583333333293</v>
      </c>
      <c r="DQ126" s="13">
        <f t="shared" si="97"/>
        <v>61.596801349463618</v>
      </c>
      <c r="DR126" s="20">
        <f t="shared" si="70"/>
        <v>550.92858873920397</v>
      </c>
      <c r="DS126" s="59">
        <f t="shared" si="71"/>
        <v>833.61086855605458</v>
      </c>
      <c r="DT126" s="59">
        <f ca="1">AVERAGE(OFFSET($DS$3,0,0,'Données projet'!$E$14+1,1))-AVERAGE(OFFSET($H$3,0,0,'Données projet'!$E$14+1,1))</f>
        <v>403.89478276355294</v>
      </c>
      <c r="DU126" s="59">
        <f t="shared" si="98"/>
        <v>241.1593989733278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30.802088765230739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30.802088765230739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5.3066239316239274</v>
      </c>
      <c r="N127" s="13">
        <f>IF('Données projet'!$A$36&gt;35,N126+M127-V126,IF(A127&lt;'Données projet'!$A$36,$K$205^A127,IF(A127='Données projet'!$A$36,'Données projet'!$B$36,N126+M127-V126)))</f>
        <v>272.98824786324741</v>
      </c>
      <c r="O127" s="13">
        <f>N127*VLOOKUP('Données projet'!$B$9,Paramètres!$A$1:$I$89,3,0)*VLOOKUP('Données projet'!$B$9,Paramètres!$A$1:$I$89,5,0)</f>
        <v>246.99976666666623</v>
      </c>
      <c r="P127" s="13">
        <f t="shared" si="87"/>
        <v>59.943035297333779</v>
      </c>
      <c r="Q127" s="20">
        <f t="shared" si="107"/>
        <v>534.59204675396666</v>
      </c>
      <c r="R127" s="59">
        <f t="shared" si="55"/>
        <v>817.45909853713999</v>
      </c>
      <c r="S127" s="59">
        <f ca="1">AVERAGE(OFFSET($R$3,0,0,'Données projet'!$E$9+1,1))-AVERAGE(OFFSET($H$3,0,0,'Données projet'!$E$9+1,1))</f>
        <v>388.1278150896951</v>
      </c>
      <c r="T127" s="59">
        <f t="shared" si="88"/>
        <v>232.26614607059227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28.712927185801462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28.712927185801462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5.3066239316239274</v>
      </c>
      <c r="AI127" s="13">
        <f>IF('Données projet'!$A$62&gt;35,AI126+AH127-AQ126,IF(A127&lt;'Données projet'!$A$62,$AF$205^A127,IF(A127='Données projet'!$A$62,'Données projet'!$B$62,AI126+AH127-AQ126)))</f>
        <v>272.98824786324741</v>
      </c>
      <c r="AJ127" s="13">
        <f>AI127*VLOOKUP('Données projet'!$B$10,Paramètres!$A$1:$I$89,3,0)*VLOOKUP('Données projet'!$B$10,Paramètres!$A$1:$I$89,5,0)</f>
        <v>276.8100833333329</v>
      </c>
      <c r="AK127" s="13">
        <f t="shared" si="89"/>
        <v>66.292438909774205</v>
      </c>
      <c r="AL127" s="20">
        <f t="shared" si="58"/>
        <v>597.57022624007823</v>
      </c>
      <c r="AM127" s="59">
        <f t="shared" si="59"/>
        <v>880.43727802325157</v>
      </c>
      <c r="AN127" s="59">
        <f ca="1">AVERAGE(OFFSET($AM$3,0,0,'Données projet'!$E$10+1,1))-AVERAGE(OFFSET($H$3,0,0,'Données projet'!$E$10+1,1))</f>
        <v>424.89201140676084</v>
      </c>
      <c r="AO127" s="59">
        <f t="shared" si="90"/>
        <v>253.0016648946303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32.178280466846466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32.178280466846466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155.99999999999991</v>
      </c>
      <c r="BE127" s="13">
        <f>BD127*VLOOKUP('Données projet'!$B$11,Paramètres!$A$1:$I$89,3,0)*VLOOKUP('Données projet'!$B$11,Paramètres!$A$1:$I$89,5,0)</f>
        <v>136.28159999999994</v>
      </c>
      <c r="BF127" s="13">
        <f t="shared" si="91"/>
        <v>35.443842312892279</v>
      </c>
      <c r="BG127" s="20">
        <f t="shared" si="61"/>
        <v>299.08847869495395</v>
      </c>
      <c r="BH127" s="59">
        <f t="shared" si="62"/>
        <v>581.95553047812723</v>
      </c>
      <c r="BI127" s="59">
        <f ca="1">AVERAGE(OFFSET($BH$3,0,0,'Données projet'!$E$11+1,1))-AVERAGE(OFFSET($H$3,0,0,'Données projet'!$E$11+1,1))</f>
        <v>218.97952644043698</v>
      </c>
      <c r="BJ127" s="59">
        <f t="shared" si="92"/>
        <v>204.10961748628714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0.7439045634786029</v>
      </c>
      <c r="BQ127" s="21">
        <f>EXP(-LN(2)/25)*BQ126+(1-EXP(-LN(2)/25))/(LN(2)/25)*Calculateur!BL127*Calculateur!BN127*VLOOKUP('Données projet'!$B$11,Paramètres!$A$1:$I$89,3,0)*0.475*44/12</f>
        <v>1.4787899816726726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2.2226945451512754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191.99999999999977</v>
      </c>
      <c r="BZ127" s="13">
        <f>BY127*VLOOKUP('Données projet'!$B$12,Paramètres!$A$1:$I$89,3,0)*VLOOKUP('Données projet'!$B$12,Paramètres!$A$1:$I$89,5,0)</f>
        <v>155.75039999999984</v>
      </c>
      <c r="CA127" s="13">
        <f t="shared" si="93"/>
        <v>39.882509755133718</v>
      </c>
      <c r="CB127" s="20">
        <f t="shared" si="64"/>
        <v>340.72731782352429</v>
      </c>
      <c r="CC127" s="59">
        <f t="shared" si="65"/>
        <v>623.59436960669768</v>
      </c>
      <c r="CD127" s="59">
        <f ca="1">AVERAGE(OFFSET($CC$3,0,0,'Données projet'!$E$12+1,1))-AVERAGE(OFFSET($H$3,0,0,'Données projet'!$E$12+1,1))</f>
        <v>256.23994291192162</v>
      </c>
      <c r="CE127" s="59">
        <f t="shared" si="94"/>
        <v>207.9118653708222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1.7392906706241171</v>
      </c>
      <c r="CL127" s="21">
        <f>EXP(-LN(2)/25)*CL126+(1-EXP(-LN(2)/25))/(LN(2)/25)*Calculateur!CG127*Calculateur!CI127*VLOOKUP('Données projet'!$B$12,Paramètres!$A$1:$I$89,3,0)*0.475*44/12</f>
        <v>3.8175034661365697</v>
      </c>
      <c r="CM127" s="21">
        <f>EXP(-LN(2)/2)*CM126+(1-EXP(-LN(2)/2))/(LN(2)/2)*CG127*CJ127*VLOOKUP('Données projet'!$B$12,Paramètres!$A$1:$I$89,3,0)*0.475*44/12</f>
        <v>1.4274244774528892E-5</v>
      </c>
      <c r="CN127" s="22">
        <f t="shared" si="66"/>
        <v>5.556808411005461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170.99999999999991</v>
      </c>
      <c r="CU127" s="17">
        <f>CT127*VLOOKUP('Données projet'!$B$13,Paramètres!$A$1:$I$89,3,0)*VLOOKUP('Données projet'!$B$13,Paramètres!$A$1:$I$89,5,0)</f>
        <v>98.701199999999957</v>
      </c>
      <c r="CV127" s="13">
        <f t="shared" si="95"/>
        <v>26.652341328097943</v>
      </c>
      <c r="CW127" s="20">
        <f t="shared" si="67"/>
        <v>218.32408447977051</v>
      </c>
      <c r="CX127" s="59">
        <f t="shared" si="68"/>
        <v>501.19113626294381</v>
      </c>
      <c r="CY127" s="59">
        <f ca="1">AVERAGE(OFFSET($CX$3,0,0,'Données projet'!$E$13+1,1))-AVERAGE(OFFSET($H$3,0,0,'Données projet'!$E$13+1,1))</f>
        <v>205.74526926885287</v>
      </c>
      <c r="CZ127" s="59">
        <f t="shared" si="96"/>
        <v>201.56217137928999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0.45523688706819287</v>
      </c>
      <c r="DG127" s="21">
        <f>EXP(-LN(2)/25)*DG126+(1-EXP(-LN(2)/25))/(LN(2)/25)*Calculateur!DB127*Calculateur!DD127*VLOOKUP('Données projet'!$B$13,Paramètres!$A$1:$I$89,3,0)*0.475*44/12</f>
        <v>2.8879656536534353</v>
      </c>
      <c r="DH127" s="21">
        <f>EXP(-LN(2)/2)*DH126+(1-EXP(-LN(2)/2))/(LN(2)/2)*DB127*DE127*VLOOKUP('Données projet'!$B$13,Paramètres!$A$1:$I$89,3,0)*0.475*44/12</f>
        <v>1.698099676902898E-5</v>
      </c>
      <c r="DI127" s="22">
        <f t="shared" si="69"/>
        <v>3.3432195217183973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5.3066239316239274</v>
      </c>
      <c r="DO127" s="12">
        <f>IF('Données projet'!$A$166&gt;35,DO126+DN127-DW126,IF(A127&lt;'Données projet'!$A$166,$DL$205^A127,IF(A127='Données projet'!$A$166,'Données projet'!$B$166,DO126+DN127-DW126)))</f>
        <v>272.98824786324741</v>
      </c>
      <c r="DP127" s="17">
        <f>DO127*VLOOKUP('Données projet'!$B$14,Paramètres!$A$1:$I$89,3,0)*VLOOKUP('Données projet'!$B$14,Paramètres!$A$1:$I$89,5,0)</f>
        <v>259.77561666666622</v>
      </c>
      <c r="DQ127" s="13">
        <f t="shared" si="97"/>
        <v>62.674546093913065</v>
      </c>
      <c r="DR127" s="20">
        <f t="shared" si="70"/>
        <v>561.60070014134226</v>
      </c>
      <c r="DS127" s="59">
        <f t="shared" si="71"/>
        <v>844.4677519245156</v>
      </c>
      <c r="DT127" s="59">
        <f ca="1">AVERAGE(OFFSET($DS$3,0,0,'Données projet'!$E$14+1,1))-AVERAGE(OFFSET($H$3,0,0,'Données projet'!$E$14+1,1))</f>
        <v>403.89478276355294</v>
      </c>
      <c r="DU127" s="59">
        <f t="shared" si="98"/>
        <v>241.1593989733278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30.198078591963608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30.198078591963608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278.29487179487177</v>
      </c>
      <c r="L128" s="12">
        <f>VLOOKUP(A128,'Données projet'!$A$35:$I$55,9,0)</f>
        <v>5.3066239316239274</v>
      </c>
      <c r="M128" s="12">
        <f t="array" ref="M128">INDEX(L:L,MIN(IF(ISNUMBER(L128:L324),ROW(L128:L324),"")))</f>
        <v>5.3066239316239274</v>
      </c>
      <c r="N128" s="13">
        <f>IF('Données projet'!$A$36&gt;35,N127+M128-V127,IF(A128&lt;'Données projet'!$A$36,$K$205^A128,IF(A128='Données projet'!$A$36,'Données projet'!$B$36,N127+M128-V127)))</f>
        <v>278.29487179487131</v>
      </c>
      <c r="O128" s="13">
        <f>N128*VLOOKUP('Données projet'!$B$9,Paramètres!$A$1:$I$89,3,0)*VLOOKUP('Données projet'!$B$9,Paramètres!$A$1:$I$89,5,0)</f>
        <v>251.80119999999957</v>
      </c>
      <c r="P128" s="13">
        <f t="shared" si="87"/>
        <v>60.971479423668242</v>
      </c>
      <c r="Q128" s="20">
        <f t="shared" si="107"/>
        <v>544.74574999622132</v>
      </c>
      <c r="R128" s="59">
        <f t="shared" si="55"/>
        <v>827.79436836518983</v>
      </c>
      <c r="S128" s="59">
        <f ca="1">AVERAGE(OFFSET($R$3,0,0,'Données projet'!$E$9+1,1))-AVERAGE(OFFSET($H$3,0,0,'Données projet'!$E$9+1,1))</f>
        <v>388.1278150896951</v>
      </c>
      <c r="T128" s="59">
        <f t="shared" si="88"/>
        <v>232.26614607059227</v>
      </c>
      <c r="U128" s="15">
        <f>IF(ISNA(VLOOKUP(A128,'Données projet'!$A$35:$I$55,3,0)),0,VLOOKUP(A128,'Données projet'!$A$35:$I$55,3,0))</f>
        <v>10</v>
      </c>
      <c r="V128" s="15">
        <f>IF(ISNA(VLOOKUP(A128,'Données projet'!$A$35:$I$55,4,0)),0,VLOOKUP(A128,'Données projet'!$A$35:$I$55,4,0))</f>
        <v>48.160256410256409</v>
      </c>
      <c r="W128" s="16">
        <f>IF(ISNA(VLOOKUP(A128,'Données projet'!$A$35:$I$55,5,0)),0%,VLOOKUP(A128,'Données projet'!$A$35:$I$55,5,0)*VLOOKUP('Données projet'!$B$9,Paramètres!$A$1:$I$89,7,0))</f>
        <v>0.30099999999999999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42.64944970371053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42.64944970371053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278.29487179487177</v>
      </c>
      <c r="AG128" s="12">
        <f>VLOOKUP(A128,'Données projet'!$A$61:$I$81,9,0)</f>
        <v>5.3066239316239274</v>
      </c>
      <c r="AH128" s="12">
        <f t="array" ref="AH128">INDEX(AG:AG,MIN(IF(ISNUMBER(AG128:AG324),ROW(AG128:AG324),"")))</f>
        <v>5.3066239316239274</v>
      </c>
      <c r="AI128" s="13">
        <f>IF('Données projet'!$A$62&gt;35,AI127+AH128-AQ127,IF(A128&lt;'Données projet'!$A$62,$AF$205^A128,IF(A128='Données projet'!$A$62,'Données projet'!$B$62,AI127+AH128-AQ127)))</f>
        <v>278.29487179487131</v>
      </c>
      <c r="AJ128" s="13">
        <f>AI128*VLOOKUP('Données projet'!$B$10,Paramètres!$A$1:$I$89,3,0)*VLOOKUP('Données projet'!$B$10,Paramètres!$A$1:$I$89,5,0)</f>
        <v>282.19099999999952</v>
      </c>
      <c r="AK128" s="13">
        <f t="shared" si="89"/>
        <v>67.429819909567854</v>
      </c>
      <c r="AL128" s="20">
        <f t="shared" si="58"/>
        <v>608.92292800916312</v>
      </c>
      <c r="AM128" s="59">
        <f t="shared" si="59"/>
        <v>891.97154637813162</v>
      </c>
      <c r="AN128" s="59">
        <f ca="1">AVERAGE(OFFSET($AM$3,0,0,'Données projet'!$E$10+1,1))-AVERAGE(OFFSET($H$3,0,0,'Données projet'!$E$10+1,1))</f>
        <v>424.89201140676084</v>
      </c>
      <c r="AO128" s="59">
        <f t="shared" si="90"/>
        <v>253.0016648946303</v>
      </c>
      <c r="AP128" s="15">
        <f>IF(ISNA(VLOOKUP(A128,'Données projet'!$A$61:$I$81,3,0)),0,VLOOKUP(A128,'Données projet'!$A$61:$I$81,3,0))</f>
        <v>10</v>
      </c>
      <c r="AQ128" s="15">
        <f>IF(ISNA(VLOOKUP(A128,'Données projet'!$A$61:$I$81,4,0)),0,VLOOKUP(A128,'Données projet'!$A$61:$I$81,4,0))</f>
        <v>48.160256410256409</v>
      </c>
      <c r="AR128" s="16">
        <f>IF(ISNA(VLOOKUP(A128,'Données projet'!$A$61:$I$81,5,0)),0%,VLOOKUP(A128,'Données projet'!$A$61:$I$81,5,0)*VLOOKUP('Données projet'!$B$10,Paramètres!$A$1:$I$89,7,0))</f>
        <v>0.30099999999999999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47.796797081744565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47.796797081744565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155.99999999999991</v>
      </c>
      <c r="BE128" s="13">
        <f>BD128*VLOOKUP('Données projet'!$B$11,Paramètres!$A$1:$I$89,3,0)*VLOOKUP('Données projet'!$B$11,Paramètres!$A$1:$I$89,5,0)</f>
        <v>136.28159999999994</v>
      </c>
      <c r="BF128" s="13">
        <f t="shared" si="91"/>
        <v>35.443842312892279</v>
      </c>
      <c r="BG128" s="20">
        <f t="shared" si="61"/>
        <v>299.08847869495395</v>
      </c>
      <c r="BH128" s="59">
        <f t="shared" si="62"/>
        <v>582.13709706392251</v>
      </c>
      <c r="BI128" s="59">
        <f ca="1">AVERAGE(OFFSET($BH$3,0,0,'Données projet'!$E$11+1,1))-AVERAGE(OFFSET($H$3,0,0,'Données projet'!$E$11+1,1))</f>
        <v>218.97952644043698</v>
      </c>
      <c r="BJ128" s="59">
        <f t="shared" si="92"/>
        <v>204.10961748628714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0.72931704872576841</v>
      </c>
      <c r="BQ128" s="21">
        <f>EXP(-LN(2)/25)*BQ127+(1-EXP(-LN(2)/25))/(LN(2)/25)*Calculateur!BL128*Calculateur!BN128*VLOOKUP('Données projet'!$B$11,Paramètres!$A$1:$I$89,3,0)*0.475*44/12</f>
        <v>1.438352391857648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2.1676694405834165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191.99999999999977</v>
      </c>
      <c r="BZ128" s="13">
        <f>BY128*VLOOKUP('Données projet'!$B$12,Paramètres!$A$1:$I$89,3,0)*VLOOKUP('Données projet'!$B$12,Paramètres!$A$1:$I$89,5,0)</f>
        <v>155.75039999999984</v>
      </c>
      <c r="CA128" s="13">
        <f t="shared" si="93"/>
        <v>39.882509755133718</v>
      </c>
      <c r="CB128" s="20">
        <f t="shared" si="64"/>
        <v>340.72731782352429</v>
      </c>
      <c r="CC128" s="59">
        <f t="shared" si="65"/>
        <v>623.77593619249274</v>
      </c>
      <c r="CD128" s="59">
        <f ca="1">AVERAGE(OFFSET($CC$3,0,0,'Données projet'!$E$12+1,1))-AVERAGE(OFFSET($H$3,0,0,'Données projet'!$E$12+1,1))</f>
        <v>256.23994291192162</v>
      </c>
      <c r="CE128" s="59">
        <f t="shared" si="94"/>
        <v>207.9118653708222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1.7051842414357359</v>
      </c>
      <c r="CL128" s="21">
        <f>EXP(-LN(2)/25)*CL127+(1-EXP(-LN(2)/25))/(LN(2)/25)*Calculateur!CG128*Calculateur!CI128*VLOOKUP('Données projet'!$B$12,Paramètres!$A$1:$I$89,3,0)*0.475*44/12</f>
        <v>3.7131136331012828</v>
      </c>
      <c r="CM128" s="21">
        <f>EXP(-LN(2)/2)*CM127+(1-EXP(-LN(2)/2))/(LN(2)/2)*CG128*CJ128*VLOOKUP('Données projet'!$B$12,Paramètres!$A$1:$I$89,3,0)*0.475*44/12</f>
        <v>1.0093415276386021E-5</v>
      </c>
      <c r="CN128" s="22">
        <f t="shared" si="66"/>
        <v>5.4183079679522947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170.99999999999991</v>
      </c>
      <c r="CU128" s="17">
        <f>CT128*VLOOKUP('Données projet'!$B$13,Paramètres!$A$1:$I$89,3,0)*VLOOKUP('Données projet'!$B$13,Paramètres!$A$1:$I$89,5,0)</f>
        <v>98.701199999999957</v>
      </c>
      <c r="CV128" s="13">
        <f t="shared" si="95"/>
        <v>26.652341328097943</v>
      </c>
      <c r="CW128" s="20">
        <f t="shared" si="67"/>
        <v>218.32408447977051</v>
      </c>
      <c r="CX128" s="59">
        <f t="shared" si="68"/>
        <v>501.37270284873898</v>
      </c>
      <c r="CY128" s="59">
        <f ca="1">AVERAGE(OFFSET($CX$3,0,0,'Données projet'!$E$13+1,1))-AVERAGE(OFFSET($H$3,0,0,'Données projet'!$E$13+1,1))</f>
        <v>205.74526926885287</v>
      </c>
      <c r="CZ128" s="59">
        <f t="shared" si="96"/>
        <v>201.56217137928999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0.44630996937986939</v>
      </c>
      <c r="DG128" s="21">
        <f>EXP(-LN(2)/25)*DG127+(1-EXP(-LN(2)/25))/(LN(2)/25)*Calculateur!DB128*Calculateur!DD128*VLOOKUP('Données projet'!$B$13,Paramètres!$A$1:$I$89,3,0)*0.475*44/12</f>
        <v>2.8089940809827687</v>
      </c>
      <c r="DH128" s="21">
        <f>EXP(-LN(2)/2)*DH127+(1-EXP(-LN(2)/2))/(LN(2)/2)*DB128*DE128*VLOOKUP('Données projet'!$B$13,Paramètres!$A$1:$I$89,3,0)*0.475*44/12</f>
        <v>1.2007377966687246E-5</v>
      </c>
      <c r="DI128" s="22">
        <f t="shared" si="69"/>
        <v>3.2553160577406048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>
        <f>VLOOKUP(A128,'Données projet'!$A$165:$I$185,2,0)</f>
        <v>278.29487179487177</v>
      </c>
      <c r="DM128" s="12">
        <f>VLOOKUP(A128,'Données projet'!$A$165:$I$185,9,0)</f>
        <v>5.3066239316239274</v>
      </c>
      <c r="DN128" s="12">
        <f t="array" ref="DN128">INDEX(DM:DM,MIN(IF(ISNUMBER(DM128:DM324),ROW(DM128:DM324),"")))</f>
        <v>5.3066239316239274</v>
      </c>
      <c r="DO128" s="12">
        <f>IF('Données projet'!$A$166&gt;35,DO127+DN128-DW127,IF(A128&lt;'Données projet'!$A$166,$DL$205^A128,IF(A128='Données projet'!$A$166,'Données projet'!$B$166,DO127+DN128-DW127)))</f>
        <v>278.29487179487131</v>
      </c>
      <c r="DP128" s="17">
        <f>DO128*VLOOKUP('Données projet'!$B$14,Paramètres!$A$1:$I$89,3,0)*VLOOKUP('Données projet'!$B$14,Paramètres!$A$1:$I$89,5,0)</f>
        <v>264.82539999999955</v>
      </c>
      <c r="DQ128" s="13">
        <f t="shared" si="97"/>
        <v>63.749854817958173</v>
      </c>
      <c r="DR128" s="20">
        <f t="shared" si="70"/>
        <v>572.26856880794298</v>
      </c>
      <c r="DS128" s="59">
        <f t="shared" si="71"/>
        <v>855.31718717691149</v>
      </c>
      <c r="DT128" s="59">
        <f ca="1">AVERAGE(OFFSET($DS$3,0,0,'Données projet'!$E$14+1,1))-AVERAGE(OFFSET($H$3,0,0,'Données projet'!$E$14+1,1))</f>
        <v>403.89478276355294</v>
      </c>
      <c r="DU128" s="59">
        <f t="shared" si="98"/>
        <v>241.1593989733278</v>
      </c>
      <c r="DV128" s="15">
        <f>IF(ISNA(VLOOKUP(A128,'Données projet'!$A$165:$I$185,3,0)),0,VLOOKUP(A128,'Données projet'!$A$165:$I$185,3,0))</f>
        <v>10</v>
      </c>
      <c r="DW128" s="15">
        <f>IF(ISNA(VLOOKUP(A128,'Données projet'!$A$165:$I$185,4,0)),0,VLOOKUP(A128,'Données projet'!$A$165:$I$185,4,0))</f>
        <v>48.160256410256409</v>
      </c>
      <c r="DX128" s="16">
        <f>IF(ISNA(VLOOKUP(A128,'Données projet'!$A$165:$I$185,5,0)),0%,VLOOKUP(A128,'Données projet'!$A$165:$I$185,5,0)*VLOOKUP('Données projet'!$B$14,Paramètres!$A$1:$I$89,7,0))</f>
        <v>0.30099999999999999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44.855455722867973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44.855455722867973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5.2446581196581219</v>
      </c>
      <c r="N129" s="13">
        <f>IF('Données projet'!$A$36&gt;35,N128+M129-V128,IF(A129&lt;'Données projet'!$A$36,$K$205^A129,IF(A129='Données projet'!$A$36,'Données projet'!$B$36,N128+M129-V128)))</f>
        <v>235.37927350427304</v>
      </c>
      <c r="O129" s="13">
        <f>N129*VLOOKUP('Données projet'!$B$9,Paramètres!$A$1:$I$89,3,0)*VLOOKUP('Données projet'!$B$9,Paramètres!$A$1:$I$89,5,0)</f>
        <v>212.97116666666628</v>
      </c>
      <c r="P129" s="13">
        <f t="shared" si="87"/>
        <v>52.584328525271125</v>
      </c>
      <c r="Q129" s="20">
        <f t="shared" si="107"/>
        <v>462.50915412595759</v>
      </c>
      <c r="R129" s="59">
        <f t="shared" si="55"/>
        <v>745.73618930637986</v>
      </c>
      <c r="S129" s="59">
        <f ca="1">AVERAGE(OFFSET($R$3,0,0,'Données projet'!$E$9+1,1))-AVERAGE(OFFSET($H$3,0,0,'Données projet'!$E$9+1,1))</f>
        <v>388.1278150896951</v>
      </c>
      <c r="T129" s="59">
        <f t="shared" si="88"/>
        <v>232.26614607059227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41.813120008616458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41.813120008616458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5.2446581196581219</v>
      </c>
      <c r="AI129" s="13">
        <f>IF('Données projet'!$A$62&gt;35,AI128+AH129-AQ128,IF(A129&lt;'Données projet'!$A$62,$AF$205^A129,IF(A129='Données projet'!$A$62,'Données projet'!$B$62,AI128+AH129-AQ128)))</f>
        <v>235.37927350427304</v>
      </c>
      <c r="AJ129" s="13">
        <f>AI129*VLOOKUP('Données projet'!$B$10,Paramètres!$A$1:$I$89,3,0)*VLOOKUP('Données projet'!$B$10,Paramètres!$A$1:$I$89,5,0)</f>
        <v>238.67458333333289</v>
      </c>
      <c r="AK129" s="13">
        <f t="shared" si="89"/>
        <v>58.154268783384175</v>
      </c>
      <c r="AL129" s="20">
        <f t="shared" si="58"/>
        <v>516.97691743661551</v>
      </c>
      <c r="AM129" s="59">
        <f t="shared" si="59"/>
        <v>800.20395261703766</v>
      </c>
      <c r="AN129" s="59">
        <f ca="1">AVERAGE(OFFSET($AM$3,0,0,'Données projet'!$E$10+1,1))-AVERAGE(OFFSET($H$3,0,0,'Données projet'!$E$10+1,1))</f>
        <v>424.89201140676084</v>
      </c>
      <c r="AO129" s="59">
        <f t="shared" si="90"/>
        <v>253.0016648946303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46.859531044139139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46.859531044139139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155.99999999999991</v>
      </c>
      <c r="BE129" s="13">
        <f>BD129*VLOOKUP('Données projet'!$B$11,Paramètres!$A$1:$I$89,3,0)*VLOOKUP('Données projet'!$B$11,Paramètres!$A$1:$I$89,5,0)</f>
        <v>136.28159999999994</v>
      </c>
      <c r="BF129" s="13">
        <f t="shared" si="91"/>
        <v>35.443842312892279</v>
      </c>
      <c r="BG129" s="20">
        <f t="shared" si="61"/>
        <v>299.08847869495395</v>
      </c>
      <c r="BH129" s="59">
        <f t="shared" si="62"/>
        <v>582.31551387537615</v>
      </c>
      <c r="BI129" s="59">
        <f ca="1">AVERAGE(OFFSET($BH$3,0,0,'Données projet'!$E$11+1,1))-AVERAGE(OFFSET($H$3,0,0,'Données projet'!$E$11+1,1))</f>
        <v>218.97952644043698</v>
      </c>
      <c r="BJ129" s="59">
        <f t="shared" si="92"/>
        <v>204.10961748628714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0.7150155862397316</v>
      </c>
      <c r="BQ129" s="21">
        <f>EXP(-LN(2)/25)*BQ128+(1-EXP(-LN(2)/25))/(LN(2)/25)*Calculateur!BL129*Calculateur!BN129*VLOOKUP('Données projet'!$B$11,Paramètres!$A$1:$I$89,3,0)*0.475*44/12</f>
        <v>1.3990205700626357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2.1140361563023671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191.99999999999977</v>
      </c>
      <c r="BZ129" s="13">
        <f>BY129*VLOOKUP('Données projet'!$B$12,Paramètres!$A$1:$I$89,3,0)*VLOOKUP('Données projet'!$B$12,Paramètres!$A$1:$I$89,5,0)</f>
        <v>155.75039999999984</v>
      </c>
      <c r="CA129" s="13">
        <f t="shared" si="93"/>
        <v>39.882509755133718</v>
      </c>
      <c r="CB129" s="20">
        <f t="shared" si="64"/>
        <v>340.72731782352429</v>
      </c>
      <c r="CC129" s="59">
        <f t="shared" si="65"/>
        <v>623.95435300394649</v>
      </c>
      <c r="CD129" s="59">
        <f ca="1">AVERAGE(OFFSET($CC$3,0,0,'Données projet'!$E$12+1,1))-AVERAGE(OFFSET($H$3,0,0,'Données projet'!$E$12+1,1))</f>
        <v>256.23994291192162</v>
      </c>
      <c r="CE129" s="59">
        <f t="shared" si="94"/>
        <v>207.9118653708222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1.6717466185208709</v>
      </c>
      <c r="CL129" s="21">
        <f>EXP(-LN(2)/25)*CL128+(1-EXP(-LN(2)/25))/(LN(2)/25)*Calculateur!CG129*Calculateur!CI129*VLOOKUP('Données projet'!$B$12,Paramètres!$A$1:$I$89,3,0)*0.475*44/12</f>
        <v>3.6115783455399688</v>
      </c>
      <c r="CM129" s="21">
        <f>EXP(-LN(2)/2)*CM128+(1-EXP(-LN(2)/2))/(LN(2)/2)*CG129*CJ129*VLOOKUP('Données projet'!$B$12,Paramètres!$A$1:$I$89,3,0)*0.475*44/12</f>
        <v>7.137122387264446E-6</v>
      </c>
      <c r="CN129" s="22">
        <f t="shared" si="66"/>
        <v>5.2833321011832268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170.99999999999991</v>
      </c>
      <c r="CU129" s="17">
        <f>CT129*VLOOKUP('Données projet'!$B$13,Paramètres!$A$1:$I$89,3,0)*VLOOKUP('Données projet'!$B$13,Paramètres!$A$1:$I$89,5,0)</f>
        <v>98.701199999999957</v>
      </c>
      <c r="CV129" s="13">
        <f t="shared" si="95"/>
        <v>26.652341328097943</v>
      </c>
      <c r="CW129" s="20">
        <f t="shared" si="67"/>
        <v>218.32408447977051</v>
      </c>
      <c r="CX129" s="59">
        <f t="shared" si="68"/>
        <v>501.55111966019274</v>
      </c>
      <c r="CY129" s="59">
        <f ca="1">AVERAGE(OFFSET($CX$3,0,0,'Données projet'!$E$13+1,1))-AVERAGE(OFFSET($H$3,0,0,'Données projet'!$E$13+1,1))</f>
        <v>205.74526926885287</v>
      </c>
      <c r="CZ129" s="59">
        <f t="shared" si="96"/>
        <v>201.56217137928999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0.43755810310253174</v>
      </c>
      <c r="DG129" s="21">
        <f>EXP(-LN(2)/25)*DG128+(1-EXP(-LN(2)/25))/(LN(2)/25)*Calculateur!DB129*Calculateur!DD129*VLOOKUP('Données projet'!$B$13,Paramètres!$A$1:$I$89,3,0)*0.475*44/12</f>
        <v>2.7321819901197162</v>
      </c>
      <c r="DH129" s="21">
        <f>EXP(-LN(2)/2)*DH128+(1-EXP(-LN(2)/2))/(LN(2)/2)*DB129*DE129*VLOOKUP('Données projet'!$B$13,Paramètres!$A$1:$I$89,3,0)*0.475*44/12</f>
        <v>8.4904983845144899E-6</v>
      </c>
      <c r="DI129" s="22">
        <f t="shared" si="69"/>
        <v>3.1697485837206321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5.2446581196581219</v>
      </c>
      <c r="DO129" s="12">
        <f>IF('Données projet'!$A$166&gt;35,DO128+DN129-DW128,IF(A129&lt;'Données projet'!$A$166,$DL$205^A129,IF(A129='Données projet'!$A$166,'Données projet'!$B$166,DO128+DN129-DW128)))</f>
        <v>235.37927350427304</v>
      </c>
      <c r="DP129" s="17">
        <f>DO129*VLOOKUP('Données projet'!$B$14,Paramètres!$A$1:$I$89,3,0)*VLOOKUP('Données projet'!$B$14,Paramètres!$A$1:$I$89,5,0)</f>
        <v>223.98691666666625</v>
      </c>
      <c r="DQ129" s="13">
        <f t="shared" si="97"/>
        <v>54.9805145106018</v>
      </c>
      <c r="DR129" s="20">
        <f t="shared" si="70"/>
        <v>485.86827596707514</v>
      </c>
      <c r="DS129" s="59">
        <f t="shared" si="71"/>
        <v>769.09531114749734</v>
      </c>
      <c r="DT129" s="59">
        <f ca="1">AVERAGE(OFFSET($DS$3,0,0,'Données projet'!$E$14+1,1))-AVERAGE(OFFSET($H$3,0,0,'Données projet'!$E$14+1,1))</f>
        <v>403.89478276355294</v>
      </c>
      <c r="DU129" s="59">
        <f t="shared" si="98"/>
        <v>241.1593989733278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43.975867595269037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43.975867595269037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5.2446581196581219</v>
      </c>
      <c r="N130" s="13">
        <f>IF('Données projet'!$A$36&gt;35,N129+M130-V129,IF(A130&lt;'Données projet'!$A$36,$K$205^A130,IF(A130='Données projet'!$A$36,'Données projet'!$B$36,N129+M130-V129)))</f>
        <v>240.62393162393116</v>
      </c>
      <c r="O130" s="13">
        <f>N130*VLOOKUP('Données projet'!$B$9,Paramètres!$A$1:$I$89,3,0)*VLOOKUP('Données projet'!$B$9,Paramètres!$A$1:$I$89,5,0)</f>
        <v>217.7165333333329</v>
      </c>
      <c r="P130" s="13">
        <f t="shared" si="87"/>
        <v>53.618284552972121</v>
      </c>
      <c r="Q130" s="20">
        <f t="shared" si="107"/>
        <v>472.57480781864791</v>
      </c>
      <c r="R130" s="59">
        <f t="shared" si="55"/>
        <v>755.97716467772534</v>
      </c>
      <c r="S130" s="59">
        <f ca="1">AVERAGE(OFFSET($R$3,0,0,'Données projet'!$E$9+1,1))-AVERAGE(OFFSET($H$3,0,0,'Données projet'!$E$9+1,1))</f>
        <v>388.1278150896951</v>
      </c>
      <c r="T130" s="59">
        <f t="shared" si="88"/>
        <v>232.26614607059227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40.993190228732438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40.993190228732438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5.2446581196581219</v>
      </c>
      <c r="AI130" s="13">
        <f>IF('Données projet'!$A$62&gt;35,AI129+AH130-AQ129,IF(A130&lt;'Données projet'!$A$62,$AF$205^A130,IF(A130='Données projet'!$A$62,'Données projet'!$B$62,AI129+AH130-AQ129)))</f>
        <v>240.62393162393116</v>
      </c>
      <c r="AJ130" s="13">
        <f>AI130*VLOOKUP('Données projet'!$B$10,Paramètres!$A$1:$I$89,3,0)*VLOOKUP('Données projet'!$B$10,Paramètres!$A$1:$I$89,5,0)</f>
        <v>243.9926666666662</v>
      </c>
      <c r="AK130" s="13">
        <f t="shared" si="89"/>
        <v>59.297745526958636</v>
      </c>
      <c r="AL130" s="20">
        <f t="shared" si="58"/>
        <v>528.23080123722991</v>
      </c>
      <c r="AM130" s="59">
        <f t="shared" si="59"/>
        <v>811.6331580963074</v>
      </c>
      <c r="AN130" s="59">
        <f ca="1">AVERAGE(OFFSET($AM$3,0,0,'Données projet'!$E$10+1,1))-AVERAGE(OFFSET($H$3,0,0,'Données projet'!$E$10+1,1))</f>
        <v>424.89201140676084</v>
      </c>
      <c r="AO130" s="59">
        <f t="shared" si="90"/>
        <v>253.0016648946303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45.940644221855322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45.940644221855322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155.99999999999991</v>
      </c>
      <c r="BE130" s="13">
        <f>BD130*VLOOKUP('Données projet'!$B$11,Paramètres!$A$1:$I$89,3,0)*VLOOKUP('Données projet'!$B$11,Paramètres!$A$1:$I$89,5,0)</f>
        <v>136.28159999999994</v>
      </c>
      <c r="BF130" s="13">
        <f t="shared" si="91"/>
        <v>35.443842312892279</v>
      </c>
      <c r="BG130" s="20">
        <f t="shared" si="61"/>
        <v>299.08847869495395</v>
      </c>
      <c r="BH130" s="59">
        <f t="shared" si="62"/>
        <v>582.49083555403138</v>
      </c>
      <c r="BI130" s="59">
        <f ca="1">AVERAGE(OFFSET($BH$3,0,0,'Données projet'!$E$11+1,1))-AVERAGE(OFFSET($H$3,0,0,'Données projet'!$E$11+1,1))</f>
        <v>218.97952644043698</v>
      </c>
      <c r="BJ130" s="59">
        <f t="shared" si="92"/>
        <v>204.10961748628714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0.70099456671001514</v>
      </c>
      <c r="BQ130" s="21">
        <f>EXP(-LN(2)/25)*BQ129+(1-EXP(-LN(2)/25))/(LN(2)/25)*Calculateur!BL130*Calculateur!BN130*VLOOKUP('Données projet'!$B$11,Paramètres!$A$1:$I$89,3,0)*0.475*44/12</f>
        <v>1.3607642790029786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2.0617588457129936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191.99999999999977</v>
      </c>
      <c r="BZ130" s="13">
        <f>BY130*VLOOKUP('Données projet'!$B$12,Paramètres!$A$1:$I$89,3,0)*VLOOKUP('Données projet'!$B$12,Paramètres!$A$1:$I$89,5,0)</f>
        <v>155.75039999999984</v>
      </c>
      <c r="CA130" s="13">
        <f t="shared" si="93"/>
        <v>39.882509755133718</v>
      </c>
      <c r="CB130" s="20">
        <f t="shared" si="64"/>
        <v>340.72731782352429</v>
      </c>
      <c r="CC130" s="59">
        <f t="shared" si="65"/>
        <v>624.12967468260172</v>
      </c>
      <c r="CD130" s="59">
        <f ca="1">AVERAGE(OFFSET($CC$3,0,0,'Données projet'!$E$12+1,1))-AVERAGE(OFFSET($H$3,0,0,'Données projet'!$E$12+1,1))</f>
        <v>256.23994291192162</v>
      </c>
      <c r="CE130" s="59">
        <f t="shared" si="94"/>
        <v>207.9118653708222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1.6389646869964305</v>
      </c>
      <c r="CL130" s="21">
        <f>EXP(-LN(2)/25)*CL129+(1-EXP(-LN(2)/25))/(LN(2)/25)*Calculateur!CG130*Calculateur!CI130*VLOOKUP('Données projet'!$B$12,Paramètres!$A$1:$I$89,3,0)*0.475*44/12</f>
        <v>3.5128195457565274</v>
      </c>
      <c r="CM130" s="21">
        <f>EXP(-LN(2)/2)*CM129+(1-EXP(-LN(2)/2))/(LN(2)/2)*CG130*CJ130*VLOOKUP('Données projet'!$B$12,Paramètres!$A$1:$I$89,3,0)*0.475*44/12</f>
        <v>5.0467076381930103E-6</v>
      </c>
      <c r="CN130" s="22">
        <f t="shared" si="66"/>
        <v>5.1517892794605959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170.99999999999991</v>
      </c>
      <c r="CU130" s="17">
        <f>CT130*VLOOKUP('Données projet'!$B$13,Paramètres!$A$1:$I$89,3,0)*VLOOKUP('Données projet'!$B$13,Paramètres!$A$1:$I$89,5,0)</f>
        <v>98.701199999999957</v>
      </c>
      <c r="CV130" s="13">
        <f t="shared" si="95"/>
        <v>26.652341328097943</v>
      </c>
      <c r="CW130" s="20">
        <f t="shared" si="67"/>
        <v>218.32408447977051</v>
      </c>
      <c r="CX130" s="59">
        <f t="shared" si="68"/>
        <v>501.72644133884796</v>
      </c>
      <c r="CY130" s="59">
        <f ca="1">AVERAGE(OFFSET($CX$3,0,0,'Données projet'!$E$13+1,1))-AVERAGE(OFFSET($H$3,0,0,'Données projet'!$E$13+1,1))</f>
        <v>205.74526926885287</v>
      </c>
      <c r="CZ130" s="59">
        <f t="shared" si="96"/>
        <v>201.56217137928999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0.42897785558478135</v>
      </c>
      <c r="DG130" s="21">
        <f>EXP(-LN(2)/25)*DG129+(1-EXP(-LN(2)/25))/(LN(2)/25)*Calculateur!DB130*Calculateur!DD130*VLOOKUP('Données projet'!$B$13,Paramètres!$A$1:$I$89,3,0)*0.475*44/12</f>
        <v>2.6574703299206863</v>
      </c>
      <c r="DH130" s="21">
        <f>EXP(-LN(2)/2)*DH129+(1-EXP(-LN(2)/2))/(LN(2)/2)*DB130*DE130*VLOOKUP('Données projet'!$B$13,Paramètres!$A$1:$I$89,3,0)*0.475*44/12</f>
        <v>6.0036889833436228E-6</v>
      </c>
      <c r="DI130" s="22">
        <f t="shared" si="69"/>
        <v>3.086454189194451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5.2446581196581219</v>
      </c>
      <c r="DO130" s="12">
        <f>IF('Données projet'!$A$166&gt;35,DO129+DN130-DW129,IF(A130&lt;'Données projet'!$A$166,$DL$205^A130,IF(A130='Données projet'!$A$166,'Données projet'!$B$166,DO129+DN130-DW129)))</f>
        <v>240.62393162393116</v>
      </c>
      <c r="DP130" s="17">
        <f>DO130*VLOOKUP('Données projet'!$B$14,Paramètres!$A$1:$I$89,3,0)*VLOOKUP('Données projet'!$B$14,Paramètres!$A$1:$I$89,5,0)</f>
        <v>228.97773333333288</v>
      </c>
      <c r="DQ130" s="13">
        <f t="shared" si="97"/>
        <v>56.061586304777492</v>
      </c>
      <c r="DR130" s="20">
        <f t="shared" si="70"/>
        <v>496.44348170304221</v>
      </c>
      <c r="DS130" s="59">
        <f t="shared" si="71"/>
        <v>779.84583856211964</v>
      </c>
      <c r="DT130" s="59">
        <f ca="1">AVERAGE(OFFSET($DS$3,0,0,'Données projet'!$E$14+1,1))-AVERAGE(OFFSET($H$3,0,0,'Données projet'!$E$14+1,1))</f>
        <v>403.89478276355294</v>
      </c>
      <c r="DU130" s="59">
        <f t="shared" si="98"/>
        <v>241.1593989733278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43.113527654356531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43.113527654356531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5.2446581196581219</v>
      </c>
      <c r="N131" s="13">
        <f>IF('Données projet'!$A$36&gt;35,N130+M131-V130,IF(A131&lt;'Données projet'!$A$36,$K$205^A131,IF(A131='Données projet'!$A$36,'Données projet'!$B$36,N130+M131-V130)))</f>
        <v>245.86858974358927</v>
      </c>
      <c r="O131" s="13">
        <f>N131*VLOOKUP('Données projet'!$B$9,Paramètres!$A$1:$I$89,3,0)*VLOOKUP('Données projet'!$B$9,Paramètres!$A$1:$I$89,5,0)</f>
        <v>222.46189999999956</v>
      </c>
      <c r="P131" s="13">
        <f t="shared" si="87"/>
        <v>54.649620474067063</v>
      </c>
      <c r="Q131" s="20">
        <f t="shared" ref="Q131:Q153" si="108">(O131+P131)*0.475*44/12</f>
        <v>482.6358981589994</v>
      </c>
      <c r="R131" s="59">
        <f t="shared" ref="R131:R194" si="109">Q131+(I131+J131)*44/12</f>
        <v>766.21053525756793</v>
      </c>
      <c r="S131" s="59">
        <f ca="1">AVERAGE(OFFSET($R$3,0,0,'Données projet'!$E$9+1,1))-AVERAGE(OFFSET($H$3,0,0,'Données projet'!$E$9+1,1))</f>
        <v>388.1278150896951</v>
      </c>
      <c r="T131" s="59">
        <f t="shared" si="88"/>
        <v>232.26614607059227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40.189338771724152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40.189338771724152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5.2446581196581219</v>
      </c>
      <c r="AI131" s="13">
        <f>IF('Données projet'!$A$62&gt;35,AI130+AH131-AQ130,IF(A131&lt;'Données projet'!$A$62,$AF$205^A131,IF(A131='Données projet'!$A$62,'Données projet'!$B$62,AI130+AH131-AQ130)))</f>
        <v>245.86858974358927</v>
      </c>
      <c r="AJ131" s="13">
        <f>AI131*VLOOKUP('Données projet'!$B$10,Paramètres!$A$1:$I$89,3,0)*VLOOKUP('Données projet'!$B$10,Paramètres!$A$1:$I$89,5,0)</f>
        <v>249.31074999999953</v>
      </c>
      <c r="AK131" s="13">
        <f t="shared" si="89"/>
        <v>60.438324631862308</v>
      </c>
      <c r="AL131" s="20">
        <f t="shared" si="58"/>
        <v>539.47963831715936</v>
      </c>
      <c r="AM131" s="59">
        <f t="shared" si="59"/>
        <v>823.05427541572794</v>
      </c>
      <c r="AN131" s="59">
        <f ca="1">AVERAGE(OFFSET($AM$3,0,0,'Données projet'!$E$10+1,1))-AVERAGE(OFFSET($H$3,0,0,'Données projet'!$E$10+1,1))</f>
        <v>424.89201140676084</v>
      </c>
      <c r="AO131" s="59">
        <f t="shared" si="90"/>
        <v>253.0016648946303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45.039776209690871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45.039776209690871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155.99999999999991</v>
      </c>
      <c r="BE131" s="13">
        <f>BD131*VLOOKUP('Données projet'!$B$11,Paramètres!$A$1:$I$89,3,0)*VLOOKUP('Données projet'!$B$11,Paramètres!$A$1:$I$89,5,0)</f>
        <v>136.28159999999994</v>
      </c>
      <c r="BF131" s="13">
        <f t="shared" si="91"/>
        <v>35.443842312892279</v>
      </c>
      <c r="BG131" s="20">
        <f t="shared" si="61"/>
        <v>299.08847869495395</v>
      </c>
      <c r="BH131" s="59">
        <f t="shared" si="62"/>
        <v>582.66311579352248</v>
      </c>
      <c r="BI131" s="59">
        <f ca="1">AVERAGE(OFFSET($BH$3,0,0,'Données projet'!$E$11+1,1))-AVERAGE(OFFSET($H$3,0,0,'Données projet'!$E$11+1,1))</f>
        <v>218.97952644043698</v>
      </c>
      <c r="BJ131" s="59">
        <f t="shared" si="92"/>
        <v>204.10961748628714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0.68724849082129891</v>
      </c>
      <c r="BQ131" s="21">
        <f>EXP(-LN(2)/25)*BQ130+(1-EXP(-LN(2)/25))/(LN(2)/25)*Calculateur!BL131*Calculateur!BN131*VLOOKUP('Données projet'!$B$11,Paramètres!$A$1:$I$89,3,0)*0.475*44/12</f>
        <v>1.3235541082341589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2.0108025990554577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191.99999999999977</v>
      </c>
      <c r="BZ131" s="13">
        <f>BY131*VLOOKUP('Données projet'!$B$12,Paramètres!$A$1:$I$89,3,0)*VLOOKUP('Données projet'!$B$12,Paramètres!$A$1:$I$89,5,0)</f>
        <v>155.75039999999984</v>
      </c>
      <c r="CA131" s="13">
        <f t="shared" si="93"/>
        <v>39.882509755133718</v>
      </c>
      <c r="CB131" s="20">
        <f t="shared" si="64"/>
        <v>340.72731782352429</v>
      </c>
      <c r="CC131" s="59">
        <f t="shared" si="65"/>
        <v>624.30195492209282</v>
      </c>
      <c r="CD131" s="59">
        <f ca="1">AVERAGE(OFFSET($CC$3,0,0,'Données projet'!$E$12+1,1))-AVERAGE(OFFSET($H$3,0,0,'Données projet'!$E$12+1,1))</f>
        <v>256.23994291192162</v>
      </c>
      <c r="CE131" s="59">
        <f t="shared" si="94"/>
        <v>207.9118653708222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1.6068255891541803</v>
      </c>
      <c r="CL131" s="21">
        <f>EXP(-LN(2)/25)*CL130+(1-EXP(-LN(2)/25))/(LN(2)/25)*Calculateur!CG131*Calculateur!CI131*VLOOKUP('Données projet'!$B$12,Paramètres!$A$1:$I$89,3,0)*0.475*44/12</f>
        <v>3.4167613105466641</v>
      </c>
      <c r="CM131" s="21">
        <f>EXP(-LN(2)/2)*CM130+(1-EXP(-LN(2)/2))/(LN(2)/2)*CG131*CJ131*VLOOKUP('Données projet'!$B$12,Paramètres!$A$1:$I$89,3,0)*0.475*44/12</f>
        <v>3.568561193632223E-6</v>
      </c>
      <c r="CN131" s="22">
        <f t="shared" si="66"/>
        <v>5.0235904682620376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170.99999999999991</v>
      </c>
      <c r="CU131" s="17">
        <f>CT131*VLOOKUP('Données projet'!$B$13,Paramètres!$A$1:$I$89,3,0)*VLOOKUP('Données projet'!$B$13,Paramètres!$A$1:$I$89,5,0)</f>
        <v>98.701199999999957</v>
      </c>
      <c r="CV131" s="13">
        <f t="shared" si="95"/>
        <v>26.652341328097943</v>
      </c>
      <c r="CW131" s="20">
        <f t="shared" si="67"/>
        <v>218.32408447977051</v>
      </c>
      <c r="CX131" s="59">
        <f t="shared" si="68"/>
        <v>501.89872157833906</v>
      </c>
      <c r="CY131" s="59">
        <f ca="1">AVERAGE(OFFSET($CX$3,0,0,'Données projet'!$E$13+1,1))-AVERAGE(OFFSET($H$3,0,0,'Données projet'!$E$13+1,1))</f>
        <v>205.74526926885287</v>
      </c>
      <c r="CZ131" s="59">
        <f t="shared" si="96"/>
        <v>201.56217137928999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0.42056586148741987</v>
      </c>
      <c r="DG131" s="21">
        <f>EXP(-LN(2)/25)*DG130+(1-EXP(-LN(2)/25))/(LN(2)/25)*Calculateur!DB131*Calculateur!DD131*VLOOKUP('Données projet'!$B$13,Paramètres!$A$1:$I$89,3,0)*0.475*44/12</f>
        <v>2.5848016639987144</v>
      </c>
      <c r="DH131" s="21">
        <f>EXP(-LN(2)/2)*DH130+(1-EXP(-LN(2)/2))/(LN(2)/2)*DB131*DE131*VLOOKUP('Données projet'!$B$13,Paramètres!$A$1:$I$89,3,0)*0.475*44/12</f>
        <v>4.2452491922572449E-6</v>
      </c>
      <c r="DI131" s="22">
        <f t="shared" si="69"/>
        <v>3.0053717707353265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5.2446581196581219</v>
      </c>
      <c r="DO131" s="12">
        <f>IF('Données projet'!$A$166&gt;35,DO130+DN131-DW130,IF(A131&lt;'Données projet'!$A$166,$DL$205^A131,IF(A131='Données projet'!$A$166,'Données projet'!$B$166,DO130+DN131-DW130)))</f>
        <v>245.86858974358927</v>
      </c>
      <c r="DP131" s="17">
        <f>DO131*VLOOKUP('Données projet'!$B$14,Paramètres!$A$1:$I$89,3,0)*VLOOKUP('Données projet'!$B$14,Paramètres!$A$1:$I$89,5,0)</f>
        <v>233.96854999999954</v>
      </c>
      <c r="DQ131" s="13">
        <f t="shared" si="97"/>
        <v>57.139918598168187</v>
      </c>
      <c r="DR131" s="20">
        <f t="shared" si="70"/>
        <v>507.01391614180881</v>
      </c>
      <c r="DS131" s="59">
        <f t="shared" si="71"/>
        <v>790.58855324037734</v>
      </c>
      <c r="DT131" s="59">
        <f ca="1">AVERAGE(OFFSET($DS$3,0,0,'Données projet'!$E$14+1,1))-AVERAGE(OFFSET($H$3,0,0,'Données projet'!$E$14+1,1))</f>
        <v>403.89478276355294</v>
      </c>
      <c r="DU131" s="59">
        <f t="shared" si="98"/>
        <v>241.1593989733278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42.268097673709889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42.268097673709889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5.2446581196581219</v>
      </c>
      <c r="N132" s="13">
        <f>IF('Données projet'!$A$36&gt;35,N131+M132-V131,IF(A132&lt;'Données projet'!$A$36,$K$205^A132,IF(A132='Données projet'!$A$36,'Données projet'!$B$36,N131+M132-V131)))</f>
        <v>251.11324786324738</v>
      </c>
      <c r="O132" s="13">
        <f>N132*VLOOKUP('Données projet'!$B$9,Paramètres!$A$1:$I$89,3,0)*VLOOKUP('Données projet'!$B$9,Paramètres!$A$1:$I$89,5,0)</f>
        <v>227.20726666666624</v>
      </c>
      <c r="P132" s="13">
        <f t="shared" si="87"/>
        <v>55.678398616153615</v>
      </c>
      <c r="Q132" s="20">
        <f t="shared" si="108"/>
        <v>492.69253370091127</v>
      </c>
      <c r="R132" s="59">
        <f t="shared" si="109"/>
        <v>776.43646236197662</v>
      </c>
      <c r="S132" s="59">
        <f ca="1">AVERAGE(OFFSET($R$3,0,0,'Données projet'!$E$9+1,1))-AVERAGE(OFFSET($H$3,0,0,'Données projet'!$E$9+1,1))</f>
        <v>388.1278150896951</v>
      </c>
      <c r="T132" s="59">
        <f t="shared" si="88"/>
        <v>232.26614607059227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39.40125035148683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39.40125035148683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5.2446581196581219</v>
      </c>
      <c r="AI132" s="13">
        <f>IF('Données projet'!$A$62&gt;35,AI131+AH132-AQ131,IF(A132&lt;'Données projet'!$A$62,$AF$205^A132,IF(A132='Données projet'!$A$62,'Données projet'!$B$62,AI131+AH132-AQ131)))</f>
        <v>251.11324786324738</v>
      </c>
      <c r="AJ132" s="13">
        <f>AI132*VLOOKUP('Données projet'!$B$10,Paramètres!$A$1:$I$89,3,0)*VLOOKUP('Données projet'!$B$10,Paramètres!$A$1:$I$89,5,0)</f>
        <v>254.62883333333286</v>
      </c>
      <c r="AK132" s="13">
        <f t="shared" si="89"/>
        <v>61.576075027678748</v>
      </c>
      <c r="AL132" s="20">
        <f t="shared" ref="AL132:AL153" si="112">(AJ132+AK132)*0.475*44/12</f>
        <v>550.7235487287619</v>
      </c>
      <c r="AM132" s="59">
        <f t="shared" ref="AM132:AM195" si="113">AL132+(AD132+AE132)*44/12</f>
        <v>834.46747738982731</v>
      </c>
      <c r="AN132" s="59">
        <f ca="1">AVERAGE(OFFSET($AM$3,0,0,'Données projet'!$E$10+1,1))-AVERAGE(OFFSET($H$3,0,0,'Données projet'!$E$10+1,1))</f>
        <v>424.89201140676084</v>
      </c>
      <c r="AO132" s="59">
        <f t="shared" si="90"/>
        <v>253.0016648946303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44.156573669769728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44.156573669769728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155.99999999999991</v>
      </c>
      <c r="BE132" s="13">
        <f>BD132*VLOOKUP('Données projet'!$B$11,Paramètres!$A$1:$I$89,3,0)*VLOOKUP('Données projet'!$B$11,Paramètres!$A$1:$I$89,5,0)</f>
        <v>136.28159999999994</v>
      </c>
      <c r="BF132" s="13">
        <f t="shared" si="91"/>
        <v>35.443842312892279</v>
      </c>
      <c r="BG132" s="20">
        <f t="shared" ref="BG132:BG153" si="115">(BE132+BF132)*0.475*44/12</f>
        <v>299.08847869495395</v>
      </c>
      <c r="BH132" s="59">
        <f t="shared" ref="BH132:BH195" si="116">BG132+(AY132+AZ132)*44/12</f>
        <v>582.8324073560193</v>
      </c>
      <c r="BI132" s="59">
        <f ca="1">AVERAGE(OFFSET($BH$3,0,0,'Données projet'!$E$11+1,1))-AVERAGE(OFFSET($H$3,0,0,'Données projet'!$E$11+1,1))</f>
        <v>218.97952644043698</v>
      </c>
      <c r="BJ132" s="59">
        <f t="shared" si="92"/>
        <v>204.10961748628714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0.67377196709648202</v>
      </c>
      <c r="BQ132" s="21">
        <f>EXP(-LN(2)/25)*BQ131+(1-EXP(-LN(2)/25))/(LN(2)/25)*Calculateur!BL132*Calculateur!BN132*VLOOKUP('Données projet'!$B$11,Paramètres!$A$1:$I$89,3,0)*0.475*44/12</f>
        <v>1.2873614515418104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1.9611334186382923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191.99999999999977</v>
      </c>
      <c r="BZ132" s="13">
        <f>BY132*VLOOKUP('Données projet'!$B$12,Paramètres!$A$1:$I$89,3,0)*VLOOKUP('Données projet'!$B$12,Paramètres!$A$1:$I$89,5,0)</f>
        <v>155.75039999999984</v>
      </c>
      <c r="CA132" s="13">
        <f t="shared" si="93"/>
        <v>39.882509755133718</v>
      </c>
      <c r="CB132" s="20">
        <f t="shared" ref="CB132:CB153" si="118">(BZ132+CA132)*0.475*44/12</f>
        <v>340.72731782352429</v>
      </c>
      <c r="CC132" s="59">
        <f t="shared" ref="CC132:CC195" si="119">CB132+(BT132+BU132)*44/12</f>
        <v>624.47124648458964</v>
      </c>
      <c r="CD132" s="59">
        <f ca="1">AVERAGE(OFFSET($CC$3,0,0,'Données projet'!$E$12+1,1))-AVERAGE(OFFSET($H$3,0,0,'Données projet'!$E$12+1,1))</f>
        <v>256.23994291192162</v>
      </c>
      <c r="CE132" s="59">
        <f t="shared" si="94"/>
        <v>207.9118653708222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1.5753167194177027</v>
      </c>
      <c r="CL132" s="21">
        <f>EXP(-LN(2)/25)*CL131+(1-EXP(-LN(2)/25))/(LN(2)/25)*Calculateur!CG132*Calculateur!CI132*VLOOKUP('Données projet'!$B$12,Paramètres!$A$1:$I$89,3,0)*0.475*44/12</f>
        <v>3.3233297928300973</v>
      </c>
      <c r="CM132" s="21">
        <f>EXP(-LN(2)/2)*CM131+(1-EXP(-LN(2)/2))/(LN(2)/2)*CG132*CJ132*VLOOKUP('Données projet'!$B$12,Paramètres!$A$1:$I$89,3,0)*0.475*44/12</f>
        <v>2.5233538190965051E-6</v>
      </c>
      <c r="CN132" s="22">
        <f t="shared" ref="CN132:CN153" si="120">SUM(CK132:CM132)</f>
        <v>4.8986490356016192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170.99999999999991</v>
      </c>
      <c r="CU132" s="17">
        <f>CT132*VLOOKUP('Données projet'!$B$13,Paramètres!$A$1:$I$89,3,0)*VLOOKUP('Données projet'!$B$13,Paramètres!$A$1:$I$89,5,0)</f>
        <v>98.701199999999957</v>
      </c>
      <c r="CV132" s="13">
        <f t="shared" si="95"/>
        <v>26.652341328097943</v>
      </c>
      <c r="CW132" s="20">
        <f t="shared" ref="CW132:CW153" si="121">(CU132+CV132)*0.475*44/12</f>
        <v>218.32408447977051</v>
      </c>
      <c r="CX132" s="59">
        <f t="shared" ref="CX132:CX195" si="122">CW132+(CO132+CP132)*44/12</f>
        <v>502.06801314083589</v>
      </c>
      <c r="CY132" s="59">
        <f ca="1">AVERAGE(OFFSET($CX$3,0,0,'Données projet'!$E$13+1,1))-AVERAGE(OFFSET($H$3,0,0,'Données projet'!$E$13+1,1))</f>
        <v>205.74526926885287</v>
      </c>
      <c r="CZ132" s="59">
        <f t="shared" si="96"/>
        <v>201.56217137928999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0.41231882146349785</v>
      </c>
      <c r="DG132" s="21">
        <f>EXP(-LN(2)/25)*DG131+(1-EXP(-LN(2)/25))/(LN(2)/25)*Calculateur!DB132*Calculateur!DD132*VLOOKUP('Données projet'!$B$13,Paramètres!$A$1:$I$89,3,0)*0.475*44/12</f>
        <v>2.5141201265678577</v>
      </c>
      <c r="DH132" s="21">
        <f>EXP(-LN(2)/2)*DH131+(1-EXP(-LN(2)/2))/(LN(2)/2)*DB132*DE132*VLOOKUP('Données projet'!$B$13,Paramètres!$A$1:$I$89,3,0)*0.475*44/12</f>
        <v>3.0018444916718114E-6</v>
      </c>
      <c r="DI132" s="22">
        <f t="shared" ref="DI132:DI153" si="123">SUM(DF132:DH132)</f>
        <v>2.9264419498758474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5.2446581196581219</v>
      </c>
      <c r="DO132" s="12">
        <f>IF('Données projet'!$A$166&gt;35,DO131+DN132-DW131,IF(A132&lt;'Données projet'!$A$166,$DL$205^A132,IF(A132='Données projet'!$A$166,'Données projet'!$B$166,DO131+DN132-DW131)))</f>
        <v>251.11324786324738</v>
      </c>
      <c r="DP132" s="17">
        <f>DO132*VLOOKUP('Données projet'!$B$14,Paramètres!$A$1:$I$89,3,0)*VLOOKUP('Données projet'!$B$14,Paramètres!$A$1:$I$89,5,0)</f>
        <v>238.95936666666623</v>
      </c>
      <c r="DQ132" s="13">
        <f t="shared" si="97"/>
        <v>58.215576558543134</v>
      </c>
      <c r="DR132" s="20">
        <f t="shared" ref="DR132:DR153" si="124">(DP132+DQ132)*0.475*44/12</f>
        <v>517.57969278390635</v>
      </c>
      <c r="DS132" s="59">
        <f t="shared" ref="DS132:DS195" si="125">DR132+(DJ132+DK132)*44/12</f>
        <v>801.32362144497165</v>
      </c>
      <c r="DT132" s="59">
        <f ca="1">AVERAGE(OFFSET($DS$3,0,0,'Données projet'!$E$14+1,1))-AVERAGE(OFFSET($H$3,0,0,'Données projet'!$E$14+1,1))</f>
        <v>403.89478276355294</v>
      </c>
      <c r="DU132" s="59">
        <f t="shared" si="98"/>
        <v>241.1593989733278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41.439246059322357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41.439246059322357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5.2446581196581219</v>
      </c>
      <c r="N133" s="13">
        <f>IF('Données projet'!$A$36&gt;35,N132+M133-V132,IF(A133&lt;'Données projet'!$A$36,$K$205^A133,IF(A133='Données projet'!$A$36,'Données projet'!$B$36,N132+M133-V132)))</f>
        <v>256.35790598290549</v>
      </c>
      <c r="O133" s="13">
        <f>N133*VLOOKUP('Données projet'!$B$9,Paramètres!$A$1:$I$89,3,0)*VLOOKUP('Données projet'!$B$9,Paramètres!$A$1:$I$89,5,0)</f>
        <v>231.95263333333287</v>
      </c>
      <c r="P133" s="13">
        <f t="shared" ref="P133:P196" si="141">EXP(-1.0587+0.8836*LN(O133)+0.284)</f>
        <v>56.704678554548856</v>
      </c>
      <c r="Q133" s="20">
        <f t="shared" si="108"/>
        <v>502.74481820472732</v>
      </c>
      <c r="R133" s="59">
        <f t="shared" si="109"/>
        <v>786.65510159815949</v>
      </c>
      <c r="S133" s="59">
        <f ca="1">AVERAGE(OFFSET($R$3,0,0,'Données projet'!$E$9+1,1))-AVERAGE(OFFSET($H$3,0,0,'Données projet'!$E$9+1,1))</f>
        <v>388.1278150896951</v>
      </c>
      <c r="T133" s="59">
        <f t="shared" ref="T133:T196" si="142">$T$3</f>
        <v>232.26614607059227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38.628615864483884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38.628615864483884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5.2446581196581219</v>
      </c>
      <c r="AI133" s="13">
        <f>IF('Données projet'!$A$62&gt;35,AI132+AH133-AQ132,IF(A133&lt;'Données projet'!$A$62,$AF$205^A133,IF(A133='Données projet'!$A$62,'Données projet'!$B$62,AI132+AH133-AQ132)))</f>
        <v>256.35790598290549</v>
      </c>
      <c r="AJ133" s="13">
        <f>AI133*VLOOKUP('Données projet'!$B$10,Paramètres!$A$1:$I$89,3,0)*VLOOKUP('Données projet'!$B$10,Paramètres!$A$1:$I$89,5,0)</f>
        <v>259.9469166666662</v>
      </c>
      <c r="AK133" s="13">
        <f t="shared" ref="AK133:AK153" si="143">EXP(-1.0587+0.8836*LN(AJ133)+0.284)</f>
        <v>62.71106260017865</v>
      </c>
      <c r="AL133" s="20">
        <f t="shared" si="112"/>
        <v>561.96264722308808</v>
      </c>
      <c r="AM133" s="59">
        <f t="shared" si="113"/>
        <v>845.87293061652019</v>
      </c>
      <c r="AN133" s="59">
        <f ca="1">AVERAGE(OFFSET($AM$3,0,0,'Données projet'!$E$10+1,1))-AVERAGE(OFFSET($H$3,0,0,'Données projet'!$E$10+1,1))</f>
        <v>424.89201140676084</v>
      </c>
      <c r="AO133" s="59">
        <f t="shared" ref="AO133:AO196" si="144">$AO$3</f>
        <v>253.0016648946303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43.290690192956085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43.290690192956085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155.99999999999991</v>
      </c>
      <c r="BE133" s="13">
        <f>BD133*VLOOKUP('Données projet'!$B$11,Paramètres!$A$1:$I$89,3,0)*VLOOKUP('Données projet'!$B$11,Paramètres!$A$1:$I$89,5,0)</f>
        <v>136.28159999999994</v>
      </c>
      <c r="BF133" s="13">
        <f t="shared" ref="BF133:BF153" si="145">EXP(-1.0587+0.8836*LN(BE133)+0.284)</f>
        <v>35.443842312892279</v>
      </c>
      <c r="BG133" s="20">
        <f t="shared" si="115"/>
        <v>299.08847869495395</v>
      </c>
      <c r="BH133" s="59">
        <f t="shared" si="116"/>
        <v>582.998762088386</v>
      </c>
      <c r="BI133" s="59">
        <f ca="1">AVERAGE(OFFSET($BH$3,0,0,'Données projet'!$E$11+1,1))-AVERAGE(OFFSET($H$3,0,0,'Données projet'!$E$11+1,1))</f>
        <v>218.97952644043698</v>
      </c>
      <c r="BJ133" s="59">
        <f t="shared" ref="BJ133:BJ196" si="146">$BJ$3</f>
        <v>204.10961748628714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0.66055970978204093</v>
      </c>
      <c r="BQ133" s="21">
        <f>EXP(-LN(2)/25)*BQ132+(1-EXP(-LN(2)/25))/(LN(2)/25)*Calculateur!BL133*Calculateur!BN133*VLOOKUP('Données projet'!$B$11,Paramètres!$A$1:$I$89,3,0)*0.475*44/12</f>
        <v>1.2521584849500031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1.9127181947320442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191.99999999999977</v>
      </c>
      <c r="BZ133" s="13">
        <f>BY133*VLOOKUP('Données projet'!$B$12,Paramètres!$A$1:$I$89,3,0)*VLOOKUP('Données projet'!$B$12,Paramètres!$A$1:$I$89,5,0)</f>
        <v>155.75039999999984</v>
      </c>
      <c r="CA133" s="13">
        <f t="shared" ref="CA133:CA153" si="147">EXP(-1.0587+0.8836*LN(BZ133)+0.284)</f>
        <v>39.882509755133718</v>
      </c>
      <c r="CB133" s="20">
        <f t="shared" si="118"/>
        <v>340.72731782352429</v>
      </c>
      <c r="CC133" s="59">
        <f t="shared" si="119"/>
        <v>624.63760121695645</v>
      </c>
      <c r="CD133" s="59">
        <f ca="1">AVERAGE(OFFSET($CC$3,0,0,'Données projet'!$E$12+1,1))-AVERAGE(OFFSET($H$3,0,0,'Données projet'!$E$12+1,1))</f>
        <v>256.23994291192162</v>
      </c>
      <c r="CE133" s="59">
        <f t="shared" ref="CE133:CE196" si="148">$CE$3</f>
        <v>207.9118653708222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1.5444257193982445</v>
      </c>
      <c r="CL133" s="21">
        <f>EXP(-LN(2)/25)*CL132+(1-EXP(-LN(2)/25))/(LN(2)/25)*Calculateur!CG133*Calculateur!CI133*VLOOKUP('Données projet'!$B$12,Paramètres!$A$1:$I$89,3,0)*0.475*44/12</f>
        <v>3.2324531648788399</v>
      </c>
      <c r="CM133" s="21">
        <f>EXP(-LN(2)/2)*CM132+(1-EXP(-LN(2)/2))/(LN(2)/2)*CG133*CJ133*VLOOKUP('Données projet'!$B$12,Paramètres!$A$1:$I$89,3,0)*0.475*44/12</f>
        <v>1.7842805968161115E-6</v>
      </c>
      <c r="CN133" s="22">
        <f t="shared" si="120"/>
        <v>4.7768806685576815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170.99999999999991</v>
      </c>
      <c r="CU133" s="17">
        <f>CT133*VLOOKUP('Données projet'!$B$13,Paramètres!$A$1:$I$89,3,0)*VLOOKUP('Données projet'!$B$13,Paramètres!$A$1:$I$89,5,0)</f>
        <v>98.701199999999957</v>
      </c>
      <c r="CV133" s="13">
        <f t="shared" ref="CV133:CV153" si="149">EXP(-1.0587+0.8836*LN(CU133)+0.284)</f>
        <v>26.652341328097943</v>
      </c>
      <c r="CW133" s="20">
        <f t="shared" si="121"/>
        <v>218.32408447977051</v>
      </c>
      <c r="CX133" s="59">
        <f t="shared" si="122"/>
        <v>502.23436787320259</v>
      </c>
      <c r="CY133" s="59">
        <f ca="1">AVERAGE(OFFSET($CX$3,0,0,'Données projet'!$E$13+1,1))-AVERAGE(OFFSET($H$3,0,0,'Données projet'!$E$13+1,1))</f>
        <v>205.74526926885287</v>
      </c>
      <c r="CZ133" s="59">
        <f t="shared" ref="CZ133:CZ196" si="150">$CZ$3</f>
        <v>201.56217137928999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0.4042335008642472</v>
      </c>
      <c r="DG133" s="21">
        <f>EXP(-LN(2)/25)*DG132+(1-EXP(-LN(2)/25))/(LN(2)/25)*Calculateur!DB133*Calculateur!DD133*VLOOKUP('Données projet'!$B$13,Paramètres!$A$1:$I$89,3,0)*0.475*44/12</f>
        <v>2.445371379495028</v>
      </c>
      <c r="DH133" s="21">
        <f>EXP(-LN(2)/2)*DH132+(1-EXP(-LN(2)/2))/(LN(2)/2)*DB133*DE133*VLOOKUP('Données projet'!$B$13,Paramètres!$A$1:$I$89,3,0)*0.475*44/12</f>
        <v>2.1226245961286225E-6</v>
      </c>
      <c r="DI133" s="22">
        <f t="shared" si="123"/>
        <v>2.8496070029838712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5.2446581196581219</v>
      </c>
      <c r="DO133" s="12">
        <f>IF('Données projet'!$A$166&gt;35,DO132+DN133-DW132,IF(A133&lt;'Données projet'!$A$166,$DL$205^A133,IF(A133='Données projet'!$A$166,'Données projet'!$B$166,DO132+DN133-DW132)))</f>
        <v>256.35790598290549</v>
      </c>
      <c r="DP133" s="17">
        <f>DO133*VLOOKUP('Données projet'!$B$14,Paramètres!$A$1:$I$89,3,0)*VLOOKUP('Données projet'!$B$14,Paramètres!$A$1:$I$89,5,0)</f>
        <v>243.95018333333286</v>
      </c>
      <c r="DQ133" s="13">
        <f t="shared" ref="DQ133:DQ153" si="151">EXP(-1.0587+0.8836*LN(DP133)+0.284)</f>
        <v>59.288622475973931</v>
      </c>
      <c r="DR133" s="20">
        <f t="shared" si="124"/>
        <v>528.14092011787591</v>
      </c>
      <c r="DS133" s="59">
        <f t="shared" si="125"/>
        <v>812.05120351130802</v>
      </c>
      <c r="DT133" s="59">
        <f ca="1">AVERAGE(OFFSET($DS$3,0,0,'Données projet'!$E$14+1,1))-AVERAGE(OFFSET($H$3,0,0,'Données projet'!$E$14+1,1))</f>
        <v>403.89478276355294</v>
      </c>
      <c r="DU133" s="59">
        <f t="shared" ref="DU133:DU196" si="152">$DU$3</f>
        <v>241.1593989733278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40.626647719543399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40.626647719543399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5.2446581196581219</v>
      </c>
      <c r="N134" s="13">
        <f>IF('Données projet'!$A$36&gt;35,N133+M134-V133,IF(A134&lt;'Données projet'!$A$36,$K$205^A134,IF(A134='Données projet'!$A$36,'Données projet'!$B$36,N133+M134-V133)))</f>
        <v>261.60256410256363</v>
      </c>
      <c r="O134" s="13">
        <f>N134*VLOOKUP('Données projet'!$B$9,Paramètres!$A$1:$I$89,3,0)*VLOOKUP('Données projet'!$B$9,Paramètres!$A$1:$I$89,5,0)</f>
        <v>236.69799999999958</v>
      </c>
      <c r="P134" s="13">
        <f t="shared" si="141"/>
        <v>57.728517287605179</v>
      </c>
      <c r="Q134" s="20">
        <f t="shared" si="108"/>
        <v>512.7928509425783</v>
      </c>
      <c r="R134" s="59">
        <f t="shared" si="109"/>
        <v>796.86660318568397</v>
      </c>
      <c r="S134" s="59">
        <f ca="1">AVERAGE(OFFSET($R$3,0,0,'Données projet'!$E$9+1,1))-AVERAGE(OFFSET($H$3,0,0,'Données projet'!$E$9+1,1))</f>
        <v>388.1278150896951</v>
      </c>
      <c r="T134" s="59">
        <f t="shared" si="142"/>
        <v>232.26614607059227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37.871132268510564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37.871132268510564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5.2446581196581219</v>
      </c>
      <c r="AI134" s="13">
        <f>IF('Données projet'!$A$62&gt;35,AI133+AH134-AQ133,IF(A134&lt;'Données projet'!$A$62,$AF$205^A134,IF(A134='Données projet'!$A$62,'Données projet'!$B$62,AI133+AH134-AQ133)))</f>
        <v>261.60256410256363</v>
      </c>
      <c r="AJ134" s="13">
        <f>AI134*VLOOKUP('Données projet'!$B$10,Paramètres!$A$1:$I$89,3,0)*VLOOKUP('Données projet'!$B$10,Paramètres!$A$1:$I$89,5,0)</f>
        <v>265.26499999999953</v>
      </c>
      <c r="AK134" s="13">
        <f t="shared" si="143"/>
        <v>63.843350385205326</v>
      </c>
      <c r="AL134" s="20">
        <f t="shared" si="112"/>
        <v>573.19704358756508</v>
      </c>
      <c r="AM134" s="59">
        <f t="shared" si="113"/>
        <v>857.27079583067075</v>
      </c>
      <c r="AN134" s="59">
        <f ca="1">AVERAGE(OFFSET($AM$3,0,0,'Données projet'!$E$10+1,1))-AVERAGE(OFFSET($H$3,0,0,'Données projet'!$E$10+1,1))</f>
        <v>424.89201140676084</v>
      </c>
      <c r="AO134" s="59">
        <f t="shared" si="144"/>
        <v>253.0016648946303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42.441786162985984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42.441786162985984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155.99999999999991</v>
      </c>
      <c r="BE134" s="13">
        <f>BD134*VLOOKUP('Données projet'!$B$11,Paramètres!$A$1:$I$89,3,0)*VLOOKUP('Données projet'!$B$11,Paramètres!$A$1:$I$89,5,0)</f>
        <v>136.28159999999994</v>
      </c>
      <c r="BF134" s="13">
        <f t="shared" si="145"/>
        <v>35.443842312892279</v>
      </c>
      <c r="BG134" s="20">
        <f t="shared" si="115"/>
        <v>299.08847869495395</v>
      </c>
      <c r="BH134" s="59">
        <f t="shared" si="116"/>
        <v>583.16223093805968</v>
      </c>
      <c r="BI134" s="59">
        <f ca="1">AVERAGE(OFFSET($BH$3,0,0,'Données projet'!$E$11+1,1))-AVERAGE(OFFSET($H$3,0,0,'Données projet'!$E$11+1,1))</f>
        <v>218.97952644043698</v>
      </c>
      <c r="BJ134" s="59">
        <f t="shared" si="146"/>
        <v>204.10961748628714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0.6476065367748548</v>
      </c>
      <c r="BQ134" s="21">
        <f>EXP(-LN(2)/25)*BQ133+(1-EXP(-LN(2)/25))/(LN(2)/25)*Calculateur!BL134*Calculateur!BN134*VLOOKUP('Données projet'!$B$11,Paramètres!$A$1:$I$89,3,0)*0.475*44/12</f>
        <v>1.2179181453308925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1.8655246821057472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191.99999999999977</v>
      </c>
      <c r="BZ134" s="13">
        <f>BY134*VLOOKUP('Données projet'!$B$12,Paramètres!$A$1:$I$89,3,0)*VLOOKUP('Données projet'!$B$12,Paramètres!$A$1:$I$89,5,0)</f>
        <v>155.75039999999984</v>
      </c>
      <c r="CA134" s="13">
        <f t="shared" si="147"/>
        <v>39.882509755133718</v>
      </c>
      <c r="CB134" s="20">
        <f t="shared" si="118"/>
        <v>340.72731782352429</v>
      </c>
      <c r="CC134" s="59">
        <f t="shared" si="119"/>
        <v>624.80107006663002</v>
      </c>
      <c r="CD134" s="59">
        <f ca="1">AVERAGE(OFFSET($CC$3,0,0,'Données projet'!$E$12+1,1))-AVERAGE(OFFSET($H$3,0,0,'Données projet'!$E$12+1,1))</f>
        <v>256.23994291192162</v>
      </c>
      <c r="CE134" s="59">
        <f t="shared" si="148"/>
        <v>207.9118653708222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1.5141404730475183</v>
      </c>
      <c r="CL134" s="21">
        <f>EXP(-LN(2)/25)*CL133+(1-EXP(-LN(2)/25))/(LN(2)/25)*Calculateur!CG134*Calculateur!CI134*VLOOKUP('Données projet'!$B$12,Paramètres!$A$1:$I$89,3,0)*0.475*44/12</f>
        <v>3.1440615630979041</v>
      </c>
      <c r="CM134" s="21">
        <f>EXP(-LN(2)/2)*CM133+(1-EXP(-LN(2)/2))/(LN(2)/2)*CG134*CJ134*VLOOKUP('Données projet'!$B$12,Paramètres!$A$1:$I$89,3,0)*0.475*44/12</f>
        <v>1.2616769095482526E-6</v>
      </c>
      <c r="CN134" s="22">
        <f t="shared" si="120"/>
        <v>4.6582032978223316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170.99999999999991</v>
      </c>
      <c r="CU134" s="17">
        <f>CT134*VLOOKUP('Données projet'!$B$13,Paramètres!$A$1:$I$89,3,0)*VLOOKUP('Données projet'!$B$13,Paramètres!$A$1:$I$89,5,0)</f>
        <v>98.701199999999957</v>
      </c>
      <c r="CV134" s="13">
        <f t="shared" si="149"/>
        <v>26.652341328097943</v>
      </c>
      <c r="CW134" s="20">
        <f t="shared" si="121"/>
        <v>218.32408447977051</v>
      </c>
      <c r="CX134" s="59">
        <f t="shared" si="122"/>
        <v>502.39783672287626</v>
      </c>
      <c r="CY134" s="59">
        <f ca="1">AVERAGE(OFFSET($CX$3,0,0,'Données projet'!$E$13+1,1))-AVERAGE(OFFSET($H$3,0,0,'Données projet'!$E$13+1,1))</f>
        <v>205.74526926885287</v>
      </c>
      <c r="CZ134" s="59">
        <f t="shared" si="150"/>
        <v>201.56217137928999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0.39630672847038922</v>
      </c>
      <c r="DG134" s="21">
        <f>EXP(-LN(2)/25)*DG133+(1-EXP(-LN(2)/25))/(LN(2)/25)*Calculateur!DB134*Calculateur!DD134*VLOOKUP('Données projet'!$B$13,Paramètres!$A$1:$I$89,3,0)*0.475*44/12</f>
        <v>2.3785025705262446</v>
      </c>
      <c r="DH134" s="21">
        <f>EXP(-LN(2)/2)*DH133+(1-EXP(-LN(2)/2))/(LN(2)/2)*DB134*DE134*VLOOKUP('Données projet'!$B$13,Paramètres!$A$1:$I$89,3,0)*0.475*44/12</f>
        <v>1.5009222458359057E-6</v>
      </c>
      <c r="DI134" s="22">
        <f t="shared" si="123"/>
        <v>2.77481079991888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5.2446581196581219</v>
      </c>
      <c r="DO134" s="12">
        <f>IF('Données projet'!$A$166&gt;35,DO133+DN134-DW133,IF(A134&lt;'Données projet'!$A$166,$DL$205^A134,IF(A134='Données projet'!$A$166,'Données projet'!$B$166,DO133+DN134-DW133)))</f>
        <v>261.60256410256363</v>
      </c>
      <c r="DP134" s="17">
        <f>DO134*VLOOKUP('Données projet'!$B$14,Paramètres!$A$1:$I$89,3,0)*VLOOKUP('Données projet'!$B$14,Paramètres!$A$1:$I$89,5,0)</f>
        <v>248.94099999999958</v>
      </c>
      <c r="DQ134" s="13">
        <f t="shared" si="151"/>
        <v>60.359115946139042</v>
      </c>
      <c r="DR134" s="20">
        <f t="shared" si="124"/>
        <v>538.69770193952468</v>
      </c>
      <c r="DS134" s="59">
        <f t="shared" si="125"/>
        <v>822.77145418263035</v>
      </c>
      <c r="DT134" s="59">
        <f ca="1">AVERAGE(OFFSET($DS$3,0,0,'Données projet'!$E$14+1,1))-AVERAGE(OFFSET($H$3,0,0,'Données projet'!$E$14+1,1))</f>
        <v>403.89478276355294</v>
      </c>
      <c r="DU134" s="59">
        <f t="shared" si="152"/>
        <v>241.1593989733278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39.829983937571463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39.829983937571463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5.2446581196581219</v>
      </c>
      <c r="N135" s="13">
        <f>IF('Données projet'!$A$36&gt;35,N134+M135-V134,IF(A135&lt;'Données projet'!$A$36,$K$205^A135,IF(A135='Données projet'!$A$36,'Données projet'!$B$36,N134+M135-V134)))</f>
        <v>266.84722222222177</v>
      </c>
      <c r="O135" s="13">
        <f>N135*VLOOKUP('Données projet'!$B$9,Paramètres!$A$1:$I$89,3,0)*VLOOKUP('Données projet'!$B$9,Paramètres!$A$1:$I$89,5,0)</f>
        <v>241.44336666666626</v>
      </c>
      <c r="P135" s="13">
        <f t="shared" si="141"/>
        <v>58.749969397569316</v>
      </c>
      <c r="Q135" s="20">
        <f t="shared" si="108"/>
        <v>522.83672697854365</v>
      </c>
      <c r="R135" s="59">
        <f t="shared" si="109"/>
        <v>807.07111225224276</v>
      </c>
      <c r="S135" s="59">
        <f ca="1">AVERAGE(OFFSET($R$3,0,0,'Données projet'!$E$9+1,1))-AVERAGE(OFFSET($H$3,0,0,'Données projet'!$E$9+1,1))</f>
        <v>388.1278150896951</v>
      </c>
      <c r="T135" s="59">
        <f t="shared" si="142"/>
        <v>232.26614607059227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37.128502463834906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37.128502463834906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5.2446581196581219</v>
      </c>
      <c r="AI135" s="13">
        <f>IF('Données projet'!$A$62&gt;35,AI134+AH135-AQ134,IF(A135&lt;'Données projet'!$A$62,$AF$205^A135,IF(A135='Données projet'!$A$62,'Données projet'!$B$62,AI134+AH135-AQ134)))</f>
        <v>266.84722222222177</v>
      </c>
      <c r="AJ135" s="13">
        <f>AI135*VLOOKUP('Données projet'!$B$10,Paramètres!$A$1:$I$89,3,0)*VLOOKUP('Données projet'!$B$10,Paramètres!$A$1:$I$89,5,0)</f>
        <v>270.58308333333292</v>
      </c>
      <c r="AK135" s="13">
        <f t="shared" si="143"/>
        <v>64.972998746573325</v>
      </c>
      <c r="AL135" s="20">
        <f t="shared" si="112"/>
        <v>584.42684295583661</v>
      </c>
      <c r="AM135" s="59">
        <f t="shared" si="113"/>
        <v>868.66122822953571</v>
      </c>
      <c r="AN135" s="59">
        <f ca="1">AVERAGE(OFFSET($AM$3,0,0,'Données projet'!$E$10+1,1))-AVERAGE(OFFSET($H$3,0,0,'Données projet'!$E$10+1,1))</f>
        <v>424.89201140676084</v>
      </c>
      <c r="AO135" s="59">
        <f t="shared" si="144"/>
        <v>253.0016648946303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41.609528623263266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41.609528623263266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155.99999999999991</v>
      </c>
      <c r="BE135" s="13">
        <f>BD135*VLOOKUP('Données projet'!$B$11,Paramètres!$A$1:$I$89,3,0)*VLOOKUP('Données projet'!$B$11,Paramètres!$A$1:$I$89,5,0)</f>
        <v>136.28159999999994</v>
      </c>
      <c r="BF135" s="13">
        <f t="shared" si="145"/>
        <v>35.443842312892279</v>
      </c>
      <c r="BG135" s="20">
        <f t="shared" si="115"/>
        <v>299.08847869495395</v>
      </c>
      <c r="BH135" s="59">
        <f t="shared" si="116"/>
        <v>583.32286396865311</v>
      </c>
      <c r="BI135" s="59">
        <f ca="1">AVERAGE(OFFSET($BH$3,0,0,'Données projet'!$E$11+1,1))-AVERAGE(OFFSET($H$3,0,0,'Données projet'!$E$11+1,1))</f>
        <v>218.97952644043698</v>
      </c>
      <c r="BJ135" s="59">
        <f t="shared" si="146"/>
        <v>204.10961748628714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0.63490736758968425</v>
      </c>
      <c r="BQ135" s="21">
        <f>EXP(-LN(2)/25)*BQ134+(1-EXP(-LN(2)/25))/(LN(2)/25)*Calculateur!BL135*Calculateur!BN135*VLOOKUP('Données projet'!$B$11,Paramètres!$A$1:$I$89,3,0)*0.475*44/12</f>
        <v>1.1846141095992875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1.8195214771889718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191.99999999999977</v>
      </c>
      <c r="BZ135" s="13">
        <f>BY135*VLOOKUP('Données projet'!$B$12,Paramètres!$A$1:$I$89,3,0)*VLOOKUP('Données projet'!$B$12,Paramètres!$A$1:$I$89,5,0)</f>
        <v>155.75039999999984</v>
      </c>
      <c r="CA135" s="13">
        <f t="shared" si="147"/>
        <v>39.882509755133718</v>
      </c>
      <c r="CB135" s="20">
        <f t="shared" si="118"/>
        <v>340.72731782352429</v>
      </c>
      <c r="CC135" s="59">
        <f t="shared" si="119"/>
        <v>624.96170309722345</v>
      </c>
      <c r="CD135" s="59">
        <f ca="1">AVERAGE(OFFSET($CC$3,0,0,'Données projet'!$E$12+1,1))-AVERAGE(OFFSET($H$3,0,0,'Données projet'!$E$12+1,1))</f>
        <v>256.23994291192162</v>
      </c>
      <c r="CE135" s="59">
        <f t="shared" si="148"/>
        <v>207.9118653708222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1.4844491019055537</v>
      </c>
      <c r="CL135" s="21">
        <f>EXP(-LN(2)/25)*CL134+(1-EXP(-LN(2)/25))/(LN(2)/25)*Calculateur!CG135*Calculateur!CI135*VLOOKUP('Données projet'!$B$12,Paramètres!$A$1:$I$89,3,0)*0.475*44/12</f>
        <v>3.0580870343159803</v>
      </c>
      <c r="CM135" s="21">
        <f>EXP(-LN(2)/2)*CM134+(1-EXP(-LN(2)/2))/(LN(2)/2)*CG135*CJ135*VLOOKUP('Données projet'!$B$12,Paramètres!$A$1:$I$89,3,0)*0.475*44/12</f>
        <v>8.9214029840805576E-7</v>
      </c>
      <c r="CN135" s="22">
        <f t="shared" si="120"/>
        <v>4.5425370283618323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170.99999999999991</v>
      </c>
      <c r="CU135" s="17">
        <f>CT135*VLOOKUP('Données projet'!$B$13,Paramètres!$A$1:$I$89,3,0)*VLOOKUP('Données projet'!$B$13,Paramètres!$A$1:$I$89,5,0)</f>
        <v>98.701199999999957</v>
      </c>
      <c r="CV135" s="13">
        <f t="shared" si="149"/>
        <v>26.652341328097943</v>
      </c>
      <c r="CW135" s="20">
        <f t="shared" si="121"/>
        <v>218.32408447977051</v>
      </c>
      <c r="CX135" s="59">
        <f t="shared" si="122"/>
        <v>502.55846975346969</v>
      </c>
      <c r="CY135" s="59">
        <f ca="1">AVERAGE(OFFSET($CX$3,0,0,'Données projet'!$E$13+1,1))-AVERAGE(OFFSET($H$3,0,0,'Données projet'!$E$13+1,1))</f>
        <v>205.74526926885287</v>
      </c>
      <c r="CZ135" s="59">
        <f t="shared" si="150"/>
        <v>201.56217137928999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0.38853539524832109</v>
      </c>
      <c r="DG135" s="21">
        <f>EXP(-LN(2)/25)*DG134+(1-EXP(-LN(2)/25))/(LN(2)/25)*Calculateur!DB135*Calculateur!DD135*VLOOKUP('Données projet'!$B$13,Paramètres!$A$1:$I$89,3,0)*0.475*44/12</f>
        <v>2.3134622926551902</v>
      </c>
      <c r="DH135" s="21">
        <f>EXP(-LN(2)/2)*DH134+(1-EXP(-LN(2)/2))/(LN(2)/2)*DB135*DE135*VLOOKUP('Données projet'!$B$13,Paramètres!$A$1:$I$89,3,0)*0.475*44/12</f>
        <v>1.0613122980643112E-6</v>
      </c>
      <c r="DI135" s="22">
        <f t="shared" si="123"/>
        <v>2.7019987492158095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5.2446581196581219</v>
      </c>
      <c r="DO135" s="12">
        <f>IF('Données projet'!$A$166&gt;35,DO134+DN135-DW134,IF(A135&lt;'Données projet'!$A$166,$DL$205^A135,IF(A135='Données projet'!$A$166,'Données projet'!$B$166,DO134+DN135-DW134)))</f>
        <v>266.84722222222177</v>
      </c>
      <c r="DP135" s="17">
        <f>DO135*VLOOKUP('Données projet'!$B$14,Paramètres!$A$1:$I$89,3,0)*VLOOKUP('Données projet'!$B$14,Paramètres!$A$1:$I$89,5,0)</f>
        <v>253.93181666666626</v>
      </c>
      <c r="DQ135" s="13">
        <f t="shared" si="151"/>
        <v>61.427114038513189</v>
      </c>
      <c r="DR135" s="20">
        <f t="shared" si="124"/>
        <v>549.25013764485414</v>
      </c>
      <c r="DS135" s="59">
        <f t="shared" si="125"/>
        <v>833.48452291855324</v>
      </c>
      <c r="DT135" s="59">
        <f ca="1">AVERAGE(OFFSET($DS$3,0,0,'Données projet'!$E$14+1,1))-AVERAGE(OFFSET($H$3,0,0,'Données projet'!$E$14+1,1))</f>
        <v>403.89478276355294</v>
      </c>
      <c r="DU135" s="59">
        <f t="shared" si="152"/>
        <v>241.1593989733278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39.048942246447062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39.048942246447062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5.2446581196581219</v>
      </c>
      <c r="N136" s="13">
        <f>IF('Données projet'!$A$36&gt;35,N135+M136-V135,IF(A136&lt;'Données projet'!$A$36,$K$205^A136,IF(A136='Données projet'!$A$36,'Données projet'!$B$36,N135+M136-V135)))</f>
        <v>272.09188034187991</v>
      </c>
      <c r="O136" s="13">
        <f>N136*VLOOKUP('Données projet'!$B$9,Paramètres!$A$1:$I$89,3,0)*VLOOKUP('Données projet'!$B$9,Paramètres!$A$1:$I$89,5,0)</f>
        <v>246.18873333333292</v>
      </c>
      <c r="P136" s="13">
        <f t="shared" si="141"/>
        <v>59.769087198438612</v>
      </c>
      <c r="Q136" s="20">
        <f t="shared" si="108"/>
        <v>532.87653742616862</v>
      </c>
      <c r="R136" s="59">
        <f t="shared" si="109"/>
        <v>817.26876910650208</v>
      </c>
      <c r="S136" s="59">
        <f ca="1">AVERAGE(OFFSET($R$3,0,0,'Données projet'!$E$9+1,1))-AVERAGE(OFFSET($H$3,0,0,'Données projet'!$E$9+1,1))</f>
        <v>388.1278150896951</v>
      </c>
      <c r="T136" s="59">
        <f t="shared" si="142"/>
        <v>232.26614607059227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36.400435176669482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36.400435176669482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5.2446581196581219</v>
      </c>
      <c r="AI136" s="13">
        <f>IF('Données projet'!$A$62&gt;35,AI135+AH136-AQ135,IF(A136&lt;'Données projet'!$A$62,$AF$205^A136,IF(A136='Données projet'!$A$62,'Données projet'!$B$62,AI135+AH136-AQ135)))</f>
        <v>272.09188034187991</v>
      </c>
      <c r="AJ136" s="13">
        <f>AI136*VLOOKUP('Données projet'!$B$10,Paramètres!$A$1:$I$89,3,0)*VLOOKUP('Données projet'!$B$10,Paramètres!$A$1:$I$89,5,0)</f>
        <v>275.90116666666626</v>
      </c>
      <c r="AK136" s="13">
        <f t="shared" si="143"/>
        <v>66.100065539585671</v>
      </c>
      <c r="AL136" s="20">
        <f t="shared" si="112"/>
        <v>595.65214609255543</v>
      </c>
      <c r="AM136" s="59">
        <f t="shared" si="113"/>
        <v>880.04437777288877</v>
      </c>
      <c r="AN136" s="59">
        <f ca="1">AVERAGE(OFFSET($AM$3,0,0,'Données projet'!$E$10+1,1))-AVERAGE(OFFSET($H$3,0,0,'Données projet'!$E$10+1,1))</f>
        <v>424.89201140676084</v>
      </c>
      <c r="AO136" s="59">
        <f t="shared" si="144"/>
        <v>253.0016648946303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40.793591146267538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40.793591146267538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155.99999999999991</v>
      </c>
      <c r="BE136" s="13">
        <f>BD136*VLOOKUP('Données projet'!$B$11,Paramètres!$A$1:$I$89,3,0)*VLOOKUP('Données projet'!$B$11,Paramètres!$A$1:$I$89,5,0)</f>
        <v>136.28159999999994</v>
      </c>
      <c r="BF136" s="13">
        <f t="shared" si="145"/>
        <v>35.443842312892279</v>
      </c>
      <c r="BG136" s="20">
        <f t="shared" si="115"/>
        <v>299.08847869495395</v>
      </c>
      <c r="BH136" s="59">
        <f t="shared" si="116"/>
        <v>583.48071037528734</v>
      </c>
      <c r="BI136" s="59">
        <f ca="1">AVERAGE(OFFSET($BH$3,0,0,'Données projet'!$E$11+1,1))-AVERAGE(OFFSET($H$3,0,0,'Données projet'!$E$11+1,1))</f>
        <v>218.97952644043698</v>
      </c>
      <c r="BJ136" s="59">
        <f t="shared" si="146"/>
        <v>204.10961748628714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0.6224572213665065</v>
      </c>
      <c r="BQ136" s="21">
        <f>EXP(-LN(2)/25)*BQ135+(1-EXP(-LN(2)/25))/(LN(2)/25)*Calculateur!BL136*Calculateur!BN136*VLOOKUP('Données projet'!$B$11,Paramètres!$A$1:$I$89,3,0)*0.475*44/12</f>
        <v>1.1522207744761463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1.7746779958426528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191.99999999999977</v>
      </c>
      <c r="BZ136" s="13">
        <f>BY136*VLOOKUP('Données projet'!$B$12,Paramètres!$A$1:$I$89,3,0)*VLOOKUP('Données projet'!$B$12,Paramètres!$A$1:$I$89,5,0)</f>
        <v>155.75039999999984</v>
      </c>
      <c r="CA136" s="13">
        <f t="shared" si="147"/>
        <v>39.882509755133718</v>
      </c>
      <c r="CB136" s="20">
        <f t="shared" si="118"/>
        <v>340.72731782352429</v>
      </c>
      <c r="CC136" s="59">
        <f t="shared" si="119"/>
        <v>625.11954950385768</v>
      </c>
      <c r="CD136" s="59">
        <f ca="1">AVERAGE(OFFSET($CC$3,0,0,'Données projet'!$E$12+1,1))-AVERAGE(OFFSET($H$3,0,0,'Données projet'!$E$12+1,1))</f>
        <v>256.23994291192162</v>
      </c>
      <c r="CE136" s="59">
        <f t="shared" si="148"/>
        <v>207.9118653708222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1.4553399604417347</v>
      </c>
      <c r="CL136" s="21">
        <f>EXP(-LN(2)/25)*CL135+(1-EXP(-LN(2)/25))/(LN(2)/25)*Calculateur!CG136*Calculateur!CI136*VLOOKUP('Données projet'!$B$12,Paramètres!$A$1:$I$89,3,0)*0.475*44/12</f>
        <v>2.9744634835448021</v>
      </c>
      <c r="CM136" s="21">
        <f>EXP(-LN(2)/2)*CM135+(1-EXP(-LN(2)/2))/(LN(2)/2)*CG136*CJ136*VLOOKUP('Données projet'!$B$12,Paramètres!$A$1:$I$89,3,0)*0.475*44/12</f>
        <v>6.3083845477412629E-7</v>
      </c>
      <c r="CN136" s="22">
        <f t="shared" si="120"/>
        <v>4.4298040748249914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170.99999999999991</v>
      </c>
      <c r="CU136" s="17">
        <f>CT136*VLOOKUP('Données projet'!$B$13,Paramètres!$A$1:$I$89,3,0)*VLOOKUP('Données projet'!$B$13,Paramètres!$A$1:$I$89,5,0)</f>
        <v>98.701199999999957</v>
      </c>
      <c r="CV136" s="13">
        <f t="shared" si="149"/>
        <v>26.652341328097943</v>
      </c>
      <c r="CW136" s="20">
        <f t="shared" si="121"/>
        <v>218.32408447977051</v>
      </c>
      <c r="CX136" s="59">
        <f t="shared" si="122"/>
        <v>502.71631616010393</v>
      </c>
      <c r="CY136" s="59">
        <f ca="1">AVERAGE(OFFSET($CX$3,0,0,'Données projet'!$E$13+1,1))-AVERAGE(OFFSET($H$3,0,0,'Données projet'!$E$13+1,1))</f>
        <v>205.74526926885287</v>
      </c>
      <c r="CZ136" s="59">
        <f t="shared" si="150"/>
        <v>201.56217137928999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0.38091645313069245</v>
      </c>
      <c r="DG136" s="21">
        <f>EXP(-LN(2)/25)*DG135+(1-EXP(-LN(2)/25))/(LN(2)/25)*Calculateur!DB136*Calculateur!DD136*VLOOKUP('Données projet'!$B$13,Paramètres!$A$1:$I$89,3,0)*0.475*44/12</f>
        <v>2.2502005446028397</v>
      </c>
      <c r="DH136" s="21">
        <f>EXP(-LN(2)/2)*DH135+(1-EXP(-LN(2)/2))/(LN(2)/2)*DB136*DE136*VLOOKUP('Données projet'!$B$13,Paramètres!$A$1:$I$89,3,0)*0.475*44/12</f>
        <v>7.5046112291795285E-7</v>
      </c>
      <c r="DI136" s="22">
        <f t="shared" si="123"/>
        <v>2.6311177481946553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5.2446581196581219</v>
      </c>
      <c r="DO136" s="12">
        <f>IF('Données projet'!$A$166&gt;35,DO135+DN136-DW135,IF(A136&lt;'Données projet'!$A$166,$DL$205^A136,IF(A136='Données projet'!$A$166,'Données projet'!$B$166,DO135+DN136-DW135)))</f>
        <v>272.09188034187991</v>
      </c>
      <c r="DP136" s="17">
        <f>DO136*VLOOKUP('Données projet'!$B$14,Paramètres!$A$1:$I$89,3,0)*VLOOKUP('Données projet'!$B$14,Paramètres!$A$1:$I$89,5,0)</f>
        <v>258.92263333333295</v>
      </c>
      <c r="DQ136" s="13">
        <f t="shared" si="151"/>
        <v>62.492671450961254</v>
      </c>
      <c r="DR136" s="20">
        <f t="shared" si="124"/>
        <v>559.79832249931235</v>
      </c>
      <c r="DS136" s="59">
        <f t="shared" si="125"/>
        <v>844.19055417964569</v>
      </c>
      <c r="DT136" s="59">
        <f ca="1">AVERAGE(OFFSET($DS$3,0,0,'Données projet'!$E$14+1,1))-AVERAGE(OFFSET($H$3,0,0,'Données projet'!$E$14+1,1))</f>
        <v>403.89478276355294</v>
      </c>
      <c r="DU136" s="59">
        <f t="shared" si="152"/>
        <v>241.1593989733278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38.283216306497224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38.283216306497224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5.2446581196581219</v>
      </c>
      <c r="N137" s="13">
        <f>IF('Données projet'!$A$36&gt;35,N136+M137-V136,IF(A137&lt;'Données projet'!$A$36,$K$205^A137,IF(A137='Données projet'!$A$36,'Données projet'!$B$36,N136+M137-V136)))</f>
        <v>277.33653846153805</v>
      </c>
      <c r="O137" s="13">
        <f>N137*VLOOKUP('Données projet'!$B$9,Paramètres!$A$1:$I$89,3,0)*VLOOKUP('Données projet'!$B$9,Paramètres!$A$1:$I$89,5,0)</f>
        <v>250.9340999999996</v>
      </c>
      <c r="P137" s="13">
        <f t="shared" si="141"/>
        <v>60.785920872094742</v>
      </c>
      <c r="Q137" s="20">
        <f t="shared" si="108"/>
        <v>542.91236968556427</v>
      </c>
      <c r="R137" s="59">
        <f t="shared" si="109"/>
        <v>827.45970949026855</v>
      </c>
      <c r="S137" s="59">
        <f ca="1">AVERAGE(OFFSET($R$3,0,0,'Données projet'!$E$9+1,1))-AVERAGE(OFFSET($H$3,0,0,'Données projet'!$E$9+1,1))</f>
        <v>388.1278150896951</v>
      </c>
      <c r="T137" s="59">
        <f t="shared" si="142"/>
        <v>232.26614607059227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35.686644844928182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35.686644844928182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5.2446581196581219</v>
      </c>
      <c r="AI137" s="13">
        <f>IF('Données projet'!$A$62&gt;35,AI136+AH137-AQ136,IF(A137&lt;'Données projet'!$A$62,$AF$205^A137,IF(A137='Données projet'!$A$62,'Données projet'!$B$62,AI136+AH137-AQ136)))</f>
        <v>277.33653846153805</v>
      </c>
      <c r="AJ137" s="13">
        <f>AI137*VLOOKUP('Données projet'!$B$10,Paramètres!$A$1:$I$89,3,0)*VLOOKUP('Données projet'!$B$10,Paramètres!$A$1:$I$89,5,0)</f>
        <v>281.21924999999965</v>
      </c>
      <c r="AK137" s="13">
        <f t="shared" si="143"/>
        <v>67.224606261587638</v>
      </c>
      <c r="AL137" s="20">
        <f t="shared" si="112"/>
        <v>606.87304965559781</v>
      </c>
      <c r="AM137" s="59">
        <f t="shared" si="113"/>
        <v>891.42038946030209</v>
      </c>
      <c r="AN137" s="59">
        <f ca="1">AVERAGE(OFFSET($AM$3,0,0,'Données projet'!$E$10+1,1))-AVERAGE(OFFSET($H$3,0,0,'Données projet'!$E$10+1,1))</f>
        <v>424.89201140676084</v>
      </c>
      <c r="AO137" s="59">
        <f t="shared" si="144"/>
        <v>253.0016648946303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39.993653705522973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39.993653705522973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155.99999999999991</v>
      </c>
      <c r="BE137" s="13">
        <f>BD137*VLOOKUP('Données projet'!$B$11,Paramètres!$A$1:$I$89,3,0)*VLOOKUP('Données projet'!$B$11,Paramètres!$A$1:$I$89,5,0)</f>
        <v>136.28159999999994</v>
      </c>
      <c r="BF137" s="13">
        <f t="shared" si="145"/>
        <v>35.443842312892279</v>
      </c>
      <c r="BG137" s="20">
        <f t="shared" si="115"/>
        <v>299.08847869495395</v>
      </c>
      <c r="BH137" s="59">
        <f t="shared" si="116"/>
        <v>583.63581849965817</v>
      </c>
      <c r="BI137" s="59">
        <f ca="1">AVERAGE(OFFSET($BH$3,0,0,'Données projet'!$E$11+1,1))-AVERAGE(OFFSET($H$3,0,0,'Données projet'!$E$11+1,1))</f>
        <v>218.97952644043698</v>
      </c>
      <c r="BJ137" s="59">
        <f t="shared" si="146"/>
        <v>204.10961748628714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0.61025121491692591</v>
      </c>
      <c r="BQ137" s="21">
        <f>EXP(-LN(2)/25)*BQ136+(1-EXP(-LN(2)/25))/(LN(2)/25)*Calculateur!BL137*Calculateur!BN137*VLOOKUP('Données projet'!$B$11,Paramètres!$A$1:$I$89,3,0)*0.475*44/12</f>
        <v>1.1207132368054391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1.730964451722365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191.99999999999977</v>
      </c>
      <c r="BZ137" s="13">
        <f>BY137*VLOOKUP('Données projet'!$B$12,Paramètres!$A$1:$I$89,3,0)*VLOOKUP('Données projet'!$B$12,Paramètres!$A$1:$I$89,5,0)</f>
        <v>155.75039999999984</v>
      </c>
      <c r="CA137" s="13">
        <f t="shared" si="147"/>
        <v>39.882509755133718</v>
      </c>
      <c r="CB137" s="20">
        <f t="shared" si="118"/>
        <v>340.72731782352429</v>
      </c>
      <c r="CC137" s="59">
        <f t="shared" si="119"/>
        <v>625.27465762822862</v>
      </c>
      <c r="CD137" s="59">
        <f ca="1">AVERAGE(OFFSET($CC$3,0,0,'Données projet'!$E$12+1,1))-AVERAGE(OFFSET($H$3,0,0,'Données projet'!$E$12+1,1))</f>
        <v>256.23994291192162</v>
      </c>
      <c r="CE137" s="59">
        <f t="shared" si="148"/>
        <v>207.9118653708222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1.4268016314871981</v>
      </c>
      <c r="CL137" s="21">
        <f>EXP(-LN(2)/25)*CL136+(1-EXP(-LN(2)/25))/(LN(2)/25)*Calculateur!CG137*Calculateur!CI137*VLOOKUP('Données projet'!$B$12,Paramètres!$A$1:$I$89,3,0)*0.475*44/12</f>
        <v>2.8931266231670332</v>
      </c>
      <c r="CM137" s="21">
        <f>EXP(-LN(2)/2)*CM136+(1-EXP(-LN(2)/2))/(LN(2)/2)*CG137*CJ137*VLOOKUP('Données projet'!$B$12,Paramètres!$A$1:$I$89,3,0)*0.475*44/12</f>
        <v>4.4607014920402788E-7</v>
      </c>
      <c r="CN137" s="22">
        <f t="shared" si="120"/>
        <v>4.3199287007243798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170.99999999999991</v>
      </c>
      <c r="CU137" s="17">
        <f>CT137*VLOOKUP('Données projet'!$B$13,Paramètres!$A$1:$I$89,3,0)*VLOOKUP('Données projet'!$B$13,Paramètres!$A$1:$I$89,5,0)</f>
        <v>98.701199999999957</v>
      </c>
      <c r="CV137" s="13">
        <f t="shared" si="149"/>
        <v>26.652341328097943</v>
      </c>
      <c r="CW137" s="20">
        <f t="shared" si="121"/>
        <v>218.32408447977051</v>
      </c>
      <c r="CX137" s="59">
        <f t="shared" si="122"/>
        <v>502.87142428447476</v>
      </c>
      <c r="CY137" s="59">
        <f ca="1">AVERAGE(OFFSET($CX$3,0,0,'Données projet'!$E$13+1,1))-AVERAGE(OFFSET($H$3,0,0,'Données projet'!$E$13+1,1))</f>
        <v>205.74526926885287</v>
      </c>
      <c r="CZ137" s="59">
        <f t="shared" si="150"/>
        <v>201.56217137928999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0.37344691382089468</v>
      </c>
      <c r="DG137" s="21">
        <f>EXP(-LN(2)/25)*DG136+(1-EXP(-LN(2)/25))/(LN(2)/25)*Calculateur!DB137*Calculateur!DD137*VLOOKUP('Données projet'!$B$13,Paramètres!$A$1:$I$89,3,0)*0.475*44/12</f>
        <v>2.1886686923777714</v>
      </c>
      <c r="DH137" s="21">
        <f>EXP(-LN(2)/2)*DH136+(1-EXP(-LN(2)/2))/(LN(2)/2)*DB137*DE137*VLOOKUP('Données projet'!$B$13,Paramètres!$A$1:$I$89,3,0)*0.475*44/12</f>
        <v>5.3065614903215562E-7</v>
      </c>
      <c r="DI137" s="22">
        <f t="shared" si="123"/>
        <v>2.5621161368548151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5.2446581196581219</v>
      </c>
      <c r="DO137" s="12">
        <f>IF('Données projet'!$A$166&gt;35,DO136+DN137-DW136,IF(A137&lt;'Données projet'!$A$166,$DL$205^A137,IF(A137='Données projet'!$A$166,'Données projet'!$B$166,DO136+DN137-DW136)))</f>
        <v>277.33653846153805</v>
      </c>
      <c r="DP137" s="17">
        <f>DO137*VLOOKUP('Données projet'!$B$14,Paramètres!$A$1:$I$89,3,0)*VLOOKUP('Données projet'!$B$14,Paramètres!$A$1:$I$89,5,0)</f>
        <v>263.91344999999961</v>
      </c>
      <c r="DQ137" s="13">
        <f t="shared" si="151"/>
        <v>63.555840652075076</v>
      </c>
      <c r="DR137" s="20">
        <f t="shared" si="124"/>
        <v>570.34234788569677</v>
      </c>
      <c r="DS137" s="59">
        <f t="shared" si="125"/>
        <v>854.88968769040105</v>
      </c>
      <c r="DT137" s="59">
        <f ca="1">AVERAGE(OFFSET($DS$3,0,0,'Données projet'!$E$14+1,1))-AVERAGE(OFFSET($H$3,0,0,'Données projet'!$E$14+1,1))</f>
        <v>403.89478276355294</v>
      </c>
      <c r="DU137" s="59">
        <f t="shared" si="152"/>
        <v>241.1593989733278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37.532505785183091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37.532505785183091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5.2446581196581219</v>
      </c>
      <c r="N138" s="13">
        <f>IF('Données projet'!$A$36&gt;35,N137+M138-V137,IF(A138&lt;'Données projet'!$A$36,$K$205^A138,IF(A138='Données projet'!$A$36,'Données projet'!$B$36,N137+M138-V137)))</f>
        <v>282.5811965811962</v>
      </c>
      <c r="O138" s="13">
        <f>N138*VLOOKUP('Données projet'!$B$9,Paramètres!$A$1:$I$89,3,0)*VLOOKUP('Données projet'!$B$9,Paramètres!$A$1:$I$89,5,0)</f>
        <v>255.67946666666631</v>
      </c>
      <c r="P138" s="13">
        <f t="shared" si="141"/>
        <v>61.800518593848722</v>
      </c>
      <c r="Q138" s="20">
        <f t="shared" si="108"/>
        <v>552.94430766206358</v>
      </c>
      <c r="R138" s="59">
        <f t="shared" si="109"/>
        <v>837.64406481195078</v>
      </c>
      <c r="S138" s="59">
        <f ca="1">AVERAGE(OFFSET($R$3,0,0,'Données projet'!$E$9+1,1))-AVERAGE(OFFSET($H$3,0,0,'Données projet'!$E$9+1,1))</f>
        <v>388.1278150896951</v>
      </c>
      <c r="T138" s="59">
        <f t="shared" si="142"/>
        <v>232.26614607059227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34.986851506223211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34.986851506223211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5.2446581196581219</v>
      </c>
      <c r="AI138" s="13">
        <f>IF('Données projet'!$A$62&gt;35,AI137+AH138-AQ137,IF(A138&lt;'Données projet'!$A$62,$AF$205^A138,IF(A138='Données projet'!$A$62,'Données projet'!$B$62,AI137+AH138-AQ137)))</f>
        <v>282.5811965811962</v>
      </c>
      <c r="AJ138" s="13">
        <f>AI138*VLOOKUP('Données projet'!$B$10,Paramètres!$A$1:$I$89,3,0)*VLOOKUP('Données projet'!$B$10,Paramètres!$A$1:$I$89,5,0)</f>
        <v>286.53733333333292</v>
      </c>
      <c r="AK138" s="13">
        <f t="shared" si="143"/>
        <v>68.346674190809836</v>
      </c>
      <c r="AL138" s="20">
        <f t="shared" si="112"/>
        <v>618.08964643788192</v>
      </c>
      <c r="AM138" s="59">
        <f t="shared" si="113"/>
        <v>902.78940358776913</v>
      </c>
      <c r="AN138" s="59">
        <f ca="1">AVERAGE(OFFSET($AM$3,0,0,'Données projet'!$E$10+1,1))-AVERAGE(OFFSET($H$3,0,0,'Données projet'!$E$10+1,1))</f>
        <v>424.89201140676084</v>
      </c>
      <c r="AO138" s="59">
        <f t="shared" si="144"/>
        <v>253.0016648946303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39.209402550077748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39.209402550077748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155.99999999999991</v>
      </c>
      <c r="BE138" s="13">
        <f>BD138*VLOOKUP('Données projet'!$B$11,Paramètres!$A$1:$I$89,3,0)*VLOOKUP('Données projet'!$B$11,Paramètres!$A$1:$I$89,5,0)</f>
        <v>136.28159999999994</v>
      </c>
      <c r="BF138" s="13">
        <f t="shared" si="145"/>
        <v>35.443842312892279</v>
      </c>
      <c r="BG138" s="20">
        <f t="shared" si="115"/>
        <v>299.08847869495395</v>
      </c>
      <c r="BH138" s="59">
        <f t="shared" si="116"/>
        <v>583.7882358448411</v>
      </c>
      <c r="BI138" s="59">
        <f ca="1">AVERAGE(OFFSET($BH$3,0,0,'Données projet'!$E$11+1,1))-AVERAGE(OFFSET($H$3,0,0,'Données projet'!$E$11+1,1))</f>
        <v>218.97952644043698</v>
      </c>
      <c r="BJ138" s="59">
        <f t="shared" si="146"/>
        <v>204.10961748628714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0.59828456080889281</v>
      </c>
      <c r="BQ138" s="21">
        <f>EXP(-LN(2)/25)*BQ137+(1-EXP(-LN(2)/25))/(LN(2)/25)*Calculateur!BL138*Calculateur!BN138*VLOOKUP('Données projet'!$B$11,Paramètres!$A$1:$I$89,3,0)*0.475*44/12</f>
        <v>1.0900672744092468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1.6883518352181395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191.99999999999977</v>
      </c>
      <c r="BZ138" s="13">
        <f>BY138*VLOOKUP('Données projet'!$B$12,Paramètres!$A$1:$I$89,3,0)*VLOOKUP('Données projet'!$B$12,Paramètres!$A$1:$I$89,5,0)</f>
        <v>155.75039999999984</v>
      </c>
      <c r="CA138" s="13">
        <f t="shared" si="147"/>
        <v>39.882509755133718</v>
      </c>
      <c r="CB138" s="20">
        <f t="shared" si="118"/>
        <v>340.72731782352429</v>
      </c>
      <c r="CC138" s="59">
        <f t="shared" si="119"/>
        <v>625.42707497341144</v>
      </c>
      <c r="CD138" s="59">
        <f ca="1">AVERAGE(OFFSET($CC$3,0,0,'Données projet'!$E$12+1,1))-AVERAGE(OFFSET($H$3,0,0,'Données projet'!$E$12+1,1))</f>
        <v>256.23994291192162</v>
      </c>
      <c r="CE138" s="59">
        <f t="shared" si="148"/>
        <v>207.9118653708222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1.398822921756798</v>
      </c>
      <c r="CL138" s="21">
        <f>EXP(-LN(2)/25)*CL137+(1-EXP(-LN(2)/25))/(LN(2)/25)*Calculateur!CG138*Calculateur!CI138*VLOOKUP('Données projet'!$B$12,Paramètres!$A$1:$I$89,3,0)*0.475*44/12</f>
        <v>2.8140139235136137</v>
      </c>
      <c r="CM138" s="21">
        <f>EXP(-LN(2)/2)*CM137+(1-EXP(-LN(2)/2))/(LN(2)/2)*CG138*CJ138*VLOOKUP('Données projet'!$B$12,Paramètres!$A$1:$I$89,3,0)*0.475*44/12</f>
        <v>3.1541922738706314E-7</v>
      </c>
      <c r="CN138" s="22">
        <f t="shared" si="120"/>
        <v>4.2128371606896389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170.99999999999991</v>
      </c>
      <c r="CU138" s="17">
        <f>CT138*VLOOKUP('Données projet'!$B$13,Paramètres!$A$1:$I$89,3,0)*VLOOKUP('Données projet'!$B$13,Paramètres!$A$1:$I$89,5,0)</f>
        <v>98.701199999999957</v>
      </c>
      <c r="CV138" s="13">
        <f t="shared" si="149"/>
        <v>26.652341328097943</v>
      </c>
      <c r="CW138" s="20">
        <f t="shared" si="121"/>
        <v>218.32408447977051</v>
      </c>
      <c r="CX138" s="59">
        <f t="shared" si="122"/>
        <v>503.02384162965768</v>
      </c>
      <c r="CY138" s="59">
        <f ca="1">AVERAGE(OFFSET($CX$3,0,0,'Données projet'!$E$13+1,1))-AVERAGE(OFFSET($H$3,0,0,'Données projet'!$E$13+1,1))</f>
        <v>205.74526926885287</v>
      </c>
      <c r="CZ138" s="59">
        <f t="shared" si="150"/>
        <v>201.56217137928999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0.36612384762099293</v>
      </c>
      <c r="DG138" s="21">
        <f>EXP(-LN(2)/25)*DG137+(1-EXP(-LN(2)/25))/(LN(2)/25)*Calculateur!DB138*Calculateur!DD138*VLOOKUP('Données projet'!$B$13,Paramètres!$A$1:$I$89,3,0)*0.475*44/12</f>
        <v>2.1288194318876168</v>
      </c>
      <c r="DH138" s="21">
        <f>EXP(-LN(2)/2)*DH137+(1-EXP(-LN(2)/2))/(LN(2)/2)*DB138*DE138*VLOOKUP('Données projet'!$B$13,Paramètres!$A$1:$I$89,3,0)*0.475*44/12</f>
        <v>3.7523056145897643E-7</v>
      </c>
      <c r="DI138" s="22">
        <f t="shared" si="123"/>
        <v>2.494943654739171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5.2446581196581219</v>
      </c>
      <c r="DO138" s="12">
        <f>IF('Données projet'!$A$166&gt;35,DO137+DN138-DW137,IF(A138&lt;'Données projet'!$A$166,$DL$205^A138,IF(A138='Données projet'!$A$166,'Données projet'!$B$166,DO137+DN138-DW137)))</f>
        <v>282.5811965811962</v>
      </c>
      <c r="DP138" s="17">
        <f>DO138*VLOOKUP('Données projet'!$B$14,Paramètres!$A$1:$I$89,3,0)*VLOOKUP('Données projet'!$B$14,Paramètres!$A$1:$I$89,5,0)</f>
        <v>268.90426666666633</v>
      </c>
      <c r="DQ138" s="13">
        <f t="shared" si="151"/>
        <v>64.616672012439665</v>
      </c>
      <c r="DR138" s="20">
        <f t="shared" si="124"/>
        <v>580.8823015327763</v>
      </c>
      <c r="DS138" s="59">
        <f t="shared" si="125"/>
        <v>865.5820586826635</v>
      </c>
      <c r="DT138" s="59">
        <f ca="1">AVERAGE(OFFSET($DS$3,0,0,'Données projet'!$E$14+1,1))-AVERAGE(OFFSET($H$3,0,0,'Données projet'!$E$14+1,1))</f>
        <v>403.89478276355294</v>
      </c>
      <c r="DU138" s="59">
        <f t="shared" si="152"/>
        <v>241.1593989733278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36.796516239303728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36.796516239303728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5.2446581196581219</v>
      </c>
      <c r="N139" s="13">
        <f>IF('Données projet'!$A$36&gt;35,N138+M139-V138,IF(A139&lt;'Données projet'!$A$36,$K$205^A139,IF(A139='Données projet'!$A$36,'Données projet'!$B$36,N138+M139-V138)))</f>
        <v>287.82585470085434</v>
      </c>
      <c r="O139" s="13">
        <f>N139*VLOOKUP('Données projet'!$B$9,Paramètres!$A$1:$I$89,3,0)*VLOOKUP('Données projet'!$B$9,Paramètres!$A$1:$I$89,5,0)</f>
        <v>260.42483333333297</v>
      </c>
      <c r="P139" s="13">
        <f t="shared" si="141"/>
        <v>62.81292664840214</v>
      </c>
      <c r="Q139" s="20">
        <f t="shared" si="108"/>
        <v>562.97243196818863</v>
      </c>
      <c r="R139" s="59">
        <f t="shared" si="109"/>
        <v>847.82196236307391</v>
      </c>
      <c r="S139" s="59">
        <f ca="1">AVERAGE(OFFSET($R$3,0,0,'Données projet'!$E$9+1,1))-AVERAGE(OFFSET($H$3,0,0,'Données projet'!$E$9+1,1))</f>
        <v>388.1278150896951</v>
      </c>
      <c r="T139" s="59">
        <f t="shared" si="142"/>
        <v>232.26614607059227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34.300780688058452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34.300780688058452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5.2446581196581219</v>
      </c>
      <c r="AI139" s="13">
        <f>IF('Données projet'!$A$62&gt;35,AI138+AH139-AQ138,IF(A139&lt;'Données projet'!$A$62,$AF$205^A139,IF(A139='Données projet'!$A$62,'Données projet'!$B$62,AI138+AH139-AQ138)))</f>
        <v>287.82585470085434</v>
      </c>
      <c r="AJ139" s="13">
        <f>AI139*VLOOKUP('Données projet'!$B$10,Paramètres!$A$1:$I$89,3,0)*VLOOKUP('Données projet'!$B$10,Paramètres!$A$1:$I$89,5,0)</f>
        <v>291.85541666666631</v>
      </c>
      <c r="AK139" s="13">
        <f t="shared" si="143"/>
        <v>69.466320514612647</v>
      </c>
      <c r="AL139" s="20">
        <f t="shared" si="112"/>
        <v>629.30202559072757</v>
      </c>
      <c r="AM139" s="59">
        <f t="shared" si="113"/>
        <v>914.15155598561273</v>
      </c>
      <c r="AN139" s="59">
        <f ca="1">AVERAGE(OFFSET($AM$3,0,0,'Données projet'!$E$10+1,1))-AVERAGE(OFFSET($H$3,0,0,'Données projet'!$E$10+1,1))</f>
        <v>424.89201140676084</v>
      </c>
      <c r="AO139" s="59">
        <f t="shared" si="144"/>
        <v>253.0016648946303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38.440530081444834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38.440530081444834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155.99999999999991</v>
      </c>
      <c r="BE139" s="13">
        <f>BD139*VLOOKUP('Données projet'!$B$11,Paramètres!$A$1:$I$89,3,0)*VLOOKUP('Données projet'!$B$11,Paramètres!$A$1:$I$89,5,0)</f>
        <v>136.28159999999994</v>
      </c>
      <c r="BF139" s="13">
        <f t="shared" si="145"/>
        <v>35.443842312892279</v>
      </c>
      <c r="BG139" s="20">
        <f t="shared" si="115"/>
        <v>299.08847869495395</v>
      </c>
      <c r="BH139" s="59">
        <f t="shared" si="116"/>
        <v>583.93800908983917</v>
      </c>
      <c r="BI139" s="59">
        <f ca="1">AVERAGE(OFFSET($BH$3,0,0,'Données projet'!$E$11+1,1))-AVERAGE(OFFSET($H$3,0,0,'Données projet'!$E$11+1,1))</f>
        <v>218.97952644043698</v>
      </c>
      <c r="BJ139" s="59">
        <f t="shared" si="146"/>
        <v>204.10961748628714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0.58655256548897994</v>
      </c>
      <c r="BQ139" s="21">
        <f>EXP(-LN(2)/25)*BQ138+(1-EXP(-LN(2)/25))/(LN(2)/25)*Calculateur!BL139*Calculateur!BN139*VLOOKUP('Données projet'!$B$11,Paramètres!$A$1:$I$89,3,0)*0.475*44/12</f>
        <v>1.0602593274663794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1.6468118929553595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191.99999999999977</v>
      </c>
      <c r="BZ139" s="13">
        <f>BY139*VLOOKUP('Données projet'!$B$12,Paramètres!$A$1:$I$89,3,0)*VLOOKUP('Données projet'!$B$12,Paramètres!$A$1:$I$89,5,0)</f>
        <v>155.75039999999984</v>
      </c>
      <c r="CA139" s="13">
        <f t="shared" si="147"/>
        <v>39.882509755133718</v>
      </c>
      <c r="CB139" s="20">
        <f t="shared" si="118"/>
        <v>340.72731782352429</v>
      </c>
      <c r="CC139" s="59">
        <f t="shared" si="119"/>
        <v>625.57684821840951</v>
      </c>
      <c r="CD139" s="59">
        <f ca="1">AVERAGE(OFFSET($CC$3,0,0,'Données projet'!$E$12+1,1))-AVERAGE(OFFSET($H$3,0,0,'Données projet'!$E$12+1,1))</f>
        <v>256.23994291192162</v>
      </c>
      <c r="CE139" s="59">
        <f t="shared" si="148"/>
        <v>207.9118653708222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1.3713928574588832</v>
      </c>
      <c r="CL139" s="21">
        <f>EXP(-LN(2)/25)*CL138+(1-EXP(-LN(2)/25))/(LN(2)/25)*Calculateur!CG139*Calculateur!CI139*VLOOKUP('Données projet'!$B$12,Paramètres!$A$1:$I$89,3,0)*0.475*44/12</f>
        <v>2.7370645647925733</v>
      </c>
      <c r="CM139" s="21">
        <f>EXP(-LN(2)/2)*CM138+(1-EXP(-LN(2)/2))/(LN(2)/2)*CG139*CJ139*VLOOKUP('Données projet'!$B$12,Paramètres!$A$1:$I$89,3,0)*0.475*44/12</f>
        <v>2.2303507460201394E-7</v>
      </c>
      <c r="CN139" s="22">
        <f t="shared" si="120"/>
        <v>4.1084576452865313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170.99999999999991</v>
      </c>
      <c r="CU139" s="17">
        <f>CT139*VLOOKUP('Données projet'!$B$13,Paramètres!$A$1:$I$89,3,0)*VLOOKUP('Données projet'!$B$13,Paramètres!$A$1:$I$89,5,0)</f>
        <v>98.701199999999957</v>
      </c>
      <c r="CV139" s="13">
        <f t="shared" si="149"/>
        <v>26.652341328097943</v>
      </c>
      <c r="CW139" s="20">
        <f t="shared" si="121"/>
        <v>218.32408447977051</v>
      </c>
      <c r="CX139" s="59">
        <f t="shared" si="122"/>
        <v>503.17361487465575</v>
      </c>
      <c r="CY139" s="59">
        <f ca="1">AVERAGE(OFFSET($CX$3,0,0,'Données projet'!$E$13+1,1))-AVERAGE(OFFSET($H$3,0,0,'Données projet'!$E$13+1,1))</f>
        <v>205.74526926885287</v>
      </c>
      <c r="CZ139" s="59">
        <f t="shared" si="150"/>
        <v>201.56217137928999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0.35894438228264192</v>
      </c>
      <c r="DG139" s="21">
        <f>EXP(-LN(2)/25)*DG138+(1-EXP(-LN(2)/25))/(LN(2)/25)*Calculateur!DB139*Calculateur!DD139*VLOOKUP('Données projet'!$B$13,Paramètres!$A$1:$I$89,3,0)*0.475*44/12</f>
        <v>2.0706067525729015</v>
      </c>
      <c r="DH139" s="21">
        <f>EXP(-LN(2)/2)*DH138+(1-EXP(-LN(2)/2))/(LN(2)/2)*DB139*DE139*VLOOKUP('Données projet'!$B$13,Paramètres!$A$1:$I$89,3,0)*0.475*44/12</f>
        <v>2.6532807451607781E-7</v>
      </c>
      <c r="DI139" s="22">
        <f t="shared" si="123"/>
        <v>2.4295514001836183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5.2446581196581219</v>
      </c>
      <c r="DO139" s="12">
        <f>IF('Données projet'!$A$166&gt;35,DO138+DN139-DW138,IF(A139&lt;'Données projet'!$A$166,$DL$205^A139,IF(A139='Données projet'!$A$166,'Données projet'!$B$166,DO138+DN139-DW138)))</f>
        <v>287.82585470085434</v>
      </c>
      <c r="DP139" s="17">
        <f>DO139*VLOOKUP('Données projet'!$B$14,Paramètres!$A$1:$I$89,3,0)*VLOOKUP('Données projet'!$B$14,Paramètres!$A$1:$I$89,5,0)</f>
        <v>273.89508333333299</v>
      </c>
      <c r="DQ139" s="13">
        <f t="shared" si="151"/>
        <v>65.67521392587814</v>
      </c>
      <c r="DR139" s="20">
        <f t="shared" si="124"/>
        <v>591.41826772645936</v>
      </c>
      <c r="DS139" s="59">
        <f t="shared" si="125"/>
        <v>876.26779812134464</v>
      </c>
      <c r="DT139" s="59">
        <f ca="1">AVERAGE(OFFSET($DS$3,0,0,'Données projet'!$E$14+1,1))-AVERAGE(OFFSET($H$3,0,0,'Données projet'!$E$14+1,1))</f>
        <v>403.89478276355294</v>
      </c>
      <c r="DU139" s="59">
        <f t="shared" si="152"/>
        <v>241.1593989733278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36.074958999509761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36.074958999509761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>
        <f>VLOOKUP(A140,'Données projet'!$A$35:$I$55,2,0)</f>
        <v>293.07051282051282</v>
      </c>
      <c r="L140" s="12">
        <f>VLOOKUP(A140,'Données projet'!$A$35:$I$55,9,0)</f>
        <v>5.2446581196581219</v>
      </c>
      <c r="M140" s="12">
        <f t="array" ref="M140">INDEX(L:L,MIN(IF(ISNUMBER(L140:L336),ROW(L140:L336),"")))</f>
        <v>5.2446581196581219</v>
      </c>
      <c r="N140" s="13">
        <f>IF('Données projet'!$A$36&gt;35,N139+M140-V139,IF(A140&lt;'Données projet'!$A$36,$K$205^A140,IF(A140='Données projet'!$A$36,'Données projet'!$B$36,N139+M140-V139)))</f>
        <v>293.07051282051248</v>
      </c>
      <c r="O140" s="13">
        <f>N140*VLOOKUP('Données projet'!$B$9,Paramètres!$A$1:$I$89,3,0)*VLOOKUP('Données projet'!$B$9,Paramètres!$A$1:$I$89,5,0)</f>
        <v>265.17019999999968</v>
      </c>
      <c r="P140" s="13">
        <f t="shared" si="141"/>
        <v>63.823189537116463</v>
      </c>
      <c r="Q140" s="20">
        <f t="shared" si="108"/>
        <v>572.9968201104773</v>
      </c>
      <c r="R140" s="59">
        <f t="shared" si="109"/>
        <v>857.99352551940274</v>
      </c>
      <c r="S140" s="59">
        <f ca="1">AVERAGE(OFFSET($R$3,0,0,'Données projet'!$E$9+1,1))-AVERAGE(OFFSET($H$3,0,0,'Données projet'!$E$9+1,1))</f>
        <v>388.1278150896951</v>
      </c>
      <c r="T140" s="59">
        <f t="shared" si="142"/>
        <v>232.26614607059227</v>
      </c>
      <c r="U140" s="15">
        <f>IF(ISNA(VLOOKUP(A140,'Données projet'!$A$35:$I$55,3,0)),0,VLOOKUP(A140,'Données projet'!$A$35:$I$55,3,0))</f>
        <v>11</v>
      </c>
      <c r="V140" s="15">
        <f>IF(ISNA(VLOOKUP(A140,'Données projet'!$A$35:$I$55,4,0)),0,VLOOKUP(A140,'Données projet'!$A$35:$I$55,4,0))</f>
        <v>51.160256410256409</v>
      </c>
      <c r="W140" s="16">
        <f>IF(ISNA(VLOOKUP(A140,'Données projet'!$A$35:$I$55,5,0)),0%,VLOOKUP(A140,'Données projet'!$A$35:$I$55,5,0)*VLOOKUP('Données projet'!$B$9,Paramètres!$A$1:$I$89,7,0))</f>
        <v>0.30099999999999999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49.030936135301836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49.030936135301836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>
        <f>VLOOKUP(A140,'Données projet'!$A$61:$I$81,2,0)</f>
        <v>293.07051282051282</v>
      </c>
      <c r="AG140" s="12">
        <f>VLOOKUP(A140,'Données projet'!$A$61:$I$81,9,0)</f>
        <v>5.2446581196581219</v>
      </c>
      <c r="AH140" s="12">
        <f t="array" ref="AH140">INDEX(AG:AG,MIN(IF(ISNUMBER(AG140:AG336),ROW(AG140:AG336),"")))</f>
        <v>5.2446581196581219</v>
      </c>
      <c r="AI140" s="13">
        <f>IF('Données projet'!$A$62&gt;35,AI139+AH140-AQ139,IF(A140&lt;'Données projet'!$A$62,$AF$205^A140,IF(A140='Données projet'!$A$62,'Données projet'!$B$62,AI139+AH140-AQ139)))</f>
        <v>293.07051282051248</v>
      </c>
      <c r="AJ140" s="13">
        <f>AI140*VLOOKUP('Données projet'!$B$10,Paramètres!$A$1:$I$89,3,0)*VLOOKUP('Données projet'!$B$10,Paramètres!$A$1:$I$89,5,0)</f>
        <v>297.17349999999965</v>
      </c>
      <c r="AK140" s="13">
        <f t="shared" si="143"/>
        <v>70.583594448118191</v>
      </c>
      <c r="AL140" s="20">
        <f t="shared" si="112"/>
        <v>640.51027283047199</v>
      </c>
      <c r="AM140" s="59">
        <f t="shared" si="113"/>
        <v>925.50697823939731</v>
      </c>
      <c r="AN140" s="59">
        <f ca="1">AVERAGE(OFFSET($AM$3,0,0,'Données projet'!$E$10+1,1))-AVERAGE(OFFSET($H$3,0,0,'Données projet'!$E$10+1,1))</f>
        <v>424.89201140676084</v>
      </c>
      <c r="AO140" s="59">
        <f t="shared" si="144"/>
        <v>253.0016648946303</v>
      </c>
      <c r="AP140" s="15">
        <f>IF(ISNA(VLOOKUP(A140,'Données projet'!$A$61:$I$81,3,0)),0,VLOOKUP(A140,'Données projet'!$A$61:$I$81,3,0))</f>
        <v>11</v>
      </c>
      <c r="AQ140" s="15">
        <f>IF(ISNA(VLOOKUP(A140,'Données projet'!$A$61:$I$81,4,0)),0,VLOOKUP(A140,'Données projet'!$A$61:$I$81,4,0))</f>
        <v>51.160256410256409</v>
      </c>
      <c r="AR140" s="16">
        <f>IF(ISNA(VLOOKUP(A140,'Données projet'!$A$61:$I$81,5,0)),0%,VLOOKUP(A140,'Données projet'!$A$61:$I$81,5,0)*VLOOKUP('Données projet'!$B$10,Paramètres!$A$1:$I$89,7,0))</f>
        <v>0.30099999999999999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54.948462910252076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54.948462910252076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155.99999999999991</v>
      </c>
      <c r="BE140" s="13">
        <f>BD140*VLOOKUP('Données projet'!$B$11,Paramètres!$A$1:$I$89,3,0)*VLOOKUP('Données projet'!$B$11,Paramètres!$A$1:$I$89,5,0)</f>
        <v>136.28159999999994</v>
      </c>
      <c r="BF140" s="13">
        <f t="shared" si="145"/>
        <v>35.443842312892279</v>
      </c>
      <c r="BG140" s="20">
        <f t="shared" si="115"/>
        <v>299.08847869495395</v>
      </c>
      <c r="BH140" s="59">
        <f t="shared" si="116"/>
        <v>584.08518410387933</v>
      </c>
      <c r="BI140" s="59">
        <f ca="1">AVERAGE(OFFSET($BH$3,0,0,'Données projet'!$E$11+1,1))-AVERAGE(OFFSET($H$3,0,0,'Données projet'!$E$11+1,1))</f>
        <v>218.97952644043698</v>
      </c>
      <c r="BJ140" s="59">
        <f t="shared" si="146"/>
        <v>204.10961748628714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0.57505062744147994</v>
      </c>
      <c r="BQ140" s="21">
        <f>EXP(-LN(2)/25)*BQ139+(1-EXP(-LN(2)/25))/(LN(2)/25)*Calculateur!BL140*Calculateur!BN140*VLOOKUP('Données projet'!$B$11,Paramètres!$A$1:$I$89,3,0)*0.475*44/12</f>
        <v>1.0312664804001965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1.6063171078416765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191.99999999999977</v>
      </c>
      <c r="BZ140" s="13">
        <f>BY140*VLOOKUP('Données projet'!$B$12,Paramètres!$A$1:$I$89,3,0)*VLOOKUP('Données projet'!$B$12,Paramètres!$A$1:$I$89,5,0)</f>
        <v>155.75039999999984</v>
      </c>
      <c r="CA140" s="13">
        <f t="shared" si="147"/>
        <v>39.882509755133718</v>
      </c>
      <c r="CB140" s="20">
        <f t="shared" si="118"/>
        <v>340.72731782352429</v>
      </c>
      <c r="CC140" s="59">
        <f t="shared" si="119"/>
        <v>625.72402323244967</v>
      </c>
      <c r="CD140" s="59">
        <f ca="1">AVERAGE(OFFSET($CC$3,0,0,'Données projet'!$E$12+1,1))-AVERAGE(OFFSET($H$3,0,0,'Données projet'!$E$12+1,1))</f>
        <v>256.23994291192162</v>
      </c>
      <c r="CE140" s="59">
        <f t="shared" si="148"/>
        <v>207.9118653708222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1.3445006799911632</v>
      </c>
      <c r="CL140" s="21">
        <f>EXP(-LN(2)/25)*CL139+(1-EXP(-LN(2)/25))/(LN(2)/25)*Calculateur!CG140*Calculateur!CI140*VLOOKUP('Données projet'!$B$12,Paramètres!$A$1:$I$89,3,0)*0.475*44/12</f>
        <v>2.6622193903323508</v>
      </c>
      <c r="CM140" s="21">
        <f>EXP(-LN(2)/2)*CM139+(1-EXP(-LN(2)/2))/(LN(2)/2)*CG140*CJ140*VLOOKUP('Données projet'!$B$12,Paramètres!$A$1:$I$89,3,0)*0.475*44/12</f>
        <v>1.5770961369353157E-7</v>
      </c>
      <c r="CN140" s="22">
        <f t="shared" si="120"/>
        <v>4.0067202280331271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170.99999999999991</v>
      </c>
      <c r="CU140" s="17">
        <f>CT140*VLOOKUP('Données projet'!$B$13,Paramètres!$A$1:$I$89,3,0)*VLOOKUP('Données projet'!$B$13,Paramètres!$A$1:$I$89,5,0)</f>
        <v>98.701199999999957</v>
      </c>
      <c r="CV140" s="13">
        <f t="shared" si="149"/>
        <v>26.652341328097943</v>
      </c>
      <c r="CW140" s="20">
        <f t="shared" si="121"/>
        <v>218.32408447977051</v>
      </c>
      <c r="CX140" s="59">
        <f t="shared" si="122"/>
        <v>503.32078988869591</v>
      </c>
      <c r="CY140" s="59">
        <f ca="1">AVERAGE(OFFSET($CX$3,0,0,'Données projet'!$E$13+1,1))-AVERAGE(OFFSET($H$3,0,0,'Données projet'!$E$13+1,1))</f>
        <v>205.74526926885287</v>
      </c>
      <c r="CZ140" s="59">
        <f t="shared" si="150"/>
        <v>201.56217137928999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0.35190570188053449</v>
      </c>
      <c r="DG140" s="21">
        <f>EXP(-LN(2)/25)*DG139+(1-EXP(-LN(2)/25))/(LN(2)/25)*Calculateur!DB140*Calculateur!DD140*VLOOKUP('Données projet'!$B$13,Paramètres!$A$1:$I$89,3,0)*0.475*44/12</f>
        <v>2.0139859020353188</v>
      </c>
      <c r="DH140" s="21">
        <f>EXP(-LN(2)/2)*DH139+(1-EXP(-LN(2)/2))/(LN(2)/2)*DB140*DE140*VLOOKUP('Données projet'!$B$13,Paramètres!$A$1:$I$89,3,0)*0.475*44/12</f>
        <v>1.8761528072948821E-7</v>
      </c>
      <c r="DI140" s="22">
        <f t="shared" si="123"/>
        <v>2.3658917915311339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>
        <f>VLOOKUP(A140,'Données projet'!$A$165:$I$185,2,0)</f>
        <v>293.07051282051282</v>
      </c>
      <c r="DM140" s="12">
        <f>VLOOKUP(A140,'Données projet'!$A$165:$I$185,9,0)</f>
        <v>5.2446581196581219</v>
      </c>
      <c r="DN140" s="12">
        <f t="array" ref="DN140">INDEX(DM:DM,MIN(IF(ISNUMBER(DM140:DM336),ROW(DM140:DM336),"")))</f>
        <v>5.2446581196581219</v>
      </c>
      <c r="DO140" s="12">
        <f>IF('Données projet'!$A$166&gt;35,DO139+DN140-DW139,IF(A140&lt;'Données projet'!$A$166,$DL$205^A140,IF(A140='Données projet'!$A$166,'Données projet'!$B$166,DO139+DN140-DW139)))</f>
        <v>293.07051282051248</v>
      </c>
      <c r="DP140" s="17">
        <f>DO140*VLOOKUP('Données projet'!$B$14,Paramètres!$A$1:$I$89,3,0)*VLOOKUP('Données projet'!$B$14,Paramètres!$A$1:$I$89,5,0)</f>
        <v>278.88589999999965</v>
      </c>
      <c r="DQ140" s="13">
        <f t="shared" si="151"/>
        <v>66.731512921610161</v>
      </c>
      <c r="DR140" s="20">
        <f t="shared" si="124"/>
        <v>601.95032750513701</v>
      </c>
      <c r="DS140" s="59">
        <f t="shared" si="125"/>
        <v>886.94703291406245</v>
      </c>
      <c r="DT140" s="59">
        <f ca="1">AVERAGE(OFFSET($DS$3,0,0,'Données projet'!$E$14+1,1))-AVERAGE(OFFSET($H$3,0,0,'Données projet'!$E$14+1,1))</f>
        <v>403.89478276355294</v>
      </c>
      <c r="DU140" s="59">
        <f t="shared" si="152"/>
        <v>241.1593989733278</v>
      </c>
      <c r="DV140" s="15">
        <f>IF(ISNA(VLOOKUP(A140,'Données projet'!$A$165:$I$185,3,0)),0,VLOOKUP(A140,'Données projet'!$A$165:$I$185,3,0))</f>
        <v>11</v>
      </c>
      <c r="DW140" s="15">
        <f>IF(ISNA(VLOOKUP(A140,'Données projet'!$A$165:$I$185,4,0)),0,VLOOKUP(A140,'Données projet'!$A$165:$I$185,4,0))</f>
        <v>51.160256410256409</v>
      </c>
      <c r="DX140" s="16">
        <f>IF(ISNA(VLOOKUP(A140,'Données projet'!$A$165:$I$185,5,0)),0%,VLOOKUP(A140,'Données projet'!$A$165:$I$185,5,0)*VLOOKUP('Données projet'!$B$14,Paramètres!$A$1:$I$89,7,0))</f>
        <v>0.30099999999999999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51.567019038851939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51.567019038851939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5.1063034188034209</v>
      </c>
      <c r="N141" s="13">
        <f>IF('Données projet'!$A$36&gt;35,N140+M141-V140,IF(A141&lt;'Données projet'!$A$36,$K$205^A141,IF(A141='Données projet'!$A$36,'Données projet'!$B$36,N140+M141-V140)))</f>
        <v>247.01655982905947</v>
      </c>
      <c r="O141" s="13">
        <f>N141*VLOOKUP('Données projet'!$B$9,Paramètres!$A$1:$I$89,3,0)*VLOOKUP('Données projet'!$B$9,Paramètres!$A$1:$I$89,5,0)</f>
        <v>223.500583333333</v>
      </c>
      <c r="P141" s="13">
        <f t="shared" si="141"/>
        <v>54.875019768659023</v>
      </c>
      <c r="Q141" s="20">
        <f t="shared" si="108"/>
        <v>484.83750873596932</v>
      </c>
      <c r="R141" s="59">
        <f t="shared" si="109"/>
        <v>769.9788360014752</v>
      </c>
      <c r="S141" s="59">
        <f ca="1">AVERAGE(OFFSET($R$3,0,0,'Données projet'!$E$9+1,1))-AVERAGE(OFFSET($H$3,0,0,'Données projet'!$E$9+1,1))</f>
        <v>388.1278150896951</v>
      </c>
      <c r="T141" s="59">
        <f t="shared" si="142"/>
        <v>232.26614607059227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48.069469383606645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48.069469383606645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5.1063034188034209</v>
      </c>
      <c r="AI141" s="13">
        <f>IF('Données projet'!$A$62&gt;35,AI140+AH141-AQ140,IF(A141&lt;'Données projet'!$A$62,$AF$205^A141,IF(A141='Données projet'!$A$62,'Données projet'!$B$62,AI140+AH141-AQ140)))</f>
        <v>247.01655982905947</v>
      </c>
      <c r="AJ141" s="13">
        <f>AI141*VLOOKUP('Données projet'!$B$10,Paramètres!$A$1:$I$89,3,0)*VLOOKUP('Données projet'!$B$10,Paramètres!$A$1:$I$89,5,0)</f>
        <v>250.47479166666631</v>
      </c>
      <c r="AK141" s="13">
        <f t="shared" si="143"/>
        <v>60.687599112090453</v>
      </c>
      <c r="AL141" s="20">
        <f t="shared" si="112"/>
        <v>541.94116393966794</v>
      </c>
      <c r="AM141" s="59">
        <f t="shared" si="113"/>
        <v>827.08249120517394</v>
      </c>
      <c r="AN141" s="59">
        <f ca="1">AVERAGE(OFFSET($AM$3,0,0,'Données projet'!$E$10+1,1))-AVERAGE(OFFSET($H$3,0,0,'Données projet'!$E$10+1,1))</f>
        <v>424.89201140676084</v>
      </c>
      <c r="AO141" s="59">
        <f t="shared" si="144"/>
        <v>253.0016648946303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53.87095706783505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53.87095706783505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155.99999999999991</v>
      </c>
      <c r="BE141" s="13">
        <f>BD141*VLOOKUP('Données projet'!$B$11,Paramètres!$A$1:$I$89,3,0)*VLOOKUP('Données projet'!$B$11,Paramètres!$A$1:$I$89,5,0)</f>
        <v>136.28159999999994</v>
      </c>
      <c r="BF141" s="13">
        <f t="shared" si="145"/>
        <v>35.443842312892279</v>
      </c>
      <c r="BG141" s="20">
        <f t="shared" si="115"/>
        <v>299.08847869495395</v>
      </c>
      <c r="BH141" s="59">
        <f t="shared" si="116"/>
        <v>584.22980596045988</v>
      </c>
      <c r="BI141" s="59">
        <f ca="1">AVERAGE(OFFSET($BH$3,0,0,'Données projet'!$E$11+1,1))-AVERAGE(OFFSET($H$3,0,0,'Données projet'!$E$11+1,1))</f>
        <v>218.97952644043698</v>
      </c>
      <c r="BJ141" s="59">
        <f t="shared" si="146"/>
        <v>204.10961748628714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0.56377423538360194</v>
      </c>
      <c r="BQ141" s="21">
        <f>EXP(-LN(2)/25)*BQ140+(1-EXP(-LN(2)/25))/(LN(2)/25)*Calculateur!BL141*Calculateur!BN141*VLOOKUP('Données projet'!$B$11,Paramètres!$A$1:$I$89,3,0)*0.475*44/12</f>
        <v>1.0030664442617059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1.5668406796453078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191.99999999999977</v>
      </c>
      <c r="BZ141" s="13">
        <f>BY141*VLOOKUP('Données projet'!$B$12,Paramètres!$A$1:$I$89,3,0)*VLOOKUP('Données projet'!$B$12,Paramètres!$A$1:$I$89,5,0)</f>
        <v>155.75039999999984</v>
      </c>
      <c r="CA141" s="13">
        <f t="shared" si="147"/>
        <v>39.882509755133718</v>
      </c>
      <c r="CB141" s="20">
        <f t="shared" si="118"/>
        <v>340.72731782352429</v>
      </c>
      <c r="CC141" s="59">
        <f t="shared" si="119"/>
        <v>625.86864508903022</v>
      </c>
      <c r="CD141" s="59">
        <f ca="1">AVERAGE(OFFSET($CC$3,0,0,'Données projet'!$E$12+1,1))-AVERAGE(OFFSET($H$3,0,0,'Données projet'!$E$12+1,1))</f>
        <v>256.23994291192162</v>
      </c>
      <c r="CE141" s="59">
        <f t="shared" si="148"/>
        <v>207.9118653708222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1.3181358417209765</v>
      </c>
      <c r="CL141" s="21">
        <f>EXP(-LN(2)/25)*CL140+(1-EXP(-LN(2)/25))/(LN(2)/25)*Calculateur!CG141*Calculateur!CI141*VLOOKUP('Données projet'!$B$12,Paramètres!$A$1:$I$89,3,0)*0.475*44/12</f>
        <v>2.5894208611036795</v>
      </c>
      <c r="CM141" s="21">
        <f>EXP(-LN(2)/2)*CM140+(1-EXP(-LN(2)/2))/(LN(2)/2)*CG141*CJ141*VLOOKUP('Données projet'!$B$12,Paramètres!$A$1:$I$89,3,0)*0.475*44/12</f>
        <v>1.1151753730100697E-7</v>
      </c>
      <c r="CN141" s="22">
        <f t="shared" si="120"/>
        <v>3.9075568143421933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170.99999999999991</v>
      </c>
      <c r="CU141" s="17">
        <f>CT141*VLOOKUP('Données projet'!$B$13,Paramètres!$A$1:$I$89,3,0)*VLOOKUP('Données projet'!$B$13,Paramètres!$A$1:$I$89,5,0)</f>
        <v>98.701199999999957</v>
      </c>
      <c r="CV141" s="13">
        <f t="shared" si="149"/>
        <v>26.652341328097943</v>
      </c>
      <c r="CW141" s="20">
        <f t="shared" si="121"/>
        <v>218.32408447977051</v>
      </c>
      <c r="CX141" s="59">
        <f t="shared" si="122"/>
        <v>503.46541174527647</v>
      </c>
      <c r="CY141" s="59">
        <f ca="1">AVERAGE(OFFSET($CX$3,0,0,'Données projet'!$E$13+1,1))-AVERAGE(OFFSET($H$3,0,0,'Données projet'!$E$13+1,1))</f>
        <v>205.74526926885287</v>
      </c>
      <c r="CZ141" s="59">
        <f t="shared" si="150"/>
        <v>201.56217137928999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0.34500504570794127</v>
      </c>
      <c r="DG141" s="21">
        <f>EXP(-LN(2)/25)*DG140+(1-EXP(-LN(2)/25))/(LN(2)/25)*Calculateur!DB141*Calculateur!DD141*VLOOKUP('Données projet'!$B$13,Paramètres!$A$1:$I$89,3,0)*0.475*44/12</f>
        <v>1.9589133516332475</v>
      </c>
      <c r="DH141" s="21">
        <f>EXP(-LN(2)/2)*DH140+(1-EXP(-LN(2)/2))/(LN(2)/2)*DB141*DE141*VLOOKUP('Données projet'!$B$13,Paramètres!$A$1:$I$89,3,0)*0.475*44/12</f>
        <v>1.326640372580389E-7</v>
      </c>
      <c r="DI141" s="22">
        <f t="shared" si="123"/>
        <v>2.3039185300052258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5.1063034188034209</v>
      </c>
      <c r="DO141" s="12">
        <f>IF('Données projet'!$A$166&gt;35,DO140+DN141-DW140,IF(A141&lt;'Données projet'!$A$166,$DL$205^A141,IF(A141='Données projet'!$A$166,'Données projet'!$B$166,DO140+DN141-DW140)))</f>
        <v>247.01655982905947</v>
      </c>
      <c r="DP141" s="17">
        <f>DO141*VLOOKUP('Données projet'!$B$14,Paramètres!$A$1:$I$89,3,0)*VLOOKUP('Données projet'!$B$14,Paramètres!$A$1:$I$89,5,0)</f>
        <v>235.06095833333299</v>
      </c>
      <c r="DQ141" s="13">
        <f t="shared" si="151"/>
        <v>57.375588987703289</v>
      </c>
      <c r="DR141" s="20">
        <f t="shared" si="124"/>
        <v>509.32698658413818</v>
      </c>
      <c r="DS141" s="59">
        <f t="shared" si="125"/>
        <v>794.46831384964412</v>
      </c>
      <c r="DT141" s="59">
        <f ca="1">AVERAGE(OFFSET($DS$3,0,0,'Données projet'!$E$14+1,1))-AVERAGE(OFFSET($H$3,0,0,'Données projet'!$E$14+1,1))</f>
        <v>403.89478276355294</v>
      </c>
      <c r="DU141" s="59">
        <f t="shared" si="152"/>
        <v>241.1593989733278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50.555821248275961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50.555821248275961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5.1063034188034209</v>
      </c>
      <c r="N142" s="13">
        <f>IF('Données projet'!$A$36&gt;35,N141+M142-V141,IF(A142&lt;'Données projet'!$A$36,$K$205^A142,IF(A142='Données projet'!$A$36,'Données projet'!$B$36,N141+M142-V141)))</f>
        <v>252.12286324786288</v>
      </c>
      <c r="O142" s="13">
        <f>N142*VLOOKUP('Données projet'!$B$9,Paramètres!$A$1:$I$89,3,0)*VLOOKUP('Données projet'!$B$9,Paramètres!$A$1:$I$89,5,0)</f>
        <v>228.12076666666633</v>
      </c>
      <c r="P142" s="13">
        <f t="shared" si="141"/>
        <v>55.876153534759418</v>
      </c>
      <c r="Q142" s="20">
        <f t="shared" si="108"/>
        <v>494.62796935081639</v>
      </c>
      <c r="R142" s="59">
        <f t="shared" si="109"/>
        <v>779.91140960701728</v>
      </c>
      <c r="S142" s="59">
        <f ca="1">AVERAGE(OFFSET($R$3,0,0,'Données projet'!$E$9+1,1))-AVERAGE(OFFSET($H$3,0,0,'Données projet'!$E$9+1,1))</f>
        <v>388.1278150896951</v>
      </c>
      <c r="T142" s="59">
        <f t="shared" si="142"/>
        <v>232.26614607059227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47.126856408475383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47.126856408475383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5.1063034188034209</v>
      </c>
      <c r="AI142" s="13">
        <f>IF('Données projet'!$A$62&gt;35,AI141+AH142-AQ141,IF(A142&lt;'Données projet'!$A$62,$AF$205^A142,IF(A142='Données projet'!$A$62,'Données projet'!$B$62,AI141+AH142-AQ141)))</f>
        <v>252.12286324786288</v>
      </c>
      <c r="AJ142" s="13">
        <f>AI142*VLOOKUP('Données projet'!$B$10,Paramètres!$A$1:$I$89,3,0)*VLOOKUP('Données projet'!$B$10,Paramètres!$A$1:$I$89,5,0)</f>
        <v>255.65258333333296</v>
      </c>
      <c r="AK142" s="13">
        <f t="shared" si="143"/>
        <v>61.794776930172596</v>
      </c>
      <c r="AL142" s="20">
        <f t="shared" si="112"/>
        <v>552.88748579227229</v>
      </c>
      <c r="AM142" s="59">
        <f t="shared" si="113"/>
        <v>838.17092604847312</v>
      </c>
      <c r="AN142" s="59">
        <f ca="1">AVERAGE(OFFSET($AM$3,0,0,'Données projet'!$E$10+1,1))-AVERAGE(OFFSET($H$3,0,0,'Données projet'!$E$10+1,1))</f>
        <v>424.89201140676084</v>
      </c>
      <c r="AO142" s="59">
        <f t="shared" si="144"/>
        <v>253.0016648946303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52.814580457774156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52.814580457774156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155.99999999999991</v>
      </c>
      <c r="BE142" s="13">
        <f>BD142*VLOOKUP('Données projet'!$B$11,Paramètres!$A$1:$I$89,3,0)*VLOOKUP('Données projet'!$B$11,Paramètres!$A$1:$I$89,5,0)</f>
        <v>136.28159999999994</v>
      </c>
      <c r="BF142" s="13">
        <f t="shared" si="145"/>
        <v>35.443842312892279</v>
      </c>
      <c r="BG142" s="20">
        <f t="shared" si="115"/>
        <v>299.08847869495395</v>
      </c>
      <c r="BH142" s="59">
        <f t="shared" si="116"/>
        <v>584.37191895115484</v>
      </c>
      <c r="BI142" s="59">
        <f ca="1">AVERAGE(OFFSET($BH$3,0,0,'Données projet'!$E$11+1,1))-AVERAGE(OFFSET($H$3,0,0,'Données projet'!$E$11+1,1))</f>
        <v>218.97952644043698</v>
      </c>
      <c r="BJ142" s="59">
        <f t="shared" si="146"/>
        <v>204.10961748628714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0.55271896649605889</v>
      </c>
      <c r="BQ142" s="21">
        <f>EXP(-LN(2)/25)*BQ141+(1-EXP(-LN(2)/25))/(LN(2)/25)*Calculateur!BL142*Calculateur!BN142*VLOOKUP('Données projet'!$B$11,Paramètres!$A$1:$I$89,3,0)*0.475*44/12</f>
        <v>0.97563753959439781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1.5283565060904567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191.99999999999977</v>
      </c>
      <c r="BZ142" s="13">
        <f>BY142*VLOOKUP('Données projet'!$B$12,Paramètres!$A$1:$I$89,3,0)*VLOOKUP('Données projet'!$B$12,Paramètres!$A$1:$I$89,5,0)</f>
        <v>155.75039999999984</v>
      </c>
      <c r="CA142" s="13">
        <f t="shared" si="147"/>
        <v>39.882509755133718</v>
      </c>
      <c r="CB142" s="20">
        <f t="shared" si="118"/>
        <v>340.72731782352429</v>
      </c>
      <c r="CC142" s="59">
        <f t="shared" si="119"/>
        <v>626.01075807972518</v>
      </c>
      <c r="CD142" s="59">
        <f ca="1">AVERAGE(OFFSET($CC$3,0,0,'Données projet'!$E$12+1,1))-AVERAGE(OFFSET($H$3,0,0,'Données projet'!$E$12+1,1))</f>
        <v>256.23994291192162</v>
      </c>
      <c r="CE142" s="59">
        <f t="shared" si="148"/>
        <v>207.9118653708222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1.2922880018483049</v>
      </c>
      <c r="CL142" s="21">
        <f>EXP(-LN(2)/25)*CL141+(1-EXP(-LN(2)/25))/(LN(2)/25)*Calculateur!CG142*Calculateur!CI142*VLOOKUP('Données projet'!$B$12,Paramètres!$A$1:$I$89,3,0)*0.475*44/12</f>
        <v>2.5186130114850744</v>
      </c>
      <c r="CM142" s="21">
        <f>EXP(-LN(2)/2)*CM141+(1-EXP(-LN(2)/2))/(LN(2)/2)*CG142*CJ142*VLOOKUP('Données projet'!$B$12,Paramètres!$A$1:$I$89,3,0)*0.475*44/12</f>
        <v>7.8854806846765786E-8</v>
      </c>
      <c r="CN142" s="22">
        <f t="shared" si="120"/>
        <v>3.8109010921881858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170.99999999999991</v>
      </c>
      <c r="CU142" s="17">
        <f>CT142*VLOOKUP('Données projet'!$B$13,Paramètres!$A$1:$I$89,3,0)*VLOOKUP('Données projet'!$B$13,Paramètres!$A$1:$I$89,5,0)</f>
        <v>98.701199999999957</v>
      </c>
      <c r="CV142" s="13">
        <f t="shared" si="149"/>
        <v>26.652341328097943</v>
      </c>
      <c r="CW142" s="20">
        <f t="shared" si="121"/>
        <v>218.32408447977051</v>
      </c>
      <c r="CX142" s="59">
        <f t="shared" si="122"/>
        <v>503.60752473597142</v>
      </c>
      <c r="CY142" s="59">
        <f ca="1">AVERAGE(OFFSET($CX$3,0,0,'Données projet'!$E$13+1,1))-AVERAGE(OFFSET($H$3,0,0,'Données projet'!$E$13+1,1))</f>
        <v>205.74526926885287</v>
      </c>
      <c r="CZ142" s="59">
        <f t="shared" si="150"/>
        <v>201.56217137928999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0.33823970719390795</v>
      </c>
      <c r="DG142" s="21">
        <f>EXP(-LN(2)/25)*DG141+(1-EXP(-LN(2)/25))/(LN(2)/25)*Calculateur!DB142*Calculateur!DD142*VLOOKUP('Données projet'!$B$13,Paramètres!$A$1:$I$89,3,0)*0.475*44/12</f>
        <v>1.9053467630180603</v>
      </c>
      <c r="DH142" s="21">
        <f>EXP(-LN(2)/2)*DH141+(1-EXP(-LN(2)/2))/(LN(2)/2)*DB142*DE142*VLOOKUP('Données projet'!$B$13,Paramètres!$A$1:$I$89,3,0)*0.475*44/12</f>
        <v>9.3807640364744106E-8</v>
      </c>
      <c r="DI142" s="22">
        <f t="shared" si="123"/>
        <v>2.2435865640196084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5.1063034188034209</v>
      </c>
      <c r="DO142" s="12">
        <f>IF('Données projet'!$A$166&gt;35,DO141+DN142-DW141,IF(A142&lt;'Données projet'!$A$166,$DL$205^A142,IF(A142='Données projet'!$A$166,'Données projet'!$B$166,DO141+DN142-DW141)))</f>
        <v>252.12286324786288</v>
      </c>
      <c r="DP142" s="17">
        <f>DO142*VLOOKUP('Données projet'!$B$14,Paramètres!$A$1:$I$89,3,0)*VLOOKUP('Données projet'!$B$14,Paramètres!$A$1:$I$89,5,0)</f>
        <v>239.9201166666663</v>
      </c>
      <c r="DQ142" s="13">
        <f t="shared" si="151"/>
        <v>58.422342860916359</v>
      </c>
      <c r="DR142" s="20">
        <f t="shared" si="124"/>
        <v>519.6131170105399</v>
      </c>
      <c r="DS142" s="59">
        <f t="shared" si="125"/>
        <v>804.89655726674073</v>
      </c>
      <c r="DT142" s="59">
        <f ca="1">AVERAGE(OFFSET($DS$3,0,0,'Données projet'!$E$14+1,1))-AVERAGE(OFFSET($H$3,0,0,'Données projet'!$E$14+1,1))</f>
        <v>403.89478276355294</v>
      </c>
      <c r="DU142" s="59">
        <f t="shared" si="152"/>
        <v>241.1593989733278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49.564452429603428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49.564452429603428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5.1063034188034209</v>
      </c>
      <c r="N143" s="13">
        <f>IF('Données projet'!$A$36&gt;35,N142+M143-V142,IF(A143&lt;'Données projet'!$A$36,$K$205^A143,IF(A143='Données projet'!$A$36,'Données projet'!$B$36,N142+M143-V142)))</f>
        <v>257.22916666666629</v>
      </c>
      <c r="O143" s="13">
        <f>N143*VLOOKUP('Données projet'!$B$9,Paramètres!$A$1:$I$89,3,0)*VLOOKUP('Données projet'!$B$9,Paramètres!$A$1:$I$89,5,0)</f>
        <v>232.74094999999966</v>
      </c>
      <c r="P143" s="13">
        <f t="shared" si="141"/>
        <v>56.874929761004168</v>
      </c>
      <c r="Q143" s="20">
        <f t="shared" si="108"/>
        <v>504.41432391708167</v>
      </c>
      <c r="R143" s="59">
        <f t="shared" si="109"/>
        <v>789.83741182130598</v>
      </c>
      <c r="S143" s="59">
        <f ca="1">AVERAGE(OFFSET($R$3,0,0,'Données projet'!$E$9+1,1))-AVERAGE(OFFSET($H$3,0,0,'Données projet'!$E$9+1,1))</f>
        <v>388.1278150896951</v>
      </c>
      <c r="T143" s="59">
        <f t="shared" si="142"/>
        <v>232.26614607059227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46.202727498849299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46.202727498849299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5.1063034188034209</v>
      </c>
      <c r="AI143" s="13">
        <f>IF('Données projet'!$A$62&gt;35,AI142+AH143-AQ142,IF(A143&lt;'Données projet'!$A$62,$AF$205^A143,IF(A143='Données projet'!$A$62,'Données projet'!$B$62,AI142+AH143-AQ142)))</f>
        <v>257.22916666666629</v>
      </c>
      <c r="AJ143" s="13">
        <f>AI143*VLOOKUP('Données projet'!$B$10,Paramètres!$A$1:$I$89,3,0)*VLOOKUP('Données projet'!$B$10,Paramètres!$A$1:$I$89,5,0)</f>
        <v>260.83037499999961</v>
      </c>
      <c r="AK143" s="13">
        <f t="shared" si="143"/>
        <v>62.899347488444107</v>
      </c>
      <c r="AL143" s="20">
        <f t="shared" si="112"/>
        <v>563.82926666737285</v>
      </c>
      <c r="AM143" s="59">
        <f t="shared" si="113"/>
        <v>849.25235457159715</v>
      </c>
      <c r="AN143" s="59">
        <f ca="1">AVERAGE(OFFSET($AM$3,0,0,'Données projet'!$E$10+1,1))-AVERAGE(OFFSET($H$3,0,0,'Données projet'!$E$10+1,1))</f>
        <v>424.89201140676084</v>
      </c>
      <c r="AO143" s="59">
        <f t="shared" si="144"/>
        <v>253.0016648946303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51.778918748710446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51.778918748710446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155.99999999999991</v>
      </c>
      <c r="BE143" s="13">
        <f>BD143*VLOOKUP('Données projet'!$B$11,Paramètres!$A$1:$I$89,3,0)*VLOOKUP('Données projet'!$B$11,Paramètres!$A$1:$I$89,5,0)</f>
        <v>136.28159999999994</v>
      </c>
      <c r="BF143" s="13">
        <f t="shared" si="145"/>
        <v>35.443842312892279</v>
      </c>
      <c r="BG143" s="20">
        <f t="shared" si="115"/>
        <v>299.08847869495395</v>
      </c>
      <c r="BH143" s="59">
        <f t="shared" si="116"/>
        <v>584.51156659917831</v>
      </c>
      <c r="BI143" s="59">
        <f ca="1">AVERAGE(OFFSET($BH$3,0,0,'Données projet'!$E$11+1,1))-AVERAGE(OFFSET($H$3,0,0,'Données projet'!$E$11+1,1))</f>
        <v>218.97952644043698</v>
      </c>
      <c r="BJ143" s="59">
        <f t="shared" si="146"/>
        <v>204.10961748628714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0.54188048468835237</v>
      </c>
      <c r="BQ143" s="21">
        <f>EXP(-LN(2)/25)*BQ142+(1-EXP(-LN(2)/25))/(LN(2)/25)*Calculateur!BL143*Calculateur!BN143*VLOOKUP('Données projet'!$B$11,Paramètres!$A$1:$I$89,3,0)*0.475*44/12</f>
        <v>0.94895867976764059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1.4908391644559931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191.99999999999977</v>
      </c>
      <c r="BZ143" s="13">
        <f>BY143*VLOOKUP('Données projet'!$B$12,Paramètres!$A$1:$I$89,3,0)*VLOOKUP('Données projet'!$B$12,Paramètres!$A$1:$I$89,5,0)</f>
        <v>155.75039999999984</v>
      </c>
      <c r="CA143" s="13">
        <f t="shared" si="147"/>
        <v>39.882509755133718</v>
      </c>
      <c r="CB143" s="20">
        <f t="shared" si="118"/>
        <v>340.72731782352429</v>
      </c>
      <c r="CC143" s="59">
        <f t="shared" si="119"/>
        <v>626.15040572774865</v>
      </c>
      <c r="CD143" s="59">
        <f ca="1">AVERAGE(OFFSET($CC$3,0,0,'Données projet'!$E$12+1,1))-AVERAGE(OFFSET($H$3,0,0,'Données projet'!$E$12+1,1))</f>
        <v>256.23994291192162</v>
      </c>
      <c r="CE143" s="59">
        <f t="shared" si="148"/>
        <v>207.9118653708222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1.2669470223499109</v>
      </c>
      <c r="CL143" s="21">
        <f>EXP(-LN(2)/25)*CL142+(1-EXP(-LN(2)/25))/(LN(2)/25)*Calculateur!CG143*Calculateur!CI143*VLOOKUP('Données projet'!$B$12,Paramètres!$A$1:$I$89,3,0)*0.475*44/12</f>
        <v>2.449741406237913</v>
      </c>
      <c r="CM143" s="21">
        <f>EXP(-LN(2)/2)*CM142+(1-EXP(-LN(2)/2))/(LN(2)/2)*CG143*CJ143*VLOOKUP('Données projet'!$B$12,Paramètres!$A$1:$I$89,3,0)*0.475*44/12</f>
        <v>5.5758768650503485E-8</v>
      </c>
      <c r="CN143" s="22">
        <f t="shared" si="120"/>
        <v>3.7166884843465926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170.99999999999991</v>
      </c>
      <c r="CU143" s="17">
        <f>CT143*VLOOKUP('Données projet'!$B$13,Paramètres!$A$1:$I$89,3,0)*VLOOKUP('Données projet'!$B$13,Paramètres!$A$1:$I$89,5,0)</f>
        <v>98.701199999999957</v>
      </c>
      <c r="CV143" s="13">
        <f t="shared" si="149"/>
        <v>26.652341328097943</v>
      </c>
      <c r="CW143" s="20">
        <f t="shared" si="121"/>
        <v>218.32408447977051</v>
      </c>
      <c r="CX143" s="59">
        <f t="shared" si="122"/>
        <v>503.74717238399489</v>
      </c>
      <c r="CY143" s="59">
        <f ca="1">AVERAGE(OFFSET($CX$3,0,0,'Données projet'!$E$13+1,1))-AVERAGE(OFFSET($H$3,0,0,'Données projet'!$E$13+1,1))</f>
        <v>205.74526926885287</v>
      </c>
      <c r="CZ143" s="59">
        <f t="shared" si="150"/>
        <v>201.56217137928999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0.3316070328416858</v>
      </c>
      <c r="DG143" s="21">
        <f>EXP(-LN(2)/25)*DG142+(1-EXP(-LN(2)/25))/(LN(2)/25)*Calculateur!DB143*Calculateur!DD143*VLOOKUP('Données projet'!$B$13,Paramètres!$A$1:$I$89,3,0)*0.475*44/12</f>
        <v>1.8532449555855</v>
      </c>
      <c r="DH143" s="21">
        <f>EXP(-LN(2)/2)*DH142+(1-EXP(-LN(2)/2))/(LN(2)/2)*DB143*DE143*VLOOKUP('Données projet'!$B$13,Paramètres!$A$1:$I$89,3,0)*0.475*44/12</f>
        <v>6.6332018629019452E-8</v>
      </c>
      <c r="DI143" s="22">
        <f t="shared" si="123"/>
        <v>2.1848520547592041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5.1063034188034209</v>
      </c>
      <c r="DO143" s="12">
        <f>IF('Données projet'!$A$166&gt;35,DO142+DN143-DW142,IF(A143&lt;'Données projet'!$A$166,$DL$205^A143,IF(A143='Données projet'!$A$166,'Données projet'!$B$166,DO142+DN143-DW142)))</f>
        <v>257.22916666666629</v>
      </c>
      <c r="DP143" s="17">
        <f>DO143*VLOOKUP('Données projet'!$B$14,Paramètres!$A$1:$I$89,3,0)*VLOOKUP('Données projet'!$B$14,Paramètres!$A$1:$I$89,5,0)</f>
        <v>244.77927499999961</v>
      </c>
      <c r="DQ143" s="13">
        <f t="shared" si="151"/>
        <v>59.466631764852885</v>
      </c>
      <c r="DR143" s="20">
        <f t="shared" si="124"/>
        <v>529.89495428211808</v>
      </c>
      <c r="DS143" s="59">
        <f t="shared" si="125"/>
        <v>815.31804218634238</v>
      </c>
      <c r="DT143" s="59">
        <f ca="1">AVERAGE(OFFSET($DS$3,0,0,'Données projet'!$E$14+1,1))-AVERAGE(OFFSET($H$3,0,0,'Données projet'!$E$14+1,1))</f>
        <v>403.89478276355294</v>
      </c>
      <c r="DU143" s="59">
        <f t="shared" si="152"/>
        <v>241.1593989733278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48.592523748789787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48.592523748789787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5.1063034188034209</v>
      </c>
      <c r="N144" s="13">
        <f>IF('Données projet'!$A$36&gt;35,N143+M144-V143,IF(A144&lt;'Données projet'!$A$36,$K$205^A144,IF(A144='Données projet'!$A$36,'Données projet'!$B$36,N143+M144-V143)))</f>
        <v>262.33547008546969</v>
      </c>
      <c r="O144" s="13">
        <f>N144*VLOOKUP('Données projet'!$B$9,Paramètres!$A$1:$I$89,3,0)*VLOOKUP('Données projet'!$B$9,Paramètres!$A$1:$I$89,5,0)</f>
        <v>237.36113333333296</v>
      </c>
      <c r="P144" s="13">
        <f t="shared" si="141"/>
        <v>57.871400641465833</v>
      </c>
      <c r="Q144" s="20">
        <f t="shared" si="108"/>
        <v>514.19666333944122</v>
      </c>
      <c r="R144" s="59">
        <f t="shared" si="109"/>
        <v>799.75697631720118</v>
      </c>
      <c r="S144" s="59">
        <f ca="1">AVERAGE(OFFSET($R$3,0,0,'Données projet'!$E$9+1,1))-AVERAGE(OFFSET($H$3,0,0,'Données projet'!$E$9+1,1))</f>
        <v>388.1278150896951</v>
      </c>
      <c r="T144" s="59">
        <f t="shared" si="142"/>
        <v>232.26614607059227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45.296720193478009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45.296720193478009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5.1063034188034209</v>
      </c>
      <c r="AI144" s="13">
        <f>IF('Données projet'!$A$62&gt;35,AI143+AH144-AQ143,IF(A144&lt;'Données projet'!$A$62,$AF$205^A144,IF(A144='Données projet'!$A$62,'Données projet'!$B$62,AI143+AH144-AQ143)))</f>
        <v>262.33547008546969</v>
      </c>
      <c r="AJ144" s="13">
        <f>AI144*VLOOKUP('Données projet'!$B$10,Paramètres!$A$1:$I$89,3,0)*VLOOKUP('Données projet'!$B$10,Paramètres!$A$1:$I$89,5,0)</f>
        <v>266.00816666666628</v>
      </c>
      <c r="AK144" s="13">
        <f t="shared" si="143"/>
        <v>64.00136850958036</v>
      </c>
      <c r="AL144" s="20">
        <f t="shared" si="112"/>
        <v>574.76660709862961</v>
      </c>
      <c r="AM144" s="59">
        <f t="shared" si="113"/>
        <v>860.32692007638957</v>
      </c>
      <c r="AN144" s="59">
        <f ca="1">AVERAGE(OFFSET($AM$3,0,0,'Données projet'!$E$10+1,1))-AVERAGE(OFFSET($H$3,0,0,'Données projet'!$E$10+1,1))</f>
        <v>424.89201140676084</v>
      </c>
      <c r="AO144" s="59">
        <f t="shared" si="144"/>
        <v>253.0016648946303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50.763565734070205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50.763565734070205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155.99999999999991</v>
      </c>
      <c r="BE144" s="13">
        <f>BD144*VLOOKUP('Données projet'!$B$11,Paramètres!$A$1:$I$89,3,0)*VLOOKUP('Données projet'!$B$11,Paramètres!$A$1:$I$89,5,0)</f>
        <v>136.28159999999994</v>
      </c>
      <c r="BF144" s="13">
        <f t="shared" si="145"/>
        <v>35.443842312892279</v>
      </c>
      <c r="BG144" s="20">
        <f t="shared" si="115"/>
        <v>299.08847869495395</v>
      </c>
      <c r="BH144" s="59">
        <f t="shared" si="116"/>
        <v>584.64879167271397</v>
      </c>
      <c r="BI144" s="59">
        <f ca="1">AVERAGE(OFFSET($BH$3,0,0,'Données projet'!$E$11+1,1))-AVERAGE(OFFSET($H$3,0,0,'Données projet'!$E$11+1,1))</f>
        <v>218.97952644043698</v>
      </c>
      <c r="BJ144" s="59">
        <f t="shared" si="146"/>
        <v>204.10961748628714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0.53125453889807384</v>
      </c>
      <c r="BQ144" s="21">
        <f>EXP(-LN(2)/25)*BQ143+(1-EXP(-LN(2)/25))/(LN(2)/25)*Calculateur!BL144*Calculateur!BN144*VLOOKUP('Données projet'!$B$11,Paramètres!$A$1:$I$89,3,0)*0.475*44/12</f>
        <v>0.92300935476582635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1.4542638936639003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191.99999999999977</v>
      </c>
      <c r="BZ144" s="13">
        <f>BY144*VLOOKUP('Données projet'!$B$12,Paramètres!$A$1:$I$89,3,0)*VLOOKUP('Données projet'!$B$12,Paramètres!$A$1:$I$89,5,0)</f>
        <v>155.75039999999984</v>
      </c>
      <c r="CA144" s="13">
        <f t="shared" si="147"/>
        <v>39.882509755133718</v>
      </c>
      <c r="CB144" s="20">
        <f t="shared" si="118"/>
        <v>340.72731782352429</v>
      </c>
      <c r="CC144" s="59">
        <f t="shared" si="119"/>
        <v>626.28763080128431</v>
      </c>
      <c r="CD144" s="59">
        <f ca="1">AVERAGE(OFFSET($CC$3,0,0,'Données projet'!$E$12+1,1))-AVERAGE(OFFSET($H$3,0,0,'Données projet'!$E$12+1,1))</f>
        <v>256.23994291192162</v>
      </c>
      <c r="CE144" s="59">
        <f t="shared" si="148"/>
        <v>207.9118653708222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1.2421029640030088</v>
      </c>
      <c r="CL144" s="21">
        <f>EXP(-LN(2)/25)*CL143+(1-EXP(-LN(2)/25))/(LN(2)/25)*Calculateur!CG144*Calculateur!CI144*VLOOKUP('Données projet'!$B$12,Paramètres!$A$1:$I$89,3,0)*0.475*44/12</f>
        <v>2.3827530986580356</v>
      </c>
      <c r="CM144" s="21">
        <f>EXP(-LN(2)/2)*CM143+(1-EXP(-LN(2)/2))/(LN(2)/2)*CG144*CJ144*VLOOKUP('Données projet'!$B$12,Paramètres!$A$1:$I$89,3,0)*0.475*44/12</f>
        <v>3.9427403423382893E-8</v>
      </c>
      <c r="CN144" s="22">
        <f t="shared" si="120"/>
        <v>3.6248561020884482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170.99999999999991</v>
      </c>
      <c r="CU144" s="17">
        <f>CT144*VLOOKUP('Données projet'!$B$13,Paramètres!$A$1:$I$89,3,0)*VLOOKUP('Données projet'!$B$13,Paramètres!$A$1:$I$89,5,0)</f>
        <v>98.701199999999957</v>
      </c>
      <c r="CV144" s="13">
        <f t="shared" si="149"/>
        <v>26.652341328097943</v>
      </c>
      <c r="CW144" s="20">
        <f t="shared" si="121"/>
        <v>218.32408447977051</v>
      </c>
      <c r="CX144" s="59">
        <f t="shared" si="122"/>
        <v>503.88439745753055</v>
      </c>
      <c r="CY144" s="59">
        <f ca="1">AVERAGE(OFFSET($CX$3,0,0,'Données projet'!$E$13+1,1))-AVERAGE(OFFSET($H$3,0,0,'Données projet'!$E$13+1,1))</f>
        <v>205.74526926885287</v>
      </c>
      <c r="CZ144" s="59">
        <f t="shared" si="150"/>
        <v>201.56217137928999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0.32510442118797883</v>
      </c>
      <c r="DG144" s="21">
        <f>EXP(-LN(2)/25)*DG143+(1-EXP(-LN(2)/25))/(LN(2)/25)*Calculateur!DB144*Calculateur!DD144*VLOOKUP('Données projet'!$B$13,Paramètres!$A$1:$I$89,3,0)*0.475*44/12</f>
        <v>1.8025678748170979</v>
      </c>
      <c r="DH144" s="21">
        <f>EXP(-LN(2)/2)*DH143+(1-EXP(-LN(2)/2))/(LN(2)/2)*DB144*DE144*VLOOKUP('Données projet'!$B$13,Paramètres!$A$1:$I$89,3,0)*0.475*44/12</f>
        <v>4.6903820182372053E-8</v>
      </c>
      <c r="DI144" s="22">
        <f t="shared" si="123"/>
        <v>2.1276723429088973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5.1063034188034209</v>
      </c>
      <c r="DO144" s="12">
        <f>IF('Données projet'!$A$166&gt;35,DO143+DN144-DW143,IF(A144&lt;'Données projet'!$A$166,$DL$205^A144,IF(A144='Données projet'!$A$166,'Données projet'!$B$166,DO143+DN144-DW143)))</f>
        <v>262.33547008546969</v>
      </c>
      <c r="DP144" s="17">
        <f>DO144*VLOOKUP('Données projet'!$B$14,Paramètres!$A$1:$I$89,3,0)*VLOOKUP('Données projet'!$B$14,Paramètres!$A$1:$I$89,5,0)</f>
        <v>249.63843333333296</v>
      </c>
      <c r="DQ144" s="13">
        <f t="shared" si="151"/>
        <v>60.508510271988001</v>
      </c>
      <c r="DR144" s="20">
        <f t="shared" si="124"/>
        <v>540.17259344593401</v>
      </c>
      <c r="DS144" s="59">
        <f t="shared" si="125"/>
        <v>825.73290642369398</v>
      </c>
      <c r="DT144" s="59">
        <f ca="1">AVERAGE(OFFSET($DS$3,0,0,'Données projet'!$E$14+1,1))-AVERAGE(OFFSET($H$3,0,0,'Données projet'!$E$14+1,1))</f>
        <v>403.89478276355294</v>
      </c>
      <c r="DU144" s="59">
        <f t="shared" si="152"/>
        <v>241.1593989733278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47.639653996588947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47.639653996588947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5.1063034188034209</v>
      </c>
      <c r="N145" s="13">
        <f>IF('Données projet'!$A$36&gt;35,N144+M145-V144,IF(A145&lt;'Données projet'!$A$36,$K$205^A145,IF(A145='Données projet'!$A$36,'Données projet'!$B$36,N144+M145-V144)))</f>
        <v>267.4417735042731</v>
      </c>
      <c r="O145" s="13">
        <f>N145*VLOOKUP('Données projet'!$B$9,Paramètres!$A$1:$I$89,3,0)*VLOOKUP('Données projet'!$B$9,Paramètres!$A$1:$I$89,5,0)</f>
        <v>241.98131666666632</v>
      </c>
      <c r="P145" s="13">
        <f t="shared" si="141"/>
        <v>58.865616222095206</v>
      </c>
      <c r="Q145" s="20">
        <f t="shared" si="108"/>
        <v>523.97507478125954</v>
      </c>
      <c r="R145" s="59">
        <f t="shared" si="109"/>
        <v>809.67023228431867</v>
      </c>
      <c r="S145" s="59">
        <f ca="1">AVERAGE(OFFSET($R$3,0,0,'Données projet'!$E$9+1,1))-AVERAGE(OFFSET($H$3,0,0,'Données projet'!$E$9+1,1))</f>
        <v>388.1278150896951</v>
      </c>
      <c r="T145" s="59">
        <f t="shared" si="142"/>
        <v>232.26614607059227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44.408479138755162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44.408479138755162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5.1063034188034209</v>
      </c>
      <c r="AI145" s="13">
        <f>IF('Données projet'!$A$62&gt;35,AI144+AH145-AQ144,IF(A145&lt;'Données projet'!$A$62,$AF$205^A145,IF(A145='Données projet'!$A$62,'Données projet'!$B$62,AI144+AH145-AQ144)))</f>
        <v>267.4417735042731</v>
      </c>
      <c r="AJ145" s="13">
        <f>AI145*VLOOKUP('Données projet'!$B$10,Paramètres!$A$1:$I$89,3,0)*VLOOKUP('Données projet'!$B$10,Paramètres!$A$1:$I$89,5,0)</f>
        <v>271.18595833333296</v>
      </c>
      <c r="AK145" s="13">
        <f t="shared" si="143"/>
        <v>65.100895340597489</v>
      </c>
      <c r="AL145" s="20">
        <f t="shared" si="112"/>
        <v>585.69960348209554</v>
      </c>
      <c r="AM145" s="59">
        <f t="shared" si="113"/>
        <v>871.39476098515456</v>
      </c>
      <c r="AN145" s="59">
        <f ca="1">AVERAGE(OFFSET($AM$3,0,0,'Données projet'!$E$10+1,1))-AVERAGE(OFFSET($H$3,0,0,'Données projet'!$E$10+1,1))</f>
        <v>424.89201140676084</v>
      </c>
      <c r="AO145" s="59">
        <f t="shared" si="144"/>
        <v>253.0016648946303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49.768123172742875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49.768123172742875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155.99999999999991</v>
      </c>
      <c r="BE145" s="13">
        <f>BD145*VLOOKUP('Données projet'!$B$11,Paramètres!$A$1:$I$89,3,0)*VLOOKUP('Données projet'!$B$11,Paramètres!$A$1:$I$89,5,0)</f>
        <v>136.28159999999994</v>
      </c>
      <c r="BF145" s="13">
        <f t="shared" si="145"/>
        <v>35.443842312892279</v>
      </c>
      <c r="BG145" s="20">
        <f t="shared" si="115"/>
        <v>299.08847869495395</v>
      </c>
      <c r="BH145" s="59">
        <f t="shared" si="116"/>
        <v>584.78363619801303</v>
      </c>
      <c r="BI145" s="59">
        <f ca="1">AVERAGE(OFFSET($BH$3,0,0,'Données projet'!$E$11+1,1))-AVERAGE(OFFSET($H$3,0,0,'Données projet'!$E$11+1,1))</f>
        <v>218.97952644043698</v>
      </c>
      <c r="BJ145" s="59">
        <f t="shared" si="146"/>
        <v>204.10961748628714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0.52083696142355573</v>
      </c>
      <c r="BQ145" s="21">
        <f>EXP(-LN(2)/25)*BQ144+(1-EXP(-LN(2)/25))/(LN(2)/25)*Calculateur!BL145*Calculateur!BN145*VLOOKUP('Données projet'!$B$11,Paramètres!$A$1:$I$89,3,0)*0.475*44/12</f>
        <v>0.89776961542080247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1.4186065768443581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191.99999999999977</v>
      </c>
      <c r="BZ145" s="13">
        <f>BY145*VLOOKUP('Données projet'!$B$12,Paramètres!$A$1:$I$89,3,0)*VLOOKUP('Données projet'!$B$12,Paramètres!$A$1:$I$89,5,0)</f>
        <v>155.75039999999984</v>
      </c>
      <c r="CA145" s="13">
        <f t="shared" si="147"/>
        <v>39.882509755133718</v>
      </c>
      <c r="CB145" s="20">
        <f t="shared" si="118"/>
        <v>340.72731782352429</v>
      </c>
      <c r="CC145" s="59">
        <f t="shared" si="119"/>
        <v>626.42247532658337</v>
      </c>
      <c r="CD145" s="59">
        <f ca="1">AVERAGE(OFFSET($CC$3,0,0,'Données projet'!$E$12+1,1))-AVERAGE(OFFSET($H$3,0,0,'Données projet'!$E$12+1,1))</f>
        <v>256.23994291192162</v>
      </c>
      <c r="CE145" s="59">
        <f t="shared" si="148"/>
        <v>207.9118653708222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1.2177460824869102</v>
      </c>
      <c r="CL145" s="21">
        <f>EXP(-LN(2)/25)*CL144+(1-EXP(-LN(2)/25))/(LN(2)/25)*Calculateur!CG145*Calculateur!CI145*VLOOKUP('Données projet'!$B$12,Paramètres!$A$1:$I$89,3,0)*0.475*44/12</f>
        <v>2.3175965898716919</v>
      </c>
      <c r="CM145" s="21">
        <f>EXP(-LN(2)/2)*CM144+(1-EXP(-LN(2)/2))/(LN(2)/2)*CG145*CJ145*VLOOKUP('Données projet'!$B$12,Paramètres!$A$1:$I$89,3,0)*0.475*44/12</f>
        <v>2.7879384325251742E-8</v>
      </c>
      <c r="CN145" s="22">
        <f t="shared" si="120"/>
        <v>3.5353427002379862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170.99999999999991</v>
      </c>
      <c r="CU145" s="17">
        <f>CT145*VLOOKUP('Données projet'!$B$13,Paramètres!$A$1:$I$89,3,0)*VLOOKUP('Données projet'!$B$13,Paramètres!$A$1:$I$89,5,0)</f>
        <v>98.701199999999957</v>
      </c>
      <c r="CV145" s="13">
        <f t="shared" si="149"/>
        <v>26.652341328097943</v>
      </c>
      <c r="CW145" s="20">
        <f t="shared" si="121"/>
        <v>218.32408447977051</v>
      </c>
      <c r="CX145" s="59">
        <f t="shared" si="122"/>
        <v>504.01924198282961</v>
      </c>
      <c r="CY145" s="59">
        <f ca="1">AVERAGE(OFFSET($CX$3,0,0,'Données projet'!$E$13+1,1))-AVERAGE(OFFSET($H$3,0,0,'Données projet'!$E$13+1,1))</f>
        <v>205.74526926885287</v>
      </c>
      <c r="CZ145" s="59">
        <f t="shared" si="150"/>
        <v>201.56217137928999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0.31872932178259955</v>
      </c>
      <c r="DG145" s="21">
        <f>EXP(-LN(2)/25)*DG144+(1-EXP(-LN(2)/25))/(LN(2)/25)*Calculateur!DB145*Calculateur!DD145*VLOOKUP('Données projet'!$B$13,Paramètres!$A$1:$I$89,3,0)*0.475*44/12</f>
        <v>1.7532765614872996</v>
      </c>
      <c r="DH145" s="21">
        <f>EXP(-LN(2)/2)*DH144+(1-EXP(-LN(2)/2))/(LN(2)/2)*DB145*DE145*VLOOKUP('Données projet'!$B$13,Paramètres!$A$1:$I$89,3,0)*0.475*44/12</f>
        <v>3.3166009314509726E-8</v>
      </c>
      <c r="DI145" s="22">
        <f t="shared" si="123"/>
        <v>2.0720059164359088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5.1063034188034209</v>
      </c>
      <c r="DO145" s="12">
        <f>IF('Données projet'!$A$166&gt;35,DO144+DN145-DW144,IF(A145&lt;'Données projet'!$A$166,$DL$205^A145,IF(A145='Données projet'!$A$166,'Données projet'!$B$166,DO144+DN145-DW144)))</f>
        <v>267.4417735042731</v>
      </c>
      <c r="DP145" s="17">
        <f>DO145*VLOOKUP('Données projet'!$B$14,Paramètres!$A$1:$I$89,3,0)*VLOOKUP('Données projet'!$B$14,Paramètres!$A$1:$I$89,5,0)</f>
        <v>254.49759166666627</v>
      </c>
      <c r="DQ145" s="13">
        <f t="shared" si="151"/>
        <v>61.548030708788779</v>
      </c>
      <c r="DR145" s="20">
        <f t="shared" si="124"/>
        <v>550.4461256372507</v>
      </c>
      <c r="DS145" s="59">
        <f t="shared" si="125"/>
        <v>836.14128314030972</v>
      </c>
      <c r="DT145" s="59">
        <f ca="1">AVERAGE(OFFSET($DS$3,0,0,'Données projet'!$E$14+1,1))-AVERAGE(OFFSET($H$3,0,0,'Données projet'!$E$14+1,1))</f>
        <v>403.89478276355294</v>
      </c>
      <c r="DU145" s="59">
        <f t="shared" si="152"/>
        <v>241.1593989733278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46.705469439035603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46.705469439035603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5.1063034188034209</v>
      </c>
      <c r="N146" s="13">
        <f>IF('Données projet'!$A$36&gt;35,N145+M146-V145,IF(A146&lt;'Données projet'!$A$36,$K$205^A146,IF(A146='Données projet'!$A$36,'Données projet'!$B$36,N145+M146-V145)))</f>
        <v>272.54807692307651</v>
      </c>
      <c r="O146" s="13">
        <f>N146*VLOOKUP('Données projet'!$B$9,Paramètres!$A$1:$I$89,3,0)*VLOOKUP('Données projet'!$B$9,Paramètres!$A$1:$I$89,5,0)</f>
        <v>246.60149999999962</v>
      </c>
      <c r="P146" s="13">
        <f t="shared" si="141"/>
        <v>59.857624528428133</v>
      </c>
      <c r="Q146" s="20">
        <f t="shared" si="108"/>
        <v>533.74964188701165</v>
      </c>
      <c r="R146" s="59">
        <f t="shared" si="109"/>
        <v>819.57730466432304</v>
      </c>
      <c r="S146" s="59">
        <f ca="1">AVERAGE(OFFSET($R$3,0,0,'Données projet'!$E$9+1,1))-AVERAGE(OFFSET($H$3,0,0,'Données projet'!$E$9+1,1))</f>
        <v>388.1278150896951</v>
      </c>
      <c r="T146" s="59">
        <f t="shared" si="142"/>
        <v>232.26614607059227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43.537655949341875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43.537655949341875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5.1063034188034209</v>
      </c>
      <c r="AI146" s="13">
        <f>IF('Données projet'!$A$62&gt;35,AI145+AH146-AQ145,IF(A146&lt;'Données projet'!$A$62,$AF$205^A146,IF(A146='Données projet'!$A$62,'Données projet'!$B$62,AI145+AH146-AQ145)))</f>
        <v>272.54807692307651</v>
      </c>
      <c r="AJ146" s="13">
        <f>AI146*VLOOKUP('Données projet'!$B$10,Paramètres!$A$1:$I$89,3,0)*VLOOKUP('Données projet'!$B$10,Paramètres!$A$1:$I$89,5,0)</f>
        <v>276.36374999999958</v>
      </c>
      <c r="AK146" s="13">
        <f t="shared" si="143"/>
        <v>66.19798109408589</v>
      </c>
      <c r="AL146" s="20">
        <f t="shared" si="112"/>
        <v>596.6283483221988</v>
      </c>
      <c r="AM146" s="59">
        <f t="shared" si="113"/>
        <v>882.45601109951031</v>
      </c>
      <c r="AN146" s="59">
        <f ca="1">AVERAGE(OFFSET($AM$3,0,0,'Données projet'!$E$10+1,1))-AVERAGE(OFFSET($H$3,0,0,'Données projet'!$E$10+1,1))</f>
        <v>424.89201140676084</v>
      </c>
      <c r="AO146" s="59">
        <f t="shared" si="144"/>
        <v>253.0016648946303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48.792200632883159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48.792200632883159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155.99999999999991</v>
      </c>
      <c r="BE146" s="13">
        <f>BD146*VLOOKUP('Données projet'!$B$11,Paramètres!$A$1:$I$89,3,0)*VLOOKUP('Données projet'!$B$11,Paramètres!$A$1:$I$89,5,0)</f>
        <v>136.28159999999994</v>
      </c>
      <c r="BF146" s="13">
        <f t="shared" si="145"/>
        <v>35.443842312892279</v>
      </c>
      <c r="BG146" s="20">
        <f t="shared" si="115"/>
        <v>299.08847869495395</v>
      </c>
      <c r="BH146" s="59">
        <f t="shared" si="116"/>
        <v>584.91614147226539</v>
      </c>
      <c r="BI146" s="59">
        <f ca="1">AVERAGE(OFFSET($BH$3,0,0,'Données projet'!$E$11+1,1))-AVERAGE(OFFSET($H$3,0,0,'Données projet'!$E$11+1,1))</f>
        <v>218.97952644043698</v>
      </c>
      <c r="BJ146" s="59">
        <f t="shared" si="146"/>
        <v>204.10961748628714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0.51062366628921807</v>
      </c>
      <c r="BQ146" s="21">
        <f>EXP(-LN(2)/25)*BQ145+(1-EXP(-LN(2)/25))/(LN(2)/25)*Calculateur!BL146*Calculateur!BN146*VLOOKUP('Données projet'!$B$11,Paramètres!$A$1:$I$89,3,0)*0.475*44/12</f>
        <v>0.87322005807546843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1.3838437243646866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191.99999999999977</v>
      </c>
      <c r="BZ146" s="13">
        <f>BY146*VLOOKUP('Données projet'!$B$12,Paramètres!$A$1:$I$89,3,0)*VLOOKUP('Données projet'!$B$12,Paramètres!$A$1:$I$89,5,0)</f>
        <v>155.75039999999984</v>
      </c>
      <c r="CA146" s="13">
        <f t="shared" si="147"/>
        <v>39.882509755133718</v>
      </c>
      <c r="CB146" s="20">
        <f t="shared" si="118"/>
        <v>340.72731782352429</v>
      </c>
      <c r="CC146" s="59">
        <f t="shared" si="119"/>
        <v>626.55498060083573</v>
      </c>
      <c r="CD146" s="59">
        <f ca="1">AVERAGE(OFFSET($CC$3,0,0,'Données projet'!$E$12+1,1))-AVERAGE(OFFSET($H$3,0,0,'Données projet'!$E$12+1,1))</f>
        <v>256.23994291192162</v>
      </c>
      <c r="CE146" s="59">
        <f t="shared" si="148"/>
        <v>207.9118653708222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1.1938668245611115</v>
      </c>
      <c r="CL146" s="21">
        <f>EXP(-LN(2)/25)*CL145+(1-EXP(-LN(2)/25))/(LN(2)/25)*Calculateur!CG146*Calculateur!CI146*VLOOKUP('Données projet'!$B$12,Paramètres!$A$1:$I$89,3,0)*0.475*44/12</f>
        <v>2.2542217892445429</v>
      </c>
      <c r="CM146" s="21">
        <f>EXP(-LN(2)/2)*CM145+(1-EXP(-LN(2)/2))/(LN(2)/2)*CG146*CJ146*VLOOKUP('Données projet'!$B$12,Paramètres!$A$1:$I$89,3,0)*0.475*44/12</f>
        <v>1.9713701711691446E-8</v>
      </c>
      <c r="CN146" s="22">
        <f t="shared" si="120"/>
        <v>3.4480886335193563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170.99999999999991</v>
      </c>
      <c r="CU146" s="17">
        <f>CT146*VLOOKUP('Données projet'!$B$13,Paramètres!$A$1:$I$89,3,0)*VLOOKUP('Données projet'!$B$13,Paramètres!$A$1:$I$89,5,0)</f>
        <v>98.701199999999957</v>
      </c>
      <c r="CV146" s="13">
        <f t="shared" si="149"/>
        <v>26.652341328097943</v>
      </c>
      <c r="CW146" s="20">
        <f t="shared" si="121"/>
        <v>218.32408447977051</v>
      </c>
      <c r="CX146" s="59">
        <f t="shared" si="122"/>
        <v>504.15174725708198</v>
      </c>
      <c r="CY146" s="59">
        <f ca="1">AVERAGE(OFFSET($CX$3,0,0,'Données projet'!$E$13+1,1))-AVERAGE(OFFSET($H$3,0,0,'Données projet'!$E$13+1,1))</f>
        <v>205.74526926885287</v>
      </c>
      <c r="CZ146" s="59">
        <f t="shared" si="150"/>
        <v>201.56217137928999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0.31247923418813311</v>
      </c>
      <c r="DG146" s="21">
        <f>EXP(-LN(2)/25)*DG145+(1-EXP(-LN(2)/25))/(LN(2)/25)*Calculateur!DB146*Calculateur!DD146*VLOOKUP('Données projet'!$B$13,Paramètres!$A$1:$I$89,3,0)*0.475*44/12</f>
        <v>1.7053331217126222</v>
      </c>
      <c r="DH146" s="21">
        <f>EXP(-LN(2)/2)*DH145+(1-EXP(-LN(2)/2))/(LN(2)/2)*DB146*DE146*VLOOKUP('Données projet'!$B$13,Paramètres!$A$1:$I$89,3,0)*0.475*44/12</f>
        <v>2.3451910091186027E-8</v>
      </c>
      <c r="DI146" s="22">
        <f t="shared" si="123"/>
        <v>2.0178123793526654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5.1063034188034209</v>
      </c>
      <c r="DO146" s="12">
        <f>IF('Données projet'!$A$166&gt;35,DO145+DN146-DW145,IF(A146&lt;'Données projet'!$A$166,$DL$205^A146,IF(A146='Données projet'!$A$166,'Données projet'!$B$166,DO145+DN146-DW145)))</f>
        <v>272.54807692307651</v>
      </c>
      <c r="DP146" s="17">
        <f>DO146*VLOOKUP('Données projet'!$B$14,Paramètres!$A$1:$I$89,3,0)*VLOOKUP('Données projet'!$B$14,Paramètres!$A$1:$I$89,5,0)</f>
        <v>259.35674999999958</v>
      </c>
      <c r="DQ146" s="13">
        <f t="shared" si="151"/>
        <v>62.585243289239635</v>
      </c>
      <c r="DR146" s="20">
        <f t="shared" si="124"/>
        <v>560.71563831209176</v>
      </c>
      <c r="DS146" s="59">
        <f t="shared" si="125"/>
        <v>846.54330108940326</v>
      </c>
      <c r="DT146" s="59">
        <f ca="1">AVERAGE(OFFSET($DS$3,0,0,'Données projet'!$E$14+1,1))-AVERAGE(OFFSET($H$3,0,0,'Données projet'!$E$14+1,1))</f>
        <v>403.89478276355294</v>
      </c>
      <c r="DU146" s="59">
        <f t="shared" si="152"/>
        <v>241.1593989733278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45.789603670859563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45.789603670859563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5.1063034188034209</v>
      </c>
      <c r="N147" s="13">
        <f>IF('Données projet'!$A$36&gt;35,N146+M147-V146,IF(A147&lt;'Données projet'!$A$36,$K$205^A147,IF(A147='Données projet'!$A$36,'Données projet'!$B$36,N146+M147-V146)))</f>
        <v>277.65438034187991</v>
      </c>
      <c r="O147" s="13">
        <f>N147*VLOOKUP('Données projet'!$B$9,Paramètres!$A$1:$I$89,3,0)*VLOOKUP('Données projet'!$B$9,Paramètres!$A$1:$I$89,5,0)</f>
        <v>251.22168333333292</v>
      </c>
      <c r="P147" s="13">
        <f t="shared" si="141"/>
        <v>60.847471683449903</v>
      </c>
      <c r="Q147" s="20">
        <f t="shared" si="108"/>
        <v>543.52044498756334</v>
      </c>
      <c r="R147" s="59">
        <f t="shared" si="109"/>
        <v>829.47831436885622</v>
      </c>
      <c r="S147" s="59">
        <f ca="1">AVERAGE(OFFSET($R$3,0,0,'Données projet'!$E$9+1,1))-AVERAGE(OFFSET($H$3,0,0,'Données projet'!$E$9+1,1))</f>
        <v>388.1278150896951</v>
      </c>
      <c r="T147" s="59">
        <f t="shared" si="142"/>
        <v>232.26614607059227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42.683909071523289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42.683909071523289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5.1063034188034209</v>
      </c>
      <c r="AI147" s="13">
        <f>IF('Données projet'!$A$62&gt;35,AI146+AH147-AQ146,IF(A147&lt;'Données projet'!$A$62,$AF$205^A147,IF(A147='Données projet'!$A$62,'Données projet'!$B$62,AI146+AH147-AQ146)))</f>
        <v>277.65438034187991</v>
      </c>
      <c r="AJ147" s="13">
        <f>AI147*VLOOKUP('Données projet'!$B$10,Paramètres!$A$1:$I$89,3,0)*VLOOKUP('Données projet'!$B$10,Paramètres!$A$1:$I$89,5,0)</f>
        <v>281.54154166666626</v>
      </c>
      <c r="AK147" s="13">
        <f t="shared" si="143"/>
        <v>67.292676778560462</v>
      </c>
      <c r="AL147" s="20">
        <f t="shared" si="112"/>
        <v>607.55293045876988</v>
      </c>
      <c r="AM147" s="59">
        <f t="shared" si="113"/>
        <v>893.51079984006276</v>
      </c>
      <c r="AN147" s="59">
        <f ca="1">AVERAGE(OFFSET($AM$3,0,0,'Données projet'!$E$10+1,1))-AVERAGE(OFFSET($H$3,0,0,'Données projet'!$E$10+1,1))</f>
        <v>424.89201140676084</v>
      </c>
      <c r="AO147" s="59">
        <f t="shared" si="144"/>
        <v>253.0016648946303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47.835415338776123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47.835415338776123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155.99999999999991</v>
      </c>
      <c r="BE147" s="13">
        <f>BD147*VLOOKUP('Données projet'!$B$11,Paramètres!$A$1:$I$89,3,0)*VLOOKUP('Données projet'!$B$11,Paramètres!$A$1:$I$89,5,0)</f>
        <v>136.28159999999994</v>
      </c>
      <c r="BF147" s="13">
        <f t="shared" si="145"/>
        <v>35.443842312892279</v>
      </c>
      <c r="BG147" s="20">
        <f t="shared" si="115"/>
        <v>299.08847869495395</v>
      </c>
      <c r="BH147" s="59">
        <f t="shared" si="116"/>
        <v>585.04634807624689</v>
      </c>
      <c r="BI147" s="59">
        <f ca="1">AVERAGE(OFFSET($BH$3,0,0,'Données projet'!$E$11+1,1))-AVERAGE(OFFSET($H$3,0,0,'Données projet'!$E$11+1,1))</f>
        <v>218.97952644043698</v>
      </c>
      <c r="BJ147" s="59">
        <f t="shared" si="146"/>
        <v>204.10961748628714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0.50061064764296981</v>
      </c>
      <c r="BQ147" s="21">
        <f>EXP(-LN(2)/25)*BQ146+(1-EXP(-LN(2)/25))/(LN(2)/25)*Calculateur!BL147*Calculateur!BN147*VLOOKUP('Données projet'!$B$11,Paramètres!$A$1:$I$89,3,0)*0.475*44/12</f>
        <v>0.84934180966674766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1.3499524573097175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191.99999999999977</v>
      </c>
      <c r="BZ147" s="13">
        <f>BY147*VLOOKUP('Données projet'!$B$12,Paramètres!$A$1:$I$89,3,0)*VLOOKUP('Données projet'!$B$12,Paramètres!$A$1:$I$89,5,0)</f>
        <v>155.75039999999984</v>
      </c>
      <c r="CA147" s="13">
        <f t="shared" si="147"/>
        <v>39.882509755133718</v>
      </c>
      <c r="CB147" s="20">
        <f t="shared" si="118"/>
        <v>340.72731782352429</v>
      </c>
      <c r="CC147" s="59">
        <f t="shared" si="119"/>
        <v>626.68518720481711</v>
      </c>
      <c r="CD147" s="59">
        <f ca="1">AVERAGE(OFFSET($CC$3,0,0,'Données projet'!$E$12+1,1))-AVERAGE(OFFSET($H$3,0,0,'Données projet'!$E$12+1,1))</f>
        <v>256.23994291192162</v>
      </c>
      <c r="CE147" s="59">
        <f t="shared" si="148"/>
        <v>207.9118653708222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1.1704558243183285</v>
      </c>
      <c r="CL147" s="21">
        <f>EXP(-LN(2)/25)*CL146+(1-EXP(-LN(2)/25))/(LN(2)/25)*Calculateur!CG147*Calculateur!CI147*VLOOKUP('Données projet'!$B$12,Paramètres!$A$1:$I$89,3,0)*0.475*44/12</f>
        <v>2.1925799758732789</v>
      </c>
      <c r="CM147" s="21">
        <f>EXP(-LN(2)/2)*CM146+(1-EXP(-LN(2)/2))/(LN(2)/2)*CG147*CJ147*VLOOKUP('Données projet'!$B$12,Paramètres!$A$1:$I$89,3,0)*0.475*44/12</f>
        <v>1.3939692162625871E-8</v>
      </c>
      <c r="CN147" s="22">
        <f t="shared" si="120"/>
        <v>3.3630358141312993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170.99999999999991</v>
      </c>
      <c r="CU147" s="17">
        <f>CT147*VLOOKUP('Données projet'!$B$13,Paramètres!$A$1:$I$89,3,0)*VLOOKUP('Données projet'!$B$13,Paramètres!$A$1:$I$89,5,0)</f>
        <v>98.701199999999957</v>
      </c>
      <c r="CV147" s="13">
        <f t="shared" si="149"/>
        <v>26.652341328097943</v>
      </c>
      <c r="CW147" s="20">
        <f t="shared" si="121"/>
        <v>218.32408447977051</v>
      </c>
      <c r="CX147" s="59">
        <f t="shared" si="122"/>
        <v>504.28195386106336</v>
      </c>
      <c r="CY147" s="59">
        <f ca="1">AVERAGE(OFFSET($CX$3,0,0,'Données projet'!$E$13+1,1))-AVERAGE(OFFSET($H$3,0,0,'Données projet'!$E$13+1,1))</f>
        <v>205.74526926885287</v>
      </c>
      <c r="CZ147" s="59">
        <f t="shared" si="150"/>
        <v>201.56217137928999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0.30635170699921715</v>
      </c>
      <c r="DG147" s="21">
        <f>EXP(-LN(2)/25)*DG146+(1-EXP(-LN(2)/25))/(LN(2)/25)*Calculateur!DB147*Calculateur!DD147*VLOOKUP('Données projet'!$B$13,Paramètres!$A$1:$I$89,3,0)*0.475*44/12</f>
        <v>1.6587006978198193</v>
      </c>
      <c r="DH147" s="21">
        <f>EXP(-LN(2)/2)*DH146+(1-EXP(-LN(2)/2))/(LN(2)/2)*DB147*DE147*VLOOKUP('Données projet'!$B$13,Paramètres!$A$1:$I$89,3,0)*0.475*44/12</f>
        <v>1.6583004657254863E-8</v>
      </c>
      <c r="DI147" s="22">
        <f t="shared" si="123"/>
        <v>1.9650524214020413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5.1063034188034209</v>
      </c>
      <c r="DO147" s="12">
        <f>IF('Données projet'!$A$166&gt;35,DO146+DN147-DW146,IF(A147&lt;'Données projet'!$A$166,$DL$205^A147,IF(A147='Données projet'!$A$166,'Données projet'!$B$166,DO146+DN147-DW146)))</f>
        <v>277.65438034187991</v>
      </c>
      <c r="DP147" s="17">
        <f>DO147*VLOOKUP('Données projet'!$B$14,Paramètres!$A$1:$I$89,3,0)*VLOOKUP('Données projet'!$B$14,Paramètres!$A$1:$I$89,5,0)</f>
        <v>264.21590833333295</v>
      </c>
      <c r="DQ147" s="13">
        <f t="shared" si="151"/>
        <v>63.620196238078719</v>
      </c>
      <c r="DR147" s="20">
        <f t="shared" si="124"/>
        <v>570.98121546187531</v>
      </c>
      <c r="DS147" s="59">
        <f t="shared" si="125"/>
        <v>856.93908484316819</v>
      </c>
      <c r="DT147" s="59">
        <f ca="1">AVERAGE(OFFSET($DS$3,0,0,'Données projet'!$E$14+1,1))-AVERAGE(OFFSET($H$3,0,0,'Données projet'!$E$14+1,1))</f>
        <v>403.89478276355294</v>
      </c>
      <c r="DU147" s="59">
        <f t="shared" si="152"/>
        <v>241.1593989733278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44.891697471774499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44.891697471774499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5.1063034188034209</v>
      </c>
      <c r="N148" s="13">
        <f>IF('Données projet'!$A$36&gt;35,N147+M148-V147,IF(A148&lt;'Données projet'!$A$36,$K$205^A148,IF(A148='Données projet'!$A$36,'Données projet'!$B$36,N147+M148-V147)))</f>
        <v>282.76068376068332</v>
      </c>
      <c r="O148" s="13">
        <f>N148*VLOOKUP('Données projet'!$B$9,Paramètres!$A$1:$I$89,3,0)*VLOOKUP('Données projet'!$B$9,Paramètres!$A$1:$I$89,5,0)</f>
        <v>255.84186666666628</v>
      </c>
      <c r="P148" s="13">
        <f t="shared" si="141"/>
        <v>61.83520201654526</v>
      </c>
      <c r="Q148" s="20">
        <f t="shared" si="108"/>
        <v>553.28756128992666</v>
      </c>
      <c r="R148" s="59">
        <f t="shared" si="109"/>
        <v>839.37337848172024</v>
      </c>
      <c r="S148" s="59">
        <f ca="1">AVERAGE(OFFSET($R$3,0,0,'Données projet'!$E$9+1,1))-AVERAGE(OFFSET($H$3,0,0,'Données projet'!$E$9+1,1))</f>
        <v>388.1278150896951</v>
      </c>
      <c r="T148" s="59">
        <f t="shared" si="142"/>
        <v>232.26614607059227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41.846903649244545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41.846903649244545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5.1063034188034209</v>
      </c>
      <c r="AI148" s="13">
        <f>IF('Données projet'!$A$62&gt;35,AI147+AH148-AQ147,IF(A148&lt;'Données projet'!$A$62,$AF$205^A148,IF(A148='Données projet'!$A$62,'Données projet'!$B$62,AI147+AH148-AQ147)))</f>
        <v>282.76068376068332</v>
      </c>
      <c r="AJ148" s="13">
        <f>AI148*VLOOKUP('Données projet'!$B$10,Paramètres!$A$1:$I$89,3,0)*VLOOKUP('Données projet'!$B$10,Paramètres!$A$1:$I$89,5,0)</f>
        <v>286.71933333333288</v>
      </c>
      <c r="AK148" s="13">
        <f t="shared" si="143"/>
        <v>68.38503141894958</v>
      </c>
      <c r="AL148" s="20">
        <f t="shared" si="112"/>
        <v>618.47343527689191</v>
      </c>
      <c r="AM148" s="59">
        <f t="shared" si="113"/>
        <v>904.55925246868549</v>
      </c>
      <c r="AN148" s="59">
        <f ca="1">AVERAGE(OFFSET($AM$3,0,0,'Données projet'!$E$10+1,1))-AVERAGE(OFFSET($H$3,0,0,'Données projet'!$E$10+1,1))</f>
        <v>424.89201140676084</v>
      </c>
      <c r="AO148" s="59">
        <f t="shared" si="144"/>
        <v>253.0016648946303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46.897392020705119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46.897392020705119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155.99999999999991</v>
      </c>
      <c r="BE148" s="13">
        <f>BD148*VLOOKUP('Données projet'!$B$11,Paramètres!$A$1:$I$89,3,0)*VLOOKUP('Données projet'!$B$11,Paramètres!$A$1:$I$89,5,0)</f>
        <v>136.28159999999994</v>
      </c>
      <c r="BF148" s="13">
        <f t="shared" si="145"/>
        <v>35.443842312892279</v>
      </c>
      <c r="BG148" s="20">
        <f t="shared" si="115"/>
        <v>299.08847869495395</v>
      </c>
      <c r="BH148" s="59">
        <f t="shared" si="116"/>
        <v>585.17429588674759</v>
      </c>
      <c r="BI148" s="59">
        <f ca="1">AVERAGE(OFFSET($BH$3,0,0,'Données projet'!$E$11+1,1))-AVERAGE(OFFSET($H$3,0,0,'Données projet'!$E$11+1,1))</f>
        <v>218.97952644043698</v>
      </c>
      <c r="BJ148" s="59">
        <f t="shared" si="146"/>
        <v>204.10961748628714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0.49079397818503617</v>
      </c>
      <c r="BQ148" s="21">
        <f>EXP(-LN(2)/25)*BQ147+(1-EXP(-LN(2)/25))/(LN(2)/25)*Calculateur!BL148*Calculateur!BN148*VLOOKUP('Données projet'!$B$11,Paramètres!$A$1:$I$89,3,0)*0.475*44/12</f>
        <v>0.82611651321646584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1.316910491401502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191.99999999999977</v>
      </c>
      <c r="BZ148" s="13">
        <f>BY148*VLOOKUP('Données projet'!$B$12,Paramètres!$A$1:$I$89,3,0)*VLOOKUP('Données projet'!$B$12,Paramètres!$A$1:$I$89,5,0)</f>
        <v>155.75039999999984</v>
      </c>
      <c r="CA148" s="13">
        <f t="shared" si="147"/>
        <v>39.882509755133718</v>
      </c>
      <c r="CB148" s="20">
        <f t="shared" si="118"/>
        <v>340.72731782352429</v>
      </c>
      <c r="CC148" s="59">
        <f t="shared" si="119"/>
        <v>626.81313501531781</v>
      </c>
      <c r="CD148" s="59">
        <f ca="1">AVERAGE(OFFSET($CC$3,0,0,'Données projet'!$E$12+1,1))-AVERAGE(OFFSET($H$3,0,0,'Données projet'!$E$12+1,1))</f>
        <v>256.23994291192162</v>
      </c>
      <c r="CE148" s="59">
        <f t="shared" si="148"/>
        <v>207.9118653708222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1.1475038995110065</v>
      </c>
      <c r="CL148" s="21">
        <f>EXP(-LN(2)/25)*CL147+(1-EXP(-LN(2)/25))/(LN(2)/25)*Calculateur!CG148*Calculateur!CI148*VLOOKUP('Données projet'!$B$12,Paramètres!$A$1:$I$89,3,0)*0.475*44/12</f>
        <v>2.1326237611302545</v>
      </c>
      <c r="CM148" s="21">
        <f>EXP(-LN(2)/2)*CM147+(1-EXP(-LN(2)/2))/(LN(2)/2)*CG148*CJ148*VLOOKUP('Données projet'!$B$12,Paramètres!$A$1:$I$89,3,0)*0.475*44/12</f>
        <v>9.8568508558457232E-9</v>
      </c>
      <c r="CN148" s="22">
        <f t="shared" si="120"/>
        <v>3.2801276704981119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170.99999999999991</v>
      </c>
      <c r="CU148" s="17">
        <f>CT148*VLOOKUP('Données projet'!$B$13,Paramètres!$A$1:$I$89,3,0)*VLOOKUP('Données projet'!$B$13,Paramètres!$A$1:$I$89,5,0)</f>
        <v>98.701199999999957</v>
      </c>
      <c r="CV148" s="13">
        <f t="shared" si="149"/>
        <v>26.652341328097943</v>
      </c>
      <c r="CW148" s="20">
        <f t="shared" si="121"/>
        <v>218.32408447977051</v>
      </c>
      <c r="CX148" s="59">
        <f t="shared" si="122"/>
        <v>504.40990167156406</v>
      </c>
      <c r="CY148" s="59">
        <f ca="1">AVERAGE(OFFSET($CX$3,0,0,'Données projet'!$E$13+1,1))-AVERAGE(OFFSET($H$3,0,0,'Données projet'!$E$13+1,1))</f>
        <v>205.74526926885287</v>
      </c>
      <c r="CZ148" s="59">
        <f t="shared" si="150"/>
        <v>201.56217137928999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0.30034433688105328</v>
      </c>
      <c r="DG148" s="21">
        <f>EXP(-LN(2)/25)*DG147+(1-EXP(-LN(2)/25))/(LN(2)/25)*Calculateur!DB148*Calculateur!DD148*VLOOKUP('Données projet'!$B$13,Paramètres!$A$1:$I$89,3,0)*0.475*44/12</f>
        <v>1.6133434400106577</v>
      </c>
      <c r="DH148" s="21">
        <f>EXP(-LN(2)/2)*DH147+(1-EXP(-LN(2)/2))/(LN(2)/2)*DB148*DE148*VLOOKUP('Données projet'!$B$13,Paramètres!$A$1:$I$89,3,0)*0.475*44/12</f>
        <v>1.1725955045593013E-8</v>
      </c>
      <c r="DI148" s="22">
        <f t="shared" si="123"/>
        <v>1.913687788617666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5.1063034188034209</v>
      </c>
      <c r="DO148" s="12">
        <f>IF('Données projet'!$A$166&gt;35,DO147+DN148-DW147,IF(A148&lt;'Données projet'!$A$166,$DL$205^A148,IF(A148='Données projet'!$A$166,'Données projet'!$B$166,DO147+DN148-DW147)))</f>
        <v>282.76068376068332</v>
      </c>
      <c r="DP148" s="17">
        <f>DO148*VLOOKUP('Données projet'!$B$14,Paramètres!$A$1:$I$89,3,0)*VLOOKUP('Données projet'!$B$14,Paramètres!$A$1:$I$89,5,0)</f>
        <v>269.07506666666626</v>
      </c>
      <c r="DQ148" s="13">
        <f t="shared" si="151"/>
        <v>64.652935904711711</v>
      </c>
      <c r="DR148" s="20">
        <f t="shared" si="124"/>
        <v>581.24293781181666</v>
      </c>
      <c r="DS148" s="59">
        <f t="shared" si="125"/>
        <v>867.32875500361024</v>
      </c>
      <c r="DT148" s="59">
        <f ca="1">AVERAGE(OFFSET($DS$3,0,0,'Données projet'!$E$14+1,1))-AVERAGE(OFFSET($H$3,0,0,'Données projet'!$E$14+1,1))</f>
        <v>403.89478276355294</v>
      </c>
      <c r="DU148" s="59">
        <f t="shared" si="152"/>
        <v>241.1593989733278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44.011398665584785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44.011398665584785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5.1063034188034209</v>
      </c>
      <c r="N149" s="13">
        <f>IF('Données projet'!$A$36&gt;35,N148+M149-V148,IF(A149&lt;'Données projet'!$A$36,$K$205^A149,IF(A149='Données projet'!$A$36,'Données projet'!$B$36,N148+M149-V148)))</f>
        <v>287.86698717948673</v>
      </c>
      <c r="O149" s="13">
        <f>N149*VLOOKUP('Données projet'!$B$9,Paramètres!$A$1:$I$89,3,0)*VLOOKUP('Données projet'!$B$9,Paramètres!$A$1:$I$89,5,0)</f>
        <v>260.46204999999958</v>
      </c>
      <c r="P149" s="13">
        <f t="shared" si="141"/>
        <v>62.820858164354384</v>
      </c>
      <c r="Q149" s="20">
        <f t="shared" si="108"/>
        <v>563.05106505291644</v>
      </c>
      <c r="R149" s="59">
        <f t="shared" si="109"/>
        <v>849.26261044674709</v>
      </c>
      <c r="S149" s="59">
        <f ca="1">AVERAGE(OFFSET($R$3,0,0,'Données projet'!$E$9+1,1))-AVERAGE(OFFSET($H$3,0,0,'Données projet'!$E$9+1,1))</f>
        <v>388.1278150896951</v>
      </c>
      <c r="T149" s="59">
        <f t="shared" si="142"/>
        <v>232.26614607059227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41.026311392773792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41.026311392773792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5.1063034188034209</v>
      </c>
      <c r="AI149" s="13">
        <f>IF('Données projet'!$A$62&gt;35,AI148+AH149-AQ148,IF(A149&lt;'Données projet'!$A$62,$AF$205^A149,IF(A149='Données projet'!$A$62,'Données projet'!$B$62,AI148+AH149-AQ148)))</f>
        <v>287.86698717948673</v>
      </c>
      <c r="AJ149" s="13">
        <f>AI149*VLOOKUP('Données projet'!$B$10,Paramètres!$A$1:$I$89,3,0)*VLOOKUP('Données projet'!$B$10,Paramètres!$A$1:$I$89,5,0)</f>
        <v>291.89712499999956</v>
      </c>
      <c r="AK149" s="13">
        <f t="shared" si="143"/>
        <v>69.47509216813539</v>
      </c>
      <c r="AL149" s="20">
        <f t="shared" si="112"/>
        <v>629.38994490116841</v>
      </c>
      <c r="AM149" s="59">
        <f t="shared" si="113"/>
        <v>915.60149029499905</v>
      </c>
      <c r="AN149" s="59">
        <f ca="1">AVERAGE(OFFSET($AM$3,0,0,'Données projet'!$E$10+1,1))-AVERAGE(OFFSET($H$3,0,0,'Données projet'!$E$10+1,1))</f>
        <v>424.89201140676084</v>
      </c>
      <c r="AO149" s="59">
        <f t="shared" si="144"/>
        <v>253.0016648946303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45.977762767763757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45.977762767763757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155.99999999999991</v>
      </c>
      <c r="BE149" s="13">
        <f>BD149*VLOOKUP('Données projet'!$B$11,Paramètres!$A$1:$I$89,3,0)*VLOOKUP('Données projet'!$B$11,Paramètres!$A$1:$I$89,5,0)</f>
        <v>136.28159999999994</v>
      </c>
      <c r="BF149" s="13">
        <f t="shared" si="145"/>
        <v>35.443842312892279</v>
      </c>
      <c r="BG149" s="20">
        <f t="shared" si="115"/>
        <v>299.08847869495395</v>
      </c>
      <c r="BH149" s="59">
        <f t="shared" si="116"/>
        <v>585.30002408878454</v>
      </c>
      <c r="BI149" s="59">
        <f ca="1">AVERAGE(OFFSET($BH$3,0,0,'Données projet'!$E$11+1,1))-AVERAGE(OFFSET($H$3,0,0,'Données projet'!$E$11+1,1))</f>
        <v>218.97952644043698</v>
      </c>
      <c r="BJ149" s="59">
        <f t="shared" si="146"/>
        <v>204.10961748628714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0.48116980762759548</v>
      </c>
      <c r="BQ149" s="21">
        <f>EXP(-LN(2)/25)*BQ148+(1-EXP(-LN(2)/25))/(LN(2)/25)*Calculateur!BL149*Calculateur!BN149*VLOOKUP('Données projet'!$B$11,Paramètres!$A$1:$I$89,3,0)*0.475*44/12</f>
        <v>0.80352631371898231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1.2846961213465777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191.99999999999977</v>
      </c>
      <c r="BZ149" s="13">
        <f>BY149*VLOOKUP('Données projet'!$B$12,Paramètres!$A$1:$I$89,3,0)*VLOOKUP('Données projet'!$B$12,Paramètres!$A$1:$I$89,5,0)</f>
        <v>155.75039999999984</v>
      </c>
      <c r="CA149" s="13">
        <f t="shared" si="147"/>
        <v>39.882509755133718</v>
      </c>
      <c r="CB149" s="20">
        <f t="shared" si="118"/>
        <v>340.72731782352429</v>
      </c>
      <c r="CC149" s="59">
        <f t="shared" si="119"/>
        <v>626.93886321735499</v>
      </c>
      <c r="CD149" s="59">
        <f ca="1">AVERAGE(OFFSET($CC$3,0,0,'Données projet'!$E$12+1,1))-AVERAGE(OFFSET($H$3,0,0,'Données projet'!$E$12+1,1))</f>
        <v>256.23994291192162</v>
      </c>
      <c r="CE149" s="59">
        <f t="shared" si="148"/>
        <v>207.9118653708222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1.1250020479498641</v>
      </c>
      <c r="CL149" s="21">
        <f>EXP(-LN(2)/25)*CL148+(1-EXP(-LN(2)/25))/(LN(2)/25)*Calculateur!CG149*Calculateur!CI149*VLOOKUP('Données projet'!$B$12,Paramètres!$A$1:$I$89,3,0)*0.475*44/12</f>
        <v>2.0743070522323381</v>
      </c>
      <c r="CM149" s="21">
        <f>EXP(-LN(2)/2)*CM148+(1-EXP(-LN(2)/2))/(LN(2)/2)*CG149*CJ149*VLOOKUP('Données projet'!$B$12,Paramètres!$A$1:$I$89,3,0)*0.475*44/12</f>
        <v>6.9698460813129356E-9</v>
      </c>
      <c r="CN149" s="22">
        <f t="shared" si="120"/>
        <v>3.1993091071520485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170.99999999999991</v>
      </c>
      <c r="CU149" s="17">
        <f>CT149*VLOOKUP('Données projet'!$B$13,Paramètres!$A$1:$I$89,3,0)*VLOOKUP('Données projet'!$B$13,Paramètres!$A$1:$I$89,5,0)</f>
        <v>98.701199999999957</v>
      </c>
      <c r="CV149" s="13">
        <f t="shared" si="149"/>
        <v>26.652341328097943</v>
      </c>
      <c r="CW149" s="20">
        <f t="shared" si="121"/>
        <v>218.32408447977051</v>
      </c>
      <c r="CX149" s="59">
        <f t="shared" si="122"/>
        <v>504.53562987360112</v>
      </c>
      <c r="CY149" s="59">
        <f ca="1">AVERAGE(OFFSET($CX$3,0,0,'Données projet'!$E$13+1,1))-AVERAGE(OFFSET($H$3,0,0,'Données projet'!$E$13+1,1))</f>
        <v>205.74526926885287</v>
      </c>
      <c r="CZ149" s="59">
        <f t="shared" si="150"/>
        <v>201.56217137928999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0.29445476762677264</v>
      </c>
      <c r="DG149" s="21">
        <f>EXP(-LN(2)/25)*DG148+(1-EXP(-LN(2)/25))/(LN(2)/25)*Calculateur!DB149*Calculateur!DD149*VLOOKUP('Données projet'!$B$13,Paramètres!$A$1:$I$89,3,0)*0.475*44/12</f>
        <v>1.569226478801522</v>
      </c>
      <c r="DH149" s="21">
        <f>EXP(-LN(2)/2)*DH148+(1-EXP(-LN(2)/2))/(LN(2)/2)*DB149*DE149*VLOOKUP('Données projet'!$B$13,Paramètres!$A$1:$I$89,3,0)*0.475*44/12</f>
        <v>8.2915023286274315E-9</v>
      </c>
      <c r="DI149" s="22">
        <f t="shared" si="123"/>
        <v>1.863681254719797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5.1063034188034209</v>
      </c>
      <c r="DO149" s="12">
        <f>IF('Données projet'!$A$166&gt;35,DO148+DN149-DW148,IF(A149&lt;'Données projet'!$A$166,$DL$205^A149,IF(A149='Données projet'!$A$166,'Données projet'!$B$166,DO148+DN149-DW148)))</f>
        <v>287.86698717948673</v>
      </c>
      <c r="DP149" s="17">
        <f>DO149*VLOOKUP('Données projet'!$B$14,Paramètres!$A$1:$I$89,3,0)*VLOOKUP('Données projet'!$B$14,Paramètres!$A$1:$I$89,5,0)</f>
        <v>273.93422499999957</v>
      </c>
      <c r="DQ149" s="13">
        <f t="shared" si="151"/>
        <v>65.683506868664253</v>
      </c>
      <c r="DR149" s="20">
        <f t="shared" si="124"/>
        <v>591.50088300458958</v>
      </c>
      <c r="DS149" s="59">
        <f t="shared" si="125"/>
        <v>877.71242839842023</v>
      </c>
      <c r="DT149" s="59">
        <f ca="1">AVERAGE(OFFSET($DS$3,0,0,'Données projet'!$E$14+1,1))-AVERAGE(OFFSET($H$3,0,0,'Données projet'!$E$14+1,1))</f>
        <v>403.89478276355294</v>
      </c>
      <c r="DU149" s="59">
        <f t="shared" si="152"/>
        <v>241.1593989733278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43.148361982055199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43.148361982055199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5.1063034188034209</v>
      </c>
      <c r="N150" s="13">
        <f>IF('Données projet'!$A$36&gt;35,N149+M150-V149,IF(A150&lt;'Données projet'!$A$36,$K$205^A150,IF(A150='Données projet'!$A$36,'Données projet'!$B$36,N149+M150-V149)))</f>
        <v>292.97329059829013</v>
      </c>
      <c r="O150" s="13">
        <f>N150*VLOOKUP('Données projet'!$B$9,Paramètres!$A$1:$I$89,3,0)*VLOOKUP('Données projet'!$B$9,Paramètres!$A$1:$I$89,5,0)</f>
        <v>265.08223333333291</v>
      </c>
      <c r="P150" s="13">
        <f t="shared" si="141"/>
        <v>63.804481164271408</v>
      </c>
      <c r="Q150" s="20">
        <f t="shared" si="108"/>
        <v>572.8110277499942</v>
      </c>
      <c r="R150" s="59">
        <f t="shared" si="109"/>
        <v>859.14612024264261</v>
      </c>
      <c r="S150" s="59">
        <f ca="1">AVERAGE(OFFSET($R$3,0,0,'Données projet'!$E$9+1,1))-AVERAGE(OFFSET($H$3,0,0,'Données projet'!$E$9+1,1))</f>
        <v>388.1278150896951</v>
      </c>
      <c r="T150" s="59">
        <f t="shared" si="142"/>
        <v>232.26614607059227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40.221810449940577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40.221810449940577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5.1063034188034209</v>
      </c>
      <c r="AI150" s="13">
        <f>IF('Données projet'!$A$62&gt;35,AI149+AH150-AQ149,IF(A150&lt;'Données projet'!$A$62,$AF$205^A150,IF(A150='Données projet'!$A$62,'Données projet'!$B$62,AI149+AH150-AQ149)))</f>
        <v>292.97329059829013</v>
      </c>
      <c r="AJ150" s="13">
        <f>AI150*VLOOKUP('Données projet'!$B$10,Paramètres!$A$1:$I$89,3,0)*VLOOKUP('Données projet'!$B$10,Paramètres!$A$1:$I$89,5,0)</f>
        <v>297.07491666666618</v>
      </c>
      <c r="AK150" s="13">
        <f t="shared" si="143"/>
        <v>70.562904410355046</v>
      </c>
      <c r="AL150" s="20">
        <f t="shared" si="112"/>
        <v>640.30253837581188</v>
      </c>
      <c r="AM150" s="59">
        <f t="shared" si="113"/>
        <v>926.63763086846029</v>
      </c>
      <c r="AN150" s="59">
        <f ca="1">AVERAGE(OFFSET($AM$3,0,0,'Données projet'!$E$10+1,1))-AVERAGE(OFFSET($H$3,0,0,'Données projet'!$E$10+1,1))</f>
        <v>424.89201140676084</v>
      </c>
      <c r="AO150" s="59">
        <f t="shared" si="144"/>
        <v>253.0016648946303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45.076166883554116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45.076166883554116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155.99999999999991</v>
      </c>
      <c r="BE150" s="13">
        <f>BD150*VLOOKUP('Données projet'!$B$11,Paramètres!$A$1:$I$89,3,0)*VLOOKUP('Données projet'!$B$11,Paramètres!$A$1:$I$89,5,0)</f>
        <v>136.28159999999994</v>
      </c>
      <c r="BF150" s="13">
        <f t="shared" si="145"/>
        <v>35.443842312892279</v>
      </c>
      <c r="BG150" s="20">
        <f t="shared" si="115"/>
        <v>299.08847869495395</v>
      </c>
      <c r="BH150" s="59">
        <f t="shared" si="116"/>
        <v>585.42357118760242</v>
      </c>
      <c r="BI150" s="59">
        <f ca="1">AVERAGE(OFFSET($BH$3,0,0,'Données projet'!$E$11+1,1))-AVERAGE(OFFSET($H$3,0,0,'Données projet'!$E$11+1,1))</f>
        <v>218.97952644043698</v>
      </c>
      <c r="BJ150" s="59">
        <f t="shared" si="146"/>
        <v>204.10961748628714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0.47173436118462181</v>
      </c>
      <c r="BQ150" s="21">
        <f>EXP(-LN(2)/25)*BQ149+(1-EXP(-LN(2)/25))/(LN(2)/25)*Calculateur!BL150*Calculateur!BN150*VLOOKUP('Données projet'!$B$11,Paramètres!$A$1:$I$89,3,0)*0.475*44/12</f>
        <v>0.78155384441472442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1.2532882055993462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191.99999999999977</v>
      </c>
      <c r="BZ150" s="13">
        <f>BY150*VLOOKUP('Données projet'!$B$12,Paramètres!$A$1:$I$89,3,0)*VLOOKUP('Données projet'!$B$12,Paramètres!$A$1:$I$89,5,0)</f>
        <v>155.75039999999984</v>
      </c>
      <c r="CA150" s="13">
        <f t="shared" si="147"/>
        <v>39.882509755133718</v>
      </c>
      <c r="CB150" s="20">
        <f t="shared" si="118"/>
        <v>340.72731782352429</v>
      </c>
      <c r="CC150" s="59">
        <f t="shared" si="119"/>
        <v>627.06241031617265</v>
      </c>
      <c r="CD150" s="59">
        <f ca="1">AVERAGE(OFFSET($CC$3,0,0,'Données projet'!$E$12+1,1))-AVERAGE(OFFSET($H$3,0,0,'Données projet'!$E$12+1,1))</f>
        <v>256.23994291192162</v>
      </c>
      <c r="CE150" s="59">
        <f t="shared" si="148"/>
        <v>207.9118653708222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1.1029414439730616</v>
      </c>
      <c r="CL150" s="21">
        <f>EXP(-LN(2)/25)*CL149+(1-EXP(-LN(2)/25))/(LN(2)/25)*Calculateur!CG150*Calculateur!CI150*VLOOKUP('Données projet'!$B$12,Paramètres!$A$1:$I$89,3,0)*0.475*44/12</f>
        <v>2.0175850168059779</v>
      </c>
      <c r="CM150" s="21">
        <f>EXP(-LN(2)/2)*CM149+(1-EXP(-LN(2)/2))/(LN(2)/2)*CG150*CJ150*VLOOKUP('Données projet'!$B$12,Paramètres!$A$1:$I$89,3,0)*0.475*44/12</f>
        <v>4.9284254279228616E-9</v>
      </c>
      <c r="CN150" s="22">
        <f t="shared" si="120"/>
        <v>3.1205264657074649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170.99999999999991</v>
      </c>
      <c r="CU150" s="17">
        <f>CT150*VLOOKUP('Données projet'!$B$13,Paramètres!$A$1:$I$89,3,0)*VLOOKUP('Données projet'!$B$13,Paramètres!$A$1:$I$89,5,0)</f>
        <v>98.701199999999957</v>
      </c>
      <c r="CV150" s="13">
        <f t="shared" si="149"/>
        <v>26.652341328097943</v>
      </c>
      <c r="CW150" s="20">
        <f t="shared" si="121"/>
        <v>218.32408447977051</v>
      </c>
      <c r="CX150" s="59">
        <f t="shared" si="122"/>
        <v>504.65917697241889</v>
      </c>
      <c r="CY150" s="59">
        <f ca="1">AVERAGE(OFFSET($CX$3,0,0,'Données projet'!$E$13+1,1))-AVERAGE(OFFSET($H$3,0,0,'Données projet'!$E$13+1,1))</f>
        <v>205.74526926885287</v>
      </c>
      <c r="CZ150" s="59">
        <f t="shared" si="150"/>
        <v>201.56217137928999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0.28868068923328588</v>
      </c>
      <c r="DG150" s="21">
        <f>EXP(-LN(2)/25)*DG149+(1-EXP(-LN(2)/25))/(LN(2)/25)*Calculateur!DB150*Calculateur!DD150*VLOOKUP('Données projet'!$B$13,Paramètres!$A$1:$I$89,3,0)*0.475*44/12</f>
        <v>1.5263158982166605</v>
      </c>
      <c r="DH150" s="21">
        <f>EXP(-LN(2)/2)*DH149+(1-EXP(-LN(2)/2))/(LN(2)/2)*DB150*DE150*VLOOKUP('Données projet'!$B$13,Paramètres!$A$1:$I$89,3,0)*0.475*44/12</f>
        <v>5.8629775227965066E-9</v>
      </c>
      <c r="DI150" s="22">
        <f t="shared" si="123"/>
        <v>1.8149965933129237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5.1063034188034209</v>
      </c>
      <c r="DO150" s="12">
        <f>IF('Données projet'!$A$166&gt;35,DO149+DN150-DW149,IF(A150&lt;'Données projet'!$A$166,$DL$205^A150,IF(A150='Données projet'!$A$166,'Données projet'!$B$166,DO149+DN150-DW149)))</f>
        <v>292.97329059829013</v>
      </c>
      <c r="DP150" s="17">
        <f>DO150*VLOOKUP('Données projet'!$B$14,Paramètres!$A$1:$I$89,3,0)*VLOOKUP('Données projet'!$B$14,Paramètres!$A$1:$I$89,5,0)</f>
        <v>278.79338333333288</v>
      </c>
      <c r="DQ150" s="13">
        <f t="shared" si="151"/>
        <v>66.711952037340495</v>
      </c>
      <c r="DR150" s="20">
        <f t="shared" si="124"/>
        <v>601.75512577058942</v>
      </c>
      <c r="DS150" s="59">
        <f t="shared" si="125"/>
        <v>888.09021826323783</v>
      </c>
      <c r="DT150" s="59">
        <f ca="1">AVERAGE(OFFSET($DS$3,0,0,'Données projet'!$E$14+1,1))-AVERAGE(OFFSET($H$3,0,0,'Données projet'!$E$14+1,1))</f>
        <v>403.89478276355294</v>
      </c>
      <c r="DU150" s="59">
        <f t="shared" si="152"/>
        <v>241.1593989733278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42.30224892148923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42.30224892148923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5.1063034188034209</v>
      </c>
      <c r="N151" s="13">
        <f>IF('Données projet'!$A$36&gt;35,N150+M151-V150,IF(A151&lt;'Données projet'!$A$36,$K$205^A151,IF(A151='Données projet'!$A$36,'Données projet'!$B$36,N150+M151-V150)))</f>
        <v>298.07959401709354</v>
      </c>
      <c r="O151" s="13">
        <f>N151*VLOOKUP('Données projet'!$B$9,Paramètres!$A$1:$I$89,3,0)*VLOOKUP('Données projet'!$B$9,Paramètres!$A$1:$I$89,5,0)</f>
        <v>269.70241666666624</v>
      </c>
      <c r="P151" s="13">
        <f t="shared" si="141"/>
        <v>64.786110541238813</v>
      </c>
      <c r="Q151" s="20">
        <f t="shared" si="108"/>
        <v>582.56751822043464</v>
      </c>
      <c r="R151" s="59">
        <f t="shared" si="109"/>
        <v>869.02401454594633</v>
      </c>
      <c r="S151" s="59">
        <f ca="1">AVERAGE(OFFSET($R$3,0,0,'Données projet'!$E$9+1,1))-AVERAGE(OFFSET($H$3,0,0,'Données projet'!$E$9+1,1))</f>
        <v>388.1278150896951</v>
      </c>
      <c r="T151" s="59">
        <f t="shared" si="142"/>
        <v>232.26614607059227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39.433085279899196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39.433085279899196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5.1063034188034209</v>
      </c>
      <c r="AI151" s="13">
        <f>IF('Données projet'!$A$62&gt;35,AI150+AH151-AQ150,IF(A151&lt;'Données projet'!$A$62,$AF$205^A151,IF(A151='Données projet'!$A$62,'Données projet'!$B$62,AI150+AH151-AQ150)))</f>
        <v>298.07959401709354</v>
      </c>
      <c r="AJ151" s="13">
        <f>AI151*VLOOKUP('Données projet'!$B$10,Paramètres!$A$1:$I$89,3,0)*VLOOKUP('Données projet'!$B$10,Paramètres!$A$1:$I$89,5,0)</f>
        <v>302.25270833333286</v>
      </c>
      <c r="AK151" s="13">
        <f t="shared" si="143"/>
        <v>71.648511857189575</v>
      </c>
      <c r="AL151" s="20">
        <f t="shared" si="112"/>
        <v>651.21129183182666</v>
      </c>
      <c r="AM151" s="59">
        <f t="shared" si="113"/>
        <v>937.66778815733835</v>
      </c>
      <c r="AN151" s="59">
        <f ca="1">AVERAGE(OFFSET($AM$3,0,0,'Données projet'!$E$10+1,1))-AVERAGE(OFFSET($H$3,0,0,'Données projet'!$E$10+1,1))</f>
        <v>424.89201140676084</v>
      </c>
      <c r="AO151" s="59">
        <f t="shared" si="144"/>
        <v>253.0016648946303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44.192250744714634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44.192250744714634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155.99999999999991</v>
      </c>
      <c r="BE151" s="13">
        <f>BD151*VLOOKUP('Données projet'!$B$11,Paramètres!$A$1:$I$89,3,0)*VLOOKUP('Données projet'!$B$11,Paramètres!$A$1:$I$89,5,0)</f>
        <v>136.28159999999994</v>
      </c>
      <c r="BF151" s="13">
        <f t="shared" si="145"/>
        <v>35.443842312892279</v>
      </c>
      <c r="BG151" s="20">
        <f t="shared" si="115"/>
        <v>299.08847869495395</v>
      </c>
      <c r="BH151" s="59">
        <f t="shared" si="116"/>
        <v>585.5449750204657</v>
      </c>
      <c r="BI151" s="59">
        <f ca="1">AVERAGE(OFFSET($BH$3,0,0,'Données projet'!$E$11+1,1))-AVERAGE(OFFSET($H$3,0,0,'Données projet'!$E$11+1,1))</f>
        <v>218.97952644043698</v>
      </c>
      <c r="BJ151" s="59">
        <f t="shared" si="146"/>
        <v>204.10961748628714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0.46248393809134075</v>
      </c>
      <c r="BQ151" s="21">
        <f>EXP(-LN(2)/25)*BQ150+(1-EXP(-LN(2)/25))/(LN(2)/25)*Calculateur!BL151*Calculateur!BN151*VLOOKUP('Données projet'!$B$11,Paramètres!$A$1:$I$89,3,0)*0.475*44/12</f>
        <v>0.76018221343907333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1.222666151530414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191.99999999999977</v>
      </c>
      <c r="BZ151" s="13">
        <f>BY151*VLOOKUP('Données projet'!$B$12,Paramètres!$A$1:$I$89,3,0)*VLOOKUP('Données projet'!$B$12,Paramètres!$A$1:$I$89,5,0)</f>
        <v>155.75039999999984</v>
      </c>
      <c r="CA151" s="13">
        <f t="shared" si="147"/>
        <v>39.882509755133718</v>
      </c>
      <c r="CB151" s="20">
        <f t="shared" si="118"/>
        <v>340.72731782352429</v>
      </c>
      <c r="CC151" s="59">
        <f t="shared" si="119"/>
        <v>627.18381414903592</v>
      </c>
      <c r="CD151" s="59">
        <f ca="1">AVERAGE(OFFSET($CC$3,0,0,'Données projet'!$E$12+1,1))-AVERAGE(OFFSET($H$3,0,0,'Données projet'!$E$12+1,1))</f>
        <v>256.23994291192162</v>
      </c>
      <c r="CE151" s="59">
        <f t="shared" si="148"/>
        <v>207.9118653708222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1.0813134349846043</v>
      </c>
      <c r="CL151" s="21">
        <f>EXP(-LN(2)/25)*CL150+(1-EXP(-LN(2)/25))/(LN(2)/25)*Calculateur!CG151*Calculateur!CI151*VLOOKUP('Données projet'!$B$12,Paramètres!$A$1:$I$89,3,0)*0.475*44/12</f>
        <v>1.9624140484212336</v>
      </c>
      <c r="CM151" s="21">
        <f>EXP(-LN(2)/2)*CM150+(1-EXP(-LN(2)/2))/(LN(2)/2)*CG151*CJ151*VLOOKUP('Données projet'!$B$12,Paramètres!$A$1:$I$89,3,0)*0.475*44/12</f>
        <v>3.4849230406564678E-9</v>
      </c>
      <c r="CN151" s="22">
        <f t="shared" si="120"/>
        <v>3.0437274868907607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170.99999999999991</v>
      </c>
      <c r="CU151" s="17">
        <f>CT151*VLOOKUP('Données projet'!$B$13,Paramètres!$A$1:$I$89,3,0)*VLOOKUP('Données projet'!$B$13,Paramètres!$A$1:$I$89,5,0)</f>
        <v>98.701199999999957</v>
      </c>
      <c r="CV151" s="13">
        <f t="shared" si="149"/>
        <v>26.652341328097943</v>
      </c>
      <c r="CW151" s="20">
        <f t="shared" si="121"/>
        <v>218.32408447977051</v>
      </c>
      <c r="CX151" s="59">
        <f t="shared" si="122"/>
        <v>504.78058080528217</v>
      </c>
      <c r="CY151" s="59">
        <f ca="1">AVERAGE(OFFSET($CX$3,0,0,'Données projet'!$E$13+1,1))-AVERAGE(OFFSET($H$3,0,0,'Données projet'!$E$13+1,1))</f>
        <v>205.74526926885287</v>
      </c>
      <c r="CZ151" s="59">
        <f t="shared" si="150"/>
        <v>201.56217137928999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0.28301983699525535</v>
      </c>
      <c r="DG151" s="21">
        <f>EXP(-LN(2)/25)*DG150+(1-EXP(-LN(2)/25))/(LN(2)/25)*Calculateur!DB151*Calculateur!DD151*VLOOKUP('Données projet'!$B$13,Paramètres!$A$1:$I$89,3,0)*0.475*44/12</f>
        <v>1.4845787097144612</v>
      </c>
      <c r="DH151" s="21">
        <f>EXP(-LN(2)/2)*DH150+(1-EXP(-LN(2)/2))/(LN(2)/2)*DB151*DE151*VLOOKUP('Données projet'!$B$13,Paramètres!$A$1:$I$89,3,0)*0.475*44/12</f>
        <v>4.1457511643137157E-9</v>
      </c>
      <c r="DI151" s="22">
        <f t="shared" si="123"/>
        <v>1.7675985508554677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5.1063034188034209</v>
      </c>
      <c r="DO151" s="12">
        <f>IF('Données projet'!$A$166&gt;35,DO150+DN151-DW150,IF(A151&lt;'Données projet'!$A$166,$DL$205^A151,IF(A151='Données projet'!$A$166,'Données projet'!$B$166,DO150+DN151-DW150)))</f>
        <v>298.07959401709354</v>
      </c>
      <c r="DP151" s="17">
        <f>DO151*VLOOKUP('Données projet'!$B$14,Paramètres!$A$1:$I$89,3,0)*VLOOKUP('Données projet'!$B$14,Paramètres!$A$1:$I$89,5,0)</f>
        <v>283.6525416666662</v>
      </c>
      <c r="DQ151" s="13">
        <f t="shared" si="151"/>
        <v>67.738312736773068</v>
      </c>
      <c r="DR151" s="20">
        <f t="shared" si="124"/>
        <v>612.00573808599006</v>
      </c>
      <c r="DS151" s="59">
        <f t="shared" si="125"/>
        <v>898.46223441150175</v>
      </c>
      <c r="DT151" s="59">
        <f ca="1">AVERAGE(OFFSET($DS$3,0,0,'Données projet'!$E$14+1,1))-AVERAGE(OFFSET($H$3,0,0,'Données projet'!$E$14+1,1))</f>
        <v>403.89478276355294</v>
      </c>
      <c r="DU151" s="59">
        <f t="shared" si="152"/>
        <v>241.1593989733278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41.472727621962953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41.472727621962953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>
        <f>VLOOKUP(A152,'Données projet'!$A$35:$I$55,2,0)</f>
        <v>303.18589743589746</v>
      </c>
      <c r="L152" s="12">
        <f>VLOOKUP(A152,'Données projet'!$A$35:$I$55,9,0)</f>
        <v>5.1063034188034209</v>
      </c>
      <c r="M152" s="12">
        <f t="array" ref="M152">INDEX(L:L,MIN(IF(ISNUMBER(L152:L348),ROW(L152:L348),"")))</f>
        <v>5.1063034188034209</v>
      </c>
      <c r="N152" s="13">
        <f>IF('Données projet'!$A$36&gt;35,N151+M152-V151,IF(A152&lt;'Données projet'!$A$36,$K$205^A152,IF(A152='Données projet'!$A$36,'Données projet'!$B$36,N151+M152-V151)))</f>
        <v>303.18589743589695</v>
      </c>
      <c r="O152" s="13">
        <f>N152*VLOOKUP('Données projet'!$B$9,Paramètres!$A$1:$I$89,3,0)*VLOOKUP('Données projet'!$B$9,Paramètres!$A$1:$I$89,5,0)</f>
        <v>274.32259999999957</v>
      </c>
      <c r="P152" s="13">
        <f t="shared" si="141"/>
        <v>65.765784388426695</v>
      </c>
      <c r="Q152" s="20">
        <f t="shared" si="108"/>
        <v>592.3206028098424</v>
      </c>
      <c r="R152" s="59">
        <f t="shared" si="109"/>
        <v>878.89639688313548</v>
      </c>
      <c r="S152" s="59">
        <f ca="1">AVERAGE(OFFSET($R$3,0,0,'Données projet'!$E$9+1,1))-AVERAGE(OFFSET($H$3,0,0,'Données projet'!$E$9+1,1))</f>
        <v>388.1278150896951</v>
      </c>
      <c r="T152" s="59">
        <f t="shared" si="142"/>
        <v>232.26614607059227</v>
      </c>
      <c r="U152" s="15">
        <f>IF(ISNA(VLOOKUP(A152,'Données projet'!$A$35:$I$55,3,0)),0,VLOOKUP(A152,'Données projet'!$A$35:$I$55,3,0))</f>
        <v>12</v>
      </c>
      <c r="V152" s="15">
        <f>IF(ISNA(VLOOKUP(A152,'Données projet'!$A$35:$I$55,4,0)),0,VLOOKUP(A152,'Données projet'!$A$35:$I$55,4,0))</f>
        <v>120.50641025641026</v>
      </c>
      <c r="W152" s="16">
        <f>IF(ISNA(VLOOKUP(A152,'Données projet'!$A$35:$I$55,5,0)),0%,VLOOKUP(A152,'Données projet'!$A$35:$I$55,5,0)*VLOOKUP('Données projet'!$B$9,Paramètres!$A$1:$I$89,7,0))</f>
        <v>0.38700000000000001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85.306514891867181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85.306514891867181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>
        <f>VLOOKUP(A152,'Données projet'!$A$61:$I$81,2,0)</f>
        <v>303.18589743589746</v>
      </c>
      <c r="AG152" s="12">
        <f>VLOOKUP(A152,'Données projet'!$A$61:$I$81,9,0)</f>
        <v>5.1063034188034209</v>
      </c>
      <c r="AH152" s="12">
        <f t="array" ref="AH152">INDEX(AG:AG,MIN(IF(ISNUMBER(AG152:AG348),ROW(AG152:AG348),"")))</f>
        <v>5.1063034188034209</v>
      </c>
      <c r="AI152" s="13">
        <f>IF('Données projet'!$A$62&gt;35,AI151+AH152-AQ151,IF(A152&lt;'Données projet'!$A$62,$AF$205^A152,IF(A152='Données projet'!$A$62,'Données projet'!$B$62,AI151+AH152-AQ151)))</f>
        <v>303.18589743589695</v>
      </c>
      <c r="AJ152" s="13">
        <f>AI152*VLOOKUP('Données projet'!$B$10,Paramètres!$A$1:$I$89,3,0)*VLOOKUP('Données projet'!$B$10,Paramètres!$A$1:$I$89,5,0)</f>
        <v>307.43049999999948</v>
      </c>
      <c r="AK152" s="13">
        <f t="shared" si="143"/>
        <v>72.731956636788439</v>
      </c>
      <c r="AL152" s="20">
        <f t="shared" si="112"/>
        <v>662.11627864240563</v>
      </c>
      <c r="AM152" s="59">
        <f t="shared" si="113"/>
        <v>948.69207271569871</v>
      </c>
      <c r="AN152" s="59">
        <f ca="1">AVERAGE(OFFSET($AM$3,0,0,'Données projet'!$E$10+1,1))-AVERAGE(OFFSET($H$3,0,0,'Données projet'!$E$10+1,1))</f>
        <v>424.89201140676084</v>
      </c>
      <c r="AO152" s="59">
        <f t="shared" si="144"/>
        <v>253.0016648946303</v>
      </c>
      <c r="AP152" s="15">
        <f>IF(ISNA(VLOOKUP(A152,'Données projet'!$A$61:$I$81,3,0)),0,VLOOKUP(A152,'Données projet'!$A$61:$I$81,3,0))</f>
        <v>12</v>
      </c>
      <c r="AQ152" s="15">
        <f>IF(ISNA(VLOOKUP(A152,'Données projet'!$A$61:$I$81,4,0)),0,VLOOKUP(A152,'Données projet'!$A$61:$I$81,4,0))</f>
        <v>120.50641025641026</v>
      </c>
      <c r="AR152" s="16">
        <f>IF(ISNA(VLOOKUP(A152,'Données projet'!$A$61:$I$81,5,0)),0%,VLOOKUP(A152,'Données projet'!$A$61:$I$81,5,0)*VLOOKUP('Données projet'!$B$10,Paramètres!$A$1:$I$89,7,0))</f>
        <v>0.38700000000000001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95.602128758127037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95.602128758127037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155.99999999999991</v>
      </c>
      <c r="BE152" s="13">
        <f>BD152*VLOOKUP('Données projet'!$B$11,Paramètres!$A$1:$I$89,3,0)*VLOOKUP('Données projet'!$B$11,Paramètres!$A$1:$I$89,5,0)</f>
        <v>136.28159999999994</v>
      </c>
      <c r="BF152" s="13">
        <f t="shared" si="145"/>
        <v>35.443842312892279</v>
      </c>
      <c r="BG152" s="20">
        <f t="shared" si="115"/>
        <v>299.08847869495395</v>
      </c>
      <c r="BH152" s="59">
        <f t="shared" si="116"/>
        <v>585.66427276824697</v>
      </c>
      <c r="BI152" s="59">
        <f ca="1">AVERAGE(OFFSET($BH$3,0,0,'Données projet'!$E$11+1,1))-AVERAGE(OFFSET($H$3,0,0,'Données projet'!$E$11+1,1))</f>
        <v>218.97952644043698</v>
      </c>
      <c r="BJ152" s="59">
        <f t="shared" si="146"/>
        <v>204.10961748628714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0.45341491015271801</v>
      </c>
      <c r="BQ152" s="21">
        <f>EXP(-LN(2)/25)*BQ151+(1-EXP(-LN(2)/25))/(LN(2)/25)*Calculateur!BL152*Calculateur!BN152*VLOOKUP('Données projet'!$B$11,Paramètres!$A$1:$I$89,3,0)*0.475*44/12</f>
        <v>0.73939499083633664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1.1928099009890547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191.99999999999977</v>
      </c>
      <c r="BZ152" s="13">
        <f>BY152*VLOOKUP('Données projet'!$B$12,Paramètres!$A$1:$I$89,3,0)*VLOOKUP('Données projet'!$B$12,Paramètres!$A$1:$I$89,5,0)</f>
        <v>155.75039999999984</v>
      </c>
      <c r="CA152" s="13">
        <f t="shared" si="147"/>
        <v>39.882509755133718</v>
      </c>
      <c r="CB152" s="20">
        <f t="shared" si="118"/>
        <v>340.72731782352429</v>
      </c>
      <c r="CC152" s="59">
        <f t="shared" si="119"/>
        <v>627.30311189681743</v>
      </c>
      <c r="CD152" s="59">
        <f ca="1">AVERAGE(OFFSET($CC$3,0,0,'Données projet'!$E$12+1,1))-AVERAGE(OFFSET($H$3,0,0,'Données projet'!$E$12+1,1))</f>
        <v>256.23994291192162</v>
      </c>
      <c r="CE152" s="59">
        <f t="shared" si="148"/>
        <v>207.9118653708222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1.0601095380606278</v>
      </c>
      <c r="CL152" s="21">
        <f>EXP(-LN(2)/25)*CL151+(1-EXP(-LN(2)/25))/(LN(2)/25)*Calculateur!CG152*Calculateur!CI152*VLOOKUP('Données projet'!$B$12,Paramètres!$A$1:$I$89,3,0)*0.475*44/12</f>
        <v>1.9087517330682853</v>
      </c>
      <c r="CM152" s="21">
        <f>EXP(-LN(2)/2)*CM151+(1-EXP(-LN(2)/2))/(LN(2)/2)*CG152*CJ152*VLOOKUP('Données projet'!$B$12,Paramètres!$A$1:$I$89,3,0)*0.475*44/12</f>
        <v>2.4642127139614308E-9</v>
      </c>
      <c r="CN152" s="22">
        <f t="shared" si="120"/>
        <v>2.9688612735931259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170.99999999999991</v>
      </c>
      <c r="CU152" s="17">
        <f>CT152*VLOOKUP('Données projet'!$B$13,Paramètres!$A$1:$I$89,3,0)*VLOOKUP('Données projet'!$B$13,Paramètres!$A$1:$I$89,5,0)</f>
        <v>98.701199999999957</v>
      </c>
      <c r="CV152" s="13">
        <f t="shared" si="149"/>
        <v>26.652341328097943</v>
      </c>
      <c r="CW152" s="20">
        <f t="shared" si="121"/>
        <v>218.32408447977051</v>
      </c>
      <c r="CX152" s="59">
        <f t="shared" si="122"/>
        <v>504.89987855306356</v>
      </c>
      <c r="CY152" s="59">
        <f ca="1">AVERAGE(OFFSET($CX$3,0,0,'Données projet'!$E$13+1,1))-AVERAGE(OFFSET($H$3,0,0,'Données projet'!$E$13+1,1))</f>
        <v>205.74526926885287</v>
      </c>
      <c r="CZ152" s="59">
        <f t="shared" si="150"/>
        <v>201.56217137928999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0.27746999061683364</v>
      </c>
      <c r="DG152" s="21">
        <f>EXP(-LN(2)/25)*DG151+(1-EXP(-LN(2)/25))/(LN(2)/25)*Calculateur!DB152*Calculateur!DD152*VLOOKUP('Données projet'!$B$13,Paramètres!$A$1:$I$89,3,0)*0.475*44/12</f>
        <v>1.4439828268267179</v>
      </c>
      <c r="DH152" s="21">
        <f>EXP(-LN(2)/2)*DH151+(1-EXP(-LN(2)/2))/(LN(2)/2)*DB152*DE152*VLOOKUP('Données projet'!$B$13,Paramètres!$A$1:$I$89,3,0)*0.475*44/12</f>
        <v>2.9314887613982533E-9</v>
      </c>
      <c r="DI152" s="22">
        <f t="shared" si="123"/>
        <v>1.7214528203750403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>
        <f>VLOOKUP(A152,'Données projet'!$A$165:$I$185,2,0)</f>
        <v>303.18589743589746</v>
      </c>
      <c r="DM152" s="12">
        <f>VLOOKUP(A152,'Données projet'!$A$165:$I$185,9,0)</f>
        <v>5.1063034188034209</v>
      </c>
      <c r="DN152" s="12">
        <f t="array" ref="DN152">INDEX(DM:DM,MIN(IF(ISNUMBER(DM152:DM348),ROW(DM152:DM348),"")))</f>
        <v>5.1063034188034209</v>
      </c>
      <c r="DO152" s="12">
        <f>IF('Données projet'!$A$166&gt;35,DO151+DN152-DW151,IF(A152&lt;'Données projet'!$A$166,$DL$205^A152,IF(A152='Données projet'!$A$166,'Données projet'!$B$166,DO151+DN152-DW151)))</f>
        <v>303.18589743589695</v>
      </c>
      <c r="DP152" s="17">
        <f>DO152*VLOOKUP('Données projet'!$B$14,Paramètres!$A$1:$I$89,3,0)*VLOOKUP('Données projet'!$B$14,Paramètres!$A$1:$I$89,5,0)</f>
        <v>288.51169999999956</v>
      </c>
      <c r="DQ152" s="13">
        <f t="shared" si="151"/>
        <v>68.762628795978529</v>
      </c>
      <c r="DR152" s="20">
        <f t="shared" si="124"/>
        <v>622.25278931966182</v>
      </c>
      <c r="DS152" s="59">
        <f t="shared" si="125"/>
        <v>908.8285833929549</v>
      </c>
      <c r="DT152" s="59">
        <f ca="1">AVERAGE(OFFSET($DS$3,0,0,'Données projet'!$E$14+1,1))-AVERAGE(OFFSET($H$3,0,0,'Données projet'!$E$14+1,1))</f>
        <v>403.89478276355294</v>
      </c>
      <c r="DU152" s="59">
        <f t="shared" si="152"/>
        <v>241.1593989733278</v>
      </c>
      <c r="DV152" s="15">
        <f>IF(ISNA(VLOOKUP(A152,'Données projet'!$A$165:$I$185,3,0)),0,VLOOKUP(A152,'Données projet'!$A$165:$I$185,3,0))</f>
        <v>12</v>
      </c>
      <c r="DW152" s="15">
        <f>IF(ISNA(VLOOKUP(A152,'Données projet'!$A$165:$I$185,4,0)),0,VLOOKUP(A152,'Données projet'!$A$165:$I$185,4,0))</f>
        <v>120.50641025641026</v>
      </c>
      <c r="DX152" s="16">
        <f>IF(ISNA(VLOOKUP(A152,'Données projet'!$A$165:$I$185,5,0)),0%,VLOOKUP(A152,'Données projet'!$A$165:$I$185,5,0)*VLOOKUP('Données projet'!$B$14,Paramètres!$A$1:$I$89,7,0))</f>
        <v>0.38700000000000001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89.718920834549976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89.718920834549976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3.0945512820512704</v>
      </c>
      <c r="N153" s="13">
        <f>IF('Données projet'!$A$36&gt;35,N152+M153-V152,IF(A153&lt;'Données projet'!$A$36,$K$205^A153,IF(A153='Données projet'!$A$36,'Données projet'!$B$36,N152+M153-V152)))</f>
        <v>185.77403846153794</v>
      </c>
      <c r="O153" s="13">
        <f>N153*VLOOKUP('Données projet'!$B$9,Paramètres!$A$1:$I$89,3,0)*VLOOKUP('Données projet'!$B$9,Paramètres!$A$1:$I$89,5,0)</f>
        <v>168.08834999999954</v>
      </c>
      <c r="P153" s="13">
        <f t="shared" si="141"/>
        <v>42.661596193999998</v>
      </c>
      <c r="Q153" s="20">
        <f t="shared" si="108"/>
        <v>367.05615628788252</v>
      </c>
      <c r="R153" s="59">
        <f t="shared" si="109"/>
        <v>653.74917855974286</v>
      </c>
      <c r="S153" s="59">
        <f ca="1">AVERAGE(OFFSET($R$3,0,0,'Données projet'!$E$9+1,1))-AVERAGE(OFFSET($H$3,0,0,'Données projet'!$E$9+1,1))</f>
        <v>388.1278150896951</v>
      </c>
      <c r="T153" s="59">
        <f t="shared" si="142"/>
        <v>232.26614607059227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83.633706166674031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83.633706166674031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3.0945512820512704</v>
      </c>
      <c r="AI153" s="13">
        <f>IF('Données projet'!$A$62&gt;35,AI152+AH153-AQ152,IF(A153&lt;'Données projet'!$A$62,$AF$205^A153,IF(A153='Données projet'!$A$62,'Données projet'!$B$62,AI152+AH153-AQ152)))</f>
        <v>185.77403846153794</v>
      </c>
      <c r="AJ153" s="13">
        <f>AI153*VLOOKUP('Données projet'!$B$10,Paramètres!$A$1:$I$89,3,0)*VLOOKUP('Données projet'!$B$10,Paramètres!$A$1:$I$89,5,0)</f>
        <v>188.37487499999949</v>
      </c>
      <c r="AK153" s="13">
        <f t="shared" si="143"/>
        <v>47.180481359608336</v>
      </c>
      <c r="AL153" s="20">
        <f t="shared" si="112"/>
        <v>410.25891232631693</v>
      </c>
      <c r="AM153" s="59">
        <f t="shared" si="113"/>
        <v>696.95193459817733</v>
      </c>
      <c r="AN153" s="59">
        <f ca="1">AVERAGE(OFFSET($AM$3,0,0,'Données projet'!$E$10+1,1))-AVERAGE(OFFSET($H$3,0,0,'Données projet'!$E$10+1,1))</f>
        <v>424.89201140676084</v>
      </c>
      <c r="AO153" s="59">
        <f t="shared" si="144"/>
        <v>253.0016648946303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93.727429324720916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93.727429324720916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155.99999999999991</v>
      </c>
      <c r="BE153" s="13">
        <f>BD153*VLOOKUP('Données projet'!$B$11,Paramètres!$A$1:$I$89,3,0)*VLOOKUP('Données projet'!$B$11,Paramètres!$A$1:$I$89,5,0)</f>
        <v>136.28159999999994</v>
      </c>
      <c r="BF153" s="13">
        <f t="shared" si="145"/>
        <v>35.443842312892279</v>
      </c>
      <c r="BG153" s="20">
        <f t="shared" si="115"/>
        <v>299.08847869495395</v>
      </c>
      <c r="BH153" s="59">
        <f t="shared" si="116"/>
        <v>585.78150096681429</v>
      </c>
      <c r="BI153" s="59">
        <f ca="1">AVERAGE(OFFSET($BH$3,0,0,'Données projet'!$E$11+1,1))-AVERAGE(OFFSET($H$3,0,0,'Données projet'!$E$11+1,1))</f>
        <v>218.97952644043698</v>
      </c>
      <c r="BJ153" s="59">
        <f t="shared" si="146"/>
        <v>204.10961748628714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0.44452372032041076</v>
      </c>
      <c r="BQ153" s="21">
        <f>EXP(-LN(2)/25)*BQ152+(1-EXP(-LN(2)/25))/(LN(2)/25)*Calculateur!BL153*Calculateur!BN153*VLOOKUP('Données projet'!$B$11,Paramètres!$A$1:$I$89,3,0)*0.475*44/12</f>
        <v>0.71917619592882431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1.163699916249235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191.99999999999977</v>
      </c>
      <c r="BZ153" s="13">
        <f>BY153*VLOOKUP('Données projet'!$B$12,Paramètres!$A$1:$I$89,3,0)*VLOOKUP('Données projet'!$B$12,Paramètres!$A$1:$I$89,5,0)</f>
        <v>155.75039999999984</v>
      </c>
      <c r="CA153" s="13">
        <f t="shared" si="147"/>
        <v>39.882509755133718</v>
      </c>
      <c r="CB153" s="20">
        <f t="shared" si="118"/>
        <v>340.72731782352429</v>
      </c>
      <c r="CC153" s="59">
        <f t="shared" si="119"/>
        <v>627.42034009538463</v>
      </c>
      <c r="CD153" s="59">
        <f ca="1">AVERAGE(OFFSET($CC$3,0,0,'Données projet'!$E$12+1,1))-AVERAGE(OFFSET($H$3,0,0,'Données projet'!$E$12+1,1))</f>
        <v>256.23994291192162</v>
      </c>
      <c r="CE153" s="59">
        <f t="shared" si="148"/>
        <v>207.9118653708222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1.0393214366222303</v>
      </c>
      <c r="CL153" s="21">
        <f>EXP(-LN(2)/25)*CL152+(1-EXP(-LN(2)/25))/(LN(2)/25)*Calculateur!CG153*Calculateur!CI153*VLOOKUP('Données projet'!$B$12,Paramètres!$A$1:$I$89,3,0)*0.475*44/12</f>
        <v>1.8565568165506419</v>
      </c>
      <c r="CM153" s="21">
        <f>EXP(-LN(2)/2)*CM152+(1-EXP(-LN(2)/2))/(LN(2)/2)*CG153*CJ153*VLOOKUP('Données projet'!$B$12,Paramètres!$A$1:$I$89,3,0)*0.475*44/12</f>
        <v>1.7424615203282339E-9</v>
      </c>
      <c r="CN153" s="22">
        <f t="shared" si="120"/>
        <v>2.8958782549153339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170.99999999999991</v>
      </c>
      <c r="CU153" s="17">
        <f>CT153*VLOOKUP('Données projet'!$B$13,Paramètres!$A$1:$I$89,3,0)*VLOOKUP('Données projet'!$B$13,Paramètres!$A$1:$I$89,5,0)</f>
        <v>98.701199999999957</v>
      </c>
      <c r="CV153" s="13">
        <f t="shared" si="149"/>
        <v>26.652341328097943</v>
      </c>
      <c r="CW153" s="20">
        <f t="shared" si="121"/>
        <v>218.32408447977051</v>
      </c>
      <c r="CX153" s="59">
        <f t="shared" si="122"/>
        <v>505.01710675163088</v>
      </c>
      <c r="CY153" s="59">
        <f ca="1">AVERAGE(OFFSET($CX$3,0,0,'Données projet'!$E$13+1,1))-AVERAGE(OFFSET($H$3,0,0,'Données projet'!$E$13+1,1))</f>
        <v>205.74526926885287</v>
      </c>
      <c r="CZ153" s="59">
        <f t="shared" si="150"/>
        <v>201.56217137928999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0.27202897334082077</v>
      </c>
      <c r="DG153" s="21">
        <f>EXP(-LN(2)/25)*DG152+(1-EXP(-LN(2)/25))/(LN(2)/25)*Calculateur!DB153*Calculateur!DD153*VLOOKUP('Données projet'!$B$13,Paramètres!$A$1:$I$89,3,0)*0.475*44/12</f>
        <v>1.4044970404913846</v>
      </c>
      <c r="DH153" s="21">
        <f>EXP(-LN(2)/2)*DH152+(1-EXP(-LN(2)/2))/(LN(2)/2)*DB153*DE153*VLOOKUP('Données projet'!$B$13,Paramètres!$A$1:$I$89,3,0)*0.475*44/12</f>
        <v>2.0728755821568579E-9</v>
      </c>
      <c r="DI153" s="22">
        <f t="shared" si="123"/>
        <v>1.676526015905081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3.0945512820512704</v>
      </c>
      <c r="DO153" s="12">
        <f>IF('Données projet'!$A$166&gt;35,DO152+DN153-DW152,IF(A153&lt;'Données projet'!$A$166,$DL$205^A153,IF(A153='Données projet'!$A$166,'Données projet'!$B$166,DO152+DN153-DW152)))</f>
        <v>185.77403846153794</v>
      </c>
      <c r="DP153" s="17">
        <f>DO153*VLOOKUP('Données projet'!$B$14,Paramètres!$A$1:$I$89,3,0)*VLOOKUP('Données projet'!$B$14,Paramètres!$A$1:$I$89,5,0)</f>
        <v>176.7825749999995</v>
      </c>
      <c r="DQ153" s="13">
        <f t="shared" si="151"/>
        <v>44.605618715135201</v>
      </c>
      <c r="DR153" s="20">
        <f t="shared" si="124"/>
        <v>385.58443738719296</v>
      </c>
      <c r="DS153" s="59">
        <f t="shared" si="125"/>
        <v>672.27745965905331</v>
      </c>
      <c r="DT153" s="59">
        <f ca="1">AVERAGE(OFFSET($DS$3,0,0,'Données projet'!$E$14+1,1))-AVERAGE(OFFSET($H$3,0,0,'Données projet'!$E$14+1,1))</f>
        <v>403.89478276355294</v>
      </c>
      <c r="DU153" s="59">
        <f t="shared" si="152"/>
        <v>241.1593989733278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87.959587520122696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87.959587520122696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3.0945512820512704</v>
      </c>
      <c r="N154" s="13">
        <f>IF('Données projet'!$A$36&gt;35,N153+M154-V153,IF(A154&lt;'Données projet'!$A$36,$K$205^A154,IF(A154='Données projet'!$A$36,'Données projet'!$B$36,N153+M154-V153)))</f>
        <v>188.86858974358921</v>
      </c>
      <c r="O154" s="13">
        <f>N154*VLOOKUP('Données projet'!$B$9,Paramètres!$A$1:$I$89,3,0)*VLOOKUP('Données projet'!$B$9,Paramètres!$A$1:$I$89,5,0)</f>
        <v>170.8882999999995</v>
      </c>
      <c r="P154" s="13">
        <f t="shared" si="141"/>
        <v>43.288912849762468</v>
      </c>
      <c r="Q154" s="20">
        <f t="shared" ref="Q154:Q203" si="162">(O154+P154)*0.475*44/12</f>
        <v>373.02531238000211</v>
      </c>
      <c r="R154" s="59">
        <f t="shared" si="109"/>
        <v>659.83352920326752</v>
      </c>
      <c r="S154" s="59">
        <f ca="1">AVERAGE(OFFSET($R$3,0,0,'Données projet'!$E$9+1,1))-AVERAGE(OFFSET($H$3,0,0,'Données projet'!$E$9+1,1))</f>
        <v>388.1278150896951</v>
      </c>
      <c r="T154" s="59">
        <f t="shared" si="142"/>
        <v>232.26614607059227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81.993700200269345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81.993700200269345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3.0945512820512704</v>
      </c>
      <c r="AI154" s="13">
        <f>IF('Données projet'!$A$62&gt;35,AI153+AH154-AQ153,IF(A154&lt;'Données projet'!$A$62,$AF$205^A154,IF(A154='Données projet'!$A$62,'Données projet'!$B$62,AI153+AH154-AQ153)))</f>
        <v>188.86858974358921</v>
      </c>
      <c r="AJ154" s="13">
        <f>AI154*VLOOKUP('Données projet'!$B$10,Paramètres!$A$1:$I$89,3,0)*VLOOKUP('Données projet'!$B$10,Paramètres!$A$1:$I$89,5,0)</f>
        <v>191.51274999999947</v>
      </c>
      <c r="AK154" s="13">
        <f t="shared" ref="AK154:AK203" si="164">EXP(-1.0587+0.8836*LN(AJ154)+0.284)</f>
        <v>47.874245879088207</v>
      </c>
      <c r="AL154" s="20">
        <f t="shared" ref="AL154:AL203" si="165">(AJ154+AK154)*0.475*44/12</f>
        <v>416.93235115607769</v>
      </c>
      <c r="AM154" s="59">
        <f t="shared" si="113"/>
        <v>703.74056797934304</v>
      </c>
      <c r="AN154" s="59">
        <f ca="1">AVERAGE(OFFSET($AM$3,0,0,'Données projet'!$E$10+1,1))-AVERAGE(OFFSET($H$3,0,0,'Données projet'!$E$10+1,1))</f>
        <v>424.89201140676084</v>
      </c>
      <c r="AO154" s="59">
        <f t="shared" si="144"/>
        <v>253.0016648946303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91.889491603750145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91.889491603750145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155.99999999999991</v>
      </c>
      <c r="BE154" s="13">
        <f>BD154*VLOOKUP('Données projet'!$B$11,Paramètres!$A$1:$I$89,3,0)*VLOOKUP('Données projet'!$B$11,Paramètres!$A$1:$I$89,5,0)</f>
        <v>136.28159999999994</v>
      </c>
      <c r="BF154" s="13">
        <f t="shared" ref="BF154:BF203" si="167">EXP(-1.0587+0.8836*LN(BE154)+0.284)</f>
        <v>35.443842312892279</v>
      </c>
      <c r="BG154" s="20">
        <f t="shared" ref="BG154:BG203" si="168">(BE154+BF154)*0.475*44/12</f>
        <v>299.08847869495395</v>
      </c>
      <c r="BH154" s="59">
        <f t="shared" si="116"/>
        <v>585.8966955182193</v>
      </c>
      <c r="BI154" s="59">
        <f ca="1">AVERAGE(OFFSET($BH$3,0,0,'Données projet'!$E$11+1,1))-AVERAGE(OFFSET($H$3,0,0,'Données projet'!$E$11+1,1))</f>
        <v>218.97952644043698</v>
      </c>
      <c r="BJ154" s="59">
        <f t="shared" si="146"/>
        <v>204.10961748628714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0.43580688129762479</v>
      </c>
      <c r="BQ154" s="21">
        <f>EXP(-LN(2)/25)*BQ153+(1-EXP(-LN(2)/25))/(LN(2)/25)*Calculateur!BL154*Calculateur!BN154*VLOOKUP('Données projet'!$B$11,Paramètres!$A$1:$I$89,3,0)*0.475*44/12</f>
        <v>0.69951028503131818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1.135317166328943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191.99999999999977</v>
      </c>
      <c r="BZ154" s="13">
        <f>BY154*VLOOKUP('Données projet'!$B$12,Paramètres!$A$1:$I$89,3,0)*VLOOKUP('Données projet'!$B$12,Paramètres!$A$1:$I$89,5,0)</f>
        <v>155.75039999999984</v>
      </c>
      <c r="CA154" s="13">
        <f t="shared" ref="CA154:CA203" si="170">EXP(-1.0587+0.8836*LN(BZ154)+0.284)</f>
        <v>39.882509755133718</v>
      </c>
      <c r="CB154" s="20">
        <f t="shared" ref="CB154:CB203" si="171">(BZ154+CA154)*0.475*44/12</f>
        <v>340.72731782352429</v>
      </c>
      <c r="CC154" s="59">
        <f t="shared" si="119"/>
        <v>627.53553464678964</v>
      </c>
      <c r="CD154" s="59">
        <f ca="1">AVERAGE(OFFSET($CC$3,0,0,'Données projet'!$E$12+1,1))-AVERAGE(OFFSET($H$3,0,0,'Données projet'!$E$12+1,1))</f>
        <v>256.23994291192162</v>
      </c>
      <c r="CE154" s="59">
        <f t="shared" si="148"/>
        <v>207.9118653708222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1.01894097717355</v>
      </c>
      <c r="CL154" s="21">
        <f>EXP(-LN(2)/25)*CL153+(1-EXP(-LN(2)/25))/(LN(2)/25)*Calculateur!CG154*Calculateur!CI154*VLOOKUP('Données projet'!$B$12,Paramètres!$A$1:$I$89,3,0)*0.475*44/12</f>
        <v>1.8057891727699849</v>
      </c>
      <c r="CM154" s="21">
        <f>EXP(-LN(2)/2)*CM153+(1-EXP(-LN(2)/2))/(LN(2)/2)*CG154*CJ154*VLOOKUP('Données projet'!$B$12,Paramètres!$A$1:$I$89,3,0)*0.475*44/12</f>
        <v>1.2321063569807154E-9</v>
      </c>
      <c r="CN154" s="22">
        <f t="shared" ref="CN154:CN203" si="172">SUM(CK154:CM154)</f>
        <v>2.8247301511756411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170.99999999999991</v>
      </c>
      <c r="CU154" s="17">
        <f>CT154*VLOOKUP('Données projet'!$B$13,Paramètres!$A$1:$I$89,3,0)*VLOOKUP('Données projet'!$B$13,Paramètres!$A$1:$I$89,5,0)</f>
        <v>98.701199999999957</v>
      </c>
      <c r="CV154" s="13">
        <f t="shared" ref="CV154:CV203" si="173">EXP(-1.0587+0.8836*LN(CU154)+0.284)</f>
        <v>26.652341328097943</v>
      </c>
      <c r="CW154" s="20">
        <f t="shared" ref="CW154:CW203" si="174">(CU154+CV154)*0.475*44/12</f>
        <v>218.32408447977051</v>
      </c>
      <c r="CX154" s="59">
        <f t="shared" si="122"/>
        <v>505.13230130303589</v>
      </c>
      <c r="CY154" s="59">
        <f ca="1">AVERAGE(OFFSET($CX$3,0,0,'Données projet'!$E$13+1,1))-AVERAGE(OFFSET($H$3,0,0,'Données projet'!$E$13+1,1))</f>
        <v>205.74526926885287</v>
      </c>
      <c r="CZ154" s="59">
        <f t="shared" si="150"/>
        <v>201.56217137928999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0.26669465109489765</v>
      </c>
      <c r="DG154" s="21">
        <f>EXP(-LN(2)/25)*DG153+(1-EXP(-LN(2)/25))/(LN(2)/25)*Calculateur!DB154*Calculateur!DD154*VLOOKUP('Données projet'!$B$13,Paramètres!$A$1:$I$89,3,0)*0.475*44/12</f>
        <v>1.3660909950598583</v>
      </c>
      <c r="DH154" s="21">
        <f>EXP(-LN(2)/2)*DH153+(1-EXP(-LN(2)/2))/(LN(2)/2)*DB154*DE154*VLOOKUP('Données projet'!$B$13,Paramètres!$A$1:$I$89,3,0)*0.475*44/12</f>
        <v>1.4657443806991267E-9</v>
      </c>
      <c r="DI154" s="22">
        <f t="shared" ref="DI154:DI203" si="175">SUM(DF154:DH154)</f>
        <v>1.6327856476205005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3.0945512820512704</v>
      </c>
      <c r="DO154" s="12">
        <f>IF('Données projet'!$A$166&gt;35,DO153+DN154-DW153,IF(A154&lt;'Données projet'!$A$166,$DL$205^A154,IF(A154='Données projet'!$A$166,'Données projet'!$B$166,DO153+DN154-DW153)))</f>
        <v>188.86858974358921</v>
      </c>
      <c r="DP154" s="17">
        <f>DO154*VLOOKUP('Données projet'!$B$14,Paramètres!$A$1:$I$89,3,0)*VLOOKUP('Données projet'!$B$14,Paramètres!$A$1:$I$89,5,0)</f>
        <v>179.72734999999949</v>
      </c>
      <c r="DQ154" s="13">
        <f t="shared" ref="DQ154:DQ203" si="176">EXP(-1.0587+0.8836*LN(DP154)+0.284)</f>
        <v>45.261521214266992</v>
      </c>
      <c r="DR154" s="20">
        <f t="shared" ref="DR154:DR203" si="177">(DP154+DQ154)*0.475*44/12</f>
        <v>391.85561736484743</v>
      </c>
      <c r="DS154" s="59">
        <f t="shared" si="125"/>
        <v>678.66383418811279</v>
      </c>
      <c r="DT154" s="59">
        <f ca="1">AVERAGE(OFFSET($DS$3,0,0,'Données projet'!$E$14+1,1))-AVERAGE(OFFSET($H$3,0,0,'Données projet'!$E$14+1,1))</f>
        <v>403.89478276355294</v>
      </c>
      <c r="DU154" s="59">
        <f t="shared" si="152"/>
        <v>241.1593989733278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86.234753658903969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86.234753658903969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3.0945512820512704</v>
      </c>
      <c r="N155" s="13">
        <f>IF('Données projet'!$A$36&gt;35,N154+M155-V154,IF(A155&lt;'Données projet'!$A$36,$K$205^A155,IF(A155='Données projet'!$A$36,'Données projet'!$B$36,N154+M155-V154)))</f>
        <v>191.96314102564048</v>
      </c>
      <c r="O155" s="13">
        <f>N155*VLOOKUP('Données projet'!$B$9,Paramètres!$A$1:$I$89,3,0)*VLOOKUP('Données projet'!$B$9,Paramètres!$A$1:$I$89,5,0)</f>
        <v>173.6882499999995</v>
      </c>
      <c r="P155" s="13">
        <f t="shared" si="141"/>
        <v>43.915034185437626</v>
      </c>
      <c r="Q155" s="20">
        <f t="shared" si="162"/>
        <v>378.99238662296966</v>
      </c>
      <c r="R155" s="59">
        <f t="shared" si="109"/>
        <v>665.9137996297095</v>
      </c>
      <c r="S155" s="59">
        <f ca="1">AVERAGE(OFFSET($R$3,0,0,'Données projet'!$E$9+1,1))-AVERAGE(OFFSET($H$3,0,0,'Données projet'!$E$9+1,1))</f>
        <v>388.1278150896951</v>
      </c>
      <c r="T155" s="59">
        <f t="shared" si="142"/>
        <v>232.26614607059227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80.385853750560983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80.385853750560983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3.0945512820512704</v>
      </c>
      <c r="AI155" s="13">
        <f>IF('Données projet'!$A$62&gt;35,AI154+AH155-AQ154,IF(A155&lt;'Données projet'!$A$62,$AF$205^A155,IF(A155='Données projet'!$A$62,'Données projet'!$B$62,AI154+AH155-AQ154)))</f>
        <v>191.96314102564048</v>
      </c>
      <c r="AJ155" s="13">
        <f>AI155*VLOOKUP('Données projet'!$B$10,Paramètres!$A$1:$I$89,3,0)*VLOOKUP('Données projet'!$B$10,Paramètres!$A$1:$I$89,5,0)</f>
        <v>194.65062499999945</v>
      </c>
      <c r="AK155" s="13">
        <f t="shared" si="164"/>
        <v>48.566688465444784</v>
      </c>
      <c r="AL155" s="20">
        <f t="shared" si="165"/>
        <v>423.60348761898211</v>
      </c>
      <c r="AM155" s="59">
        <f t="shared" si="113"/>
        <v>710.52490062572201</v>
      </c>
      <c r="AN155" s="59">
        <f ca="1">AVERAGE(OFFSET($AM$3,0,0,'Données projet'!$E$10+1,1))-AVERAGE(OFFSET($H$3,0,0,'Données projet'!$E$10+1,1))</f>
        <v>424.89201140676084</v>
      </c>
      <c r="AO155" s="59">
        <f t="shared" si="144"/>
        <v>253.0016648946303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90.087594720456295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90.087594720456295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155.99999999999991</v>
      </c>
      <c r="BE155" s="13">
        <f>BD155*VLOOKUP('Données projet'!$B$11,Paramètres!$A$1:$I$89,3,0)*VLOOKUP('Données projet'!$B$11,Paramètres!$A$1:$I$89,5,0)</f>
        <v>136.28159999999994</v>
      </c>
      <c r="BF155" s="13">
        <f t="shared" si="167"/>
        <v>35.443842312892279</v>
      </c>
      <c r="BG155" s="20">
        <f t="shared" si="168"/>
        <v>299.08847869495395</v>
      </c>
      <c r="BH155" s="59">
        <f t="shared" si="116"/>
        <v>586.00989170169385</v>
      </c>
      <c r="BI155" s="59">
        <f ca="1">AVERAGE(OFFSET($BH$3,0,0,'Données projet'!$E$11+1,1))-AVERAGE(OFFSET($H$3,0,0,'Données projet'!$E$11+1,1))</f>
        <v>218.97952644043698</v>
      </c>
      <c r="BJ155" s="59">
        <f t="shared" si="146"/>
        <v>204.10961748628714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0.4272609741713288</v>
      </c>
      <c r="BQ155" s="21">
        <f>EXP(-LN(2)/25)*BQ154+(1-EXP(-LN(2)/25))/(LN(2)/25)*Calculateur!BL155*Calculateur!BN155*VLOOKUP('Données projet'!$B$11,Paramètres!$A$1:$I$89,3,0)*0.475*44/12</f>
        <v>0.68038213950148962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1.1076431136728184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191.99999999999977</v>
      </c>
      <c r="BZ155" s="13">
        <f>BY155*VLOOKUP('Données projet'!$B$12,Paramètres!$A$1:$I$89,3,0)*VLOOKUP('Données projet'!$B$12,Paramètres!$A$1:$I$89,5,0)</f>
        <v>155.75039999999984</v>
      </c>
      <c r="CA155" s="13">
        <f t="shared" si="170"/>
        <v>39.882509755133718</v>
      </c>
      <c r="CB155" s="20">
        <f t="shared" si="171"/>
        <v>340.72731782352429</v>
      </c>
      <c r="CC155" s="59">
        <f t="shared" si="119"/>
        <v>627.64873083026418</v>
      </c>
      <c r="CD155" s="59">
        <f ca="1">AVERAGE(OFFSET($CC$3,0,0,'Données projet'!$E$12+1,1))-AVERAGE(OFFSET($H$3,0,0,'Données projet'!$E$12+1,1))</f>
        <v>256.23994291192162</v>
      </c>
      <c r="CE155" s="59">
        <f t="shared" si="148"/>
        <v>207.9118653708222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0.99896016610380545</v>
      </c>
      <c r="CL155" s="21">
        <f>EXP(-LN(2)/25)*CL154+(1-EXP(-LN(2)/25))/(LN(2)/25)*Calculateur!CG155*Calculateur!CI155*VLOOKUP('Données projet'!$B$12,Paramètres!$A$1:$I$89,3,0)*0.475*44/12</f>
        <v>1.7564097728782642</v>
      </c>
      <c r="CM155" s="21">
        <f>EXP(-LN(2)/2)*CM154+(1-EXP(-LN(2)/2))/(LN(2)/2)*CG155*CJ155*VLOOKUP('Données projet'!$B$12,Paramètres!$A$1:$I$89,3,0)*0.475*44/12</f>
        <v>8.7123076016411695E-10</v>
      </c>
      <c r="CN155" s="22">
        <f t="shared" si="172"/>
        <v>2.7553699398533005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170.99999999999991</v>
      </c>
      <c r="CU155" s="17">
        <f>CT155*VLOOKUP('Données projet'!$B$13,Paramètres!$A$1:$I$89,3,0)*VLOOKUP('Données projet'!$B$13,Paramètres!$A$1:$I$89,5,0)</f>
        <v>98.701199999999957</v>
      </c>
      <c r="CV155" s="13">
        <f t="shared" si="173"/>
        <v>26.652341328097943</v>
      </c>
      <c r="CW155" s="20">
        <f t="shared" si="174"/>
        <v>218.32408447977051</v>
      </c>
      <c r="CX155" s="59">
        <f t="shared" si="122"/>
        <v>505.24549748651043</v>
      </c>
      <c r="CY155" s="59">
        <f ca="1">AVERAGE(OFFSET($CX$3,0,0,'Données projet'!$E$13+1,1))-AVERAGE(OFFSET($H$3,0,0,'Données projet'!$E$13+1,1))</f>
        <v>205.74526926885287</v>
      </c>
      <c r="CZ155" s="59">
        <f t="shared" si="150"/>
        <v>201.56217137928999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0.26146493165460177</v>
      </c>
      <c r="DG155" s="21">
        <f>EXP(-LN(2)/25)*DG154+(1-EXP(-LN(2)/25))/(LN(2)/25)*Calculateur!DB155*Calculateur!DD155*VLOOKUP('Données projet'!$B$13,Paramètres!$A$1:$I$89,3,0)*0.475*44/12</f>
        <v>1.3287351649603434</v>
      </c>
      <c r="DH155" s="21">
        <f>EXP(-LN(2)/2)*DH154+(1-EXP(-LN(2)/2))/(LN(2)/2)*DB155*DE155*VLOOKUP('Données projet'!$B$13,Paramètres!$A$1:$I$89,3,0)*0.475*44/12</f>
        <v>1.0364377910784289E-9</v>
      </c>
      <c r="DI155" s="22">
        <f t="shared" si="175"/>
        <v>1.590200097651383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3.0945512820512704</v>
      </c>
      <c r="DO155" s="12">
        <f>IF('Données projet'!$A$166&gt;35,DO154+DN155-DW154,IF(A155&lt;'Données projet'!$A$166,$DL$205^A155,IF(A155='Données projet'!$A$166,'Données projet'!$B$166,DO154+DN155-DW154)))</f>
        <v>191.96314102564048</v>
      </c>
      <c r="DP155" s="17">
        <f>DO155*VLOOKUP('Données projet'!$B$14,Paramètres!$A$1:$I$89,3,0)*VLOOKUP('Données projet'!$B$14,Paramètres!$A$1:$I$89,5,0)</f>
        <v>182.67212499999948</v>
      </c>
      <c r="DQ155" s="13">
        <f t="shared" si="176"/>
        <v>45.916173924435952</v>
      </c>
      <c r="DR155" s="20">
        <f t="shared" si="177"/>
        <v>398.12462062672506</v>
      </c>
      <c r="DS155" s="59">
        <f t="shared" si="125"/>
        <v>685.04603363346496</v>
      </c>
      <c r="DT155" s="59">
        <f ca="1">AVERAGE(OFFSET($DS$3,0,0,'Données projet'!$E$14+1,1))-AVERAGE(OFFSET($H$3,0,0,'Données projet'!$E$14+1,1))</f>
        <v>403.89478276355294</v>
      </c>
      <c r="DU155" s="59">
        <f t="shared" si="152"/>
        <v>241.1593989733278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84.543742737658974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84.543742737658974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195.05769230769226</v>
      </c>
      <c r="L156" s="12">
        <f>VLOOKUP(A156,'Données projet'!$A$35:$I$55,9,0)</f>
        <v>3.0945512820512704</v>
      </c>
      <c r="M156" s="12">
        <f t="array" ref="M156">INDEX(L:L,MIN(IF(ISNUMBER(L156:L352),ROW(L156:L352),"")))</f>
        <v>3.0945512820512704</v>
      </c>
      <c r="N156" s="13">
        <f>IF('Données projet'!$A$36&gt;35,N155+M156-V155,IF(A156&lt;'Données projet'!$A$36,$K$205^A156,IF(A156='Données projet'!$A$36,'Données projet'!$B$36,N155+M156-V155)))</f>
        <v>195.05769230769175</v>
      </c>
      <c r="O156" s="13">
        <f>N156*VLOOKUP('Données projet'!$B$9,Paramètres!$A$1:$I$89,3,0)*VLOOKUP('Données projet'!$B$9,Paramètres!$A$1:$I$89,5,0)</f>
        <v>176.48819999999949</v>
      </c>
      <c r="P156" s="13">
        <f t="shared" si="141"/>
        <v>44.539981694883714</v>
      </c>
      <c r="Q156" s="20">
        <f t="shared" si="162"/>
        <v>384.95741645192157</v>
      </c>
      <c r="R156" s="59">
        <f t="shared" si="109"/>
        <v>671.99006194142157</v>
      </c>
      <c r="S156" s="59">
        <f ca="1">AVERAGE(OFFSET($R$3,0,0,'Données projet'!$E$9+1,1))-AVERAGE(OFFSET($H$3,0,0,'Données projet'!$E$9+1,1))</f>
        <v>388.1278150896951</v>
      </c>
      <c r="T156" s="59">
        <f t="shared" si="142"/>
        <v>232.26614607059227</v>
      </c>
      <c r="U156" s="15">
        <f>IF(ISNA(VLOOKUP(A156,'Données projet'!$A$35:$I$55,3,0)),0,VLOOKUP(A156,'Données projet'!$A$35:$I$55,3,0))</f>
        <v>13</v>
      </c>
      <c r="V156" s="15">
        <f>IF(ISNA(VLOOKUP(A156,'Données projet'!$A$35:$I$55,4,0)),0,VLOOKUP(A156,'Données projet'!$A$35:$I$55,4,0))</f>
        <v>70.115384615384613</v>
      </c>
      <c r="W156" s="16">
        <f>IF(ISNA(VLOOKUP(A156,'Données projet'!$A$35:$I$55,5,0)),0%,VLOOKUP(A156,'Données projet'!$A$35:$I$55,5,0)*VLOOKUP('Données projet'!$B$9,Paramètres!$A$1:$I$89,7,0))</f>
        <v>0.38700000000000001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105.95042013547638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105.95042013547638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195.05769230769226</v>
      </c>
      <c r="AG156" s="12">
        <f>VLOOKUP(A156,'Données projet'!$A$61:$I$81,9,0)</f>
        <v>3.0945512820512704</v>
      </c>
      <c r="AH156" s="12">
        <f t="array" ref="AH156">INDEX(AG:AG,MIN(IF(ISNUMBER(AG156:AG352),ROW(AG156:AG352),"")))</f>
        <v>3.0945512820512704</v>
      </c>
      <c r="AI156" s="13">
        <f>IF('Données projet'!$A$62&gt;35,AI155+AH156-AQ155,IF(A156&lt;'Données projet'!$A$62,$AF$205^A156,IF(A156='Données projet'!$A$62,'Données projet'!$B$62,AI155+AH156-AQ155)))</f>
        <v>195.05769230769175</v>
      </c>
      <c r="AJ156" s="13">
        <f>AI156*VLOOKUP('Données projet'!$B$10,Paramètres!$A$1:$I$89,3,0)*VLOOKUP('Données projet'!$B$10,Paramètres!$A$1:$I$89,5,0)</f>
        <v>197.78849999999943</v>
      </c>
      <c r="AK156" s="13">
        <f t="shared" si="164"/>
        <v>49.257832889250977</v>
      </c>
      <c r="AL156" s="20">
        <f t="shared" si="165"/>
        <v>430.27236311544448</v>
      </c>
      <c r="AM156" s="59">
        <f t="shared" si="113"/>
        <v>717.30500860494453</v>
      </c>
      <c r="AN156" s="59">
        <f ca="1">AVERAGE(OFFSET($AM$3,0,0,'Données projet'!$E$10+1,1))-AVERAGE(OFFSET($H$3,0,0,'Données projet'!$E$10+1,1))</f>
        <v>424.89201140676084</v>
      </c>
      <c r="AO156" s="59">
        <f t="shared" si="144"/>
        <v>253.0016648946303</v>
      </c>
      <c r="AP156" s="15">
        <f>IF(ISNA(VLOOKUP(A156,'Données projet'!$A$61:$I$81,3,0)),0,VLOOKUP(A156,'Données projet'!$A$61:$I$81,3,0))</f>
        <v>13</v>
      </c>
      <c r="AQ156" s="15">
        <f>IF(ISNA(VLOOKUP(A156,'Données projet'!$A$61:$I$81,4,0)),0,VLOOKUP(A156,'Données projet'!$A$61:$I$81,4,0))</f>
        <v>70.115384615384613</v>
      </c>
      <c r="AR156" s="16">
        <f>IF(ISNA(VLOOKUP(A156,'Données projet'!$A$61:$I$81,5,0)),0%,VLOOKUP(A156,'Données projet'!$A$61:$I$81,5,0)*VLOOKUP('Données projet'!$B$10,Paramètres!$A$1:$I$89,7,0))</f>
        <v>0.38700000000000001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118.73753980699942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118.73753980699942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155.99999999999991</v>
      </c>
      <c r="BE156" s="13">
        <f>BD156*VLOOKUP('Données projet'!$B$11,Paramètres!$A$1:$I$89,3,0)*VLOOKUP('Données projet'!$B$11,Paramètres!$A$1:$I$89,5,0)</f>
        <v>136.28159999999994</v>
      </c>
      <c r="BF156" s="13">
        <f t="shared" si="167"/>
        <v>35.443842312892279</v>
      </c>
      <c r="BG156" s="20">
        <f t="shared" si="168"/>
        <v>299.08847869495395</v>
      </c>
      <c r="BH156" s="59">
        <f t="shared" si="116"/>
        <v>586.12112418445395</v>
      </c>
      <c r="BI156" s="59">
        <f ca="1">AVERAGE(OFFSET($BH$3,0,0,'Données projet'!$E$11+1,1))-AVERAGE(OFFSET($H$3,0,0,'Données projet'!$E$11+1,1))</f>
        <v>218.97952644043698</v>
      </c>
      <c r="BJ156" s="59">
        <f t="shared" si="146"/>
        <v>204.10961748628714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0.41888264707129086</v>
      </c>
      <c r="BQ156" s="21">
        <f>EXP(-LN(2)/25)*BQ155+(1-EXP(-LN(2)/25))/(LN(2)/25)*Calculateur!BL156*Calculateur!BN156*VLOOKUP('Données projet'!$B$11,Paramètres!$A$1:$I$89,3,0)*0.475*44/12</f>
        <v>0.66177705411707965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1.0806597011883705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191.99999999999977</v>
      </c>
      <c r="BZ156" s="13">
        <f>BY156*VLOOKUP('Données projet'!$B$12,Paramètres!$A$1:$I$89,3,0)*VLOOKUP('Données projet'!$B$12,Paramètres!$A$1:$I$89,5,0)</f>
        <v>155.75039999999984</v>
      </c>
      <c r="CA156" s="13">
        <f t="shared" si="170"/>
        <v>39.882509755133718</v>
      </c>
      <c r="CB156" s="20">
        <f t="shared" si="171"/>
        <v>340.72731782352429</v>
      </c>
      <c r="CC156" s="59">
        <f t="shared" si="119"/>
        <v>627.75996331302429</v>
      </c>
      <c r="CD156" s="59">
        <f ca="1">AVERAGE(OFFSET($CC$3,0,0,'Données projet'!$E$12+1,1))-AVERAGE(OFFSET($H$3,0,0,'Données projet'!$E$12+1,1))</f>
        <v>256.23994291192162</v>
      </c>
      <c r="CE156" s="59">
        <f t="shared" si="148"/>
        <v>207.9118653708222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0.97937116655204726</v>
      </c>
      <c r="CL156" s="21">
        <f>EXP(-LN(2)/25)*CL155+(1-EXP(-LN(2)/25))/(LN(2)/25)*Calculateur!CG156*Calculateur!CI156*VLOOKUP('Données projet'!$B$12,Paramètres!$A$1:$I$89,3,0)*0.475*44/12</f>
        <v>1.7083806552733325</v>
      </c>
      <c r="CM156" s="21">
        <f>EXP(-LN(2)/2)*CM155+(1-EXP(-LN(2)/2))/(LN(2)/2)*CG156*CJ156*VLOOKUP('Données projet'!$B$12,Paramètres!$A$1:$I$89,3,0)*0.475*44/12</f>
        <v>6.160531784903577E-10</v>
      </c>
      <c r="CN156" s="22">
        <f t="shared" si="172"/>
        <v>2.6877518224414327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170.99999999999991</v>
      </c>
      <c r="CU156" s="17">
        <f>CT156*VLOOKUP('Données projet'!$B$13,Paramètres!$A$1:$I$89,3,0)*VLOOKUP('Données projet'!$B$13,Paramètres!$A$1:$I$89,5,0)</f>
        <v>98.701199999999957</v>
      </c>
      <c r="CV156" s="13">
        <f t="shared" si="173"/>
        <v>26.652341328097943</v>
      </c>
      <c r="CW156" s="20">
        <f t="shared" si="174"/>
        <v>218.32408447977051</v>
      </c>
      <c r="CX156" s="59">
        <f t="shared" si="122"/>
        <v>505.35672996927053</v>
      </c>
      <c r="CY156" s="59">
        <f ca="1">AVERAGE(OFFSET($CX$3,0,0,'Données projet'!$E$13+1,1))-AVERAGE(OFFSET($H$3,0,0,'Données projet'!$E$13+1,1))</f>
        <v>205.74526926885287</v>
      </c>
      <c r="CZ156" s="59">
        <f t="shared" si="150"/>
        <v>201.56217137928999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0.25633776382271622</v>
      </c>
      <c r="DG156" s="21">
        <f>EXP(-LN(2)/25)*DG155+(1-EXP(-LN(2)/25))/(LN(2)/25)*Calculateur!DB156*Calculateur!DD156*VLOOKUP('Données projet'!$B$13,Paramètres!$A$1:$I$89,3,0)*0.475*44/12</f>
        <v>1.2924008319993574</v>
      </c>
      <c r="DH156" s="21">
        <f>EXP(-LN(2)/2)*DH155+(1-EXP(-LN(2)/2))/(LN(2)/2)*DB156*DE156*VLOOKUP('Données projet'!$B$13,Paramètres!$A$1:$I$89,3,0)*0.475*44/12</f>
        <v>7.3287219034956333E-10</v>
      </c>
      <c r="DI156" s="22">
        <f t="shared" si="175"/>
        <v>1.5487385965549458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>
        <f>VLOOKUP(A156,'Données projet'!$A$165:$I$185,2,0)</f>
        <v>195.05769230769226</v>
      </c>
      <c r="DM156" s="12">
        <f>VLOOKUP(A156,'Données projet'!$A$165:$I$185,9,0)</f>
        <v>3.0945512820512704</v>
      </c>
      <c r="DN156" s="12">
        <f t="array" ref="DN156">INDEX(DM:DM,MIN(IF(ISNUMBER(DM156:DM352),ROW(DM156:DM352),"")))</f>
        <v>3.0945512820512704</v>
      </c>
      <c r="DO156" s="12">
        <f>IF('Données projet'!$A$166&gt;35,DO155+DN156-DW155,IF(A156&lt;'Données projet'!$A$166,$DL$205^A156,IF(A156='Données projet'!$A$166,'Données projet'!$B$166,DO155+DN156-DW155)))</f>
        <v>195.05769230769175</v>
      </c>
      <c r="DP156" s="17">
        <f>DO156*VLOOKUP('Données projet'!$B$14,Paramètres!$A$1:$I$89,3,0)*VLOOKUP('Données projet'!$B$14,Paramètres!$A$1:$I$89,5,0)</f>
        <v>185.61689999999948</v>
      </c>
      <c r="DQ156" s="13">
        <f t="shared" si="176"/>
        <v>46.569599318942032</v>
      </c>
      <c r="DR156" s="20">
        <f t="shared" si="177"/>
        <v>404.39148631382312</v>
      </c>
      <c r="DS156" s="59">
        <f t="shared" si="125"/>
        <v>691.42413180332312</v>
      </c>
      <c r="DT156" s="59">
        <f ca="1">AVERAGE(OFFSET($DS$3,0,0,'Données projet'!$E$14+1,1))-AVERAGE(OFFSET($H$3,0,0,'Données projet'!$E$14+1,1))</f>
        <v>403.89478276355294</v>
      </c>
      <c r="DU156" s="59">
        <f t="shared" si="152"/>
        <v>241.1593989733278</v>
      </c>
      <c r="DV156" s="15">
        <f>IF(ISNA(VLOOKUP(A156,'Données projet'!$A$165:$I$185,3,0)),0,VLOOKUP(A156,'Données projet'!$A$165:$I$185,3,0))</f>
        <v>13</v>
      </c>
      <c r="DW156" s="15">
        <f>IF(ISNA(VLOOKUP(A156,'Données projet'!$A$165:$I$185,4,0)),0,VLOOKUP(A156,'Données projet'!$A$165:$I$185,4,0))</f>
        <v>70.115384615384613</v>
      </c>
      <c r="DX156" s="16">
        <f>IF(ISNA(VLOOKUP(A156,'Données projet'!$A$165:$I$185,5,0)),0%,VLOOKUP(A156,'Données projet'!$A$165:$I$185,5,0)*VLOOKUP('Données projet'!$B$14,Paramètres!$A$1:$I$89,7,0))</f>
        <v>0.38700000000000001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111.43061428041483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111.43061428041483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1.8717948717948829</v>
      </c>
      <c r="N157" s="13">
        <f>IF('Données projet'!$A$36&gt;35,N156+M157-V156,IF(A157&lt;'Données projet'!$A$36,$K$205^A157,IF(A157='Données projet'!$A$36,'Données projet'!$B$36,N156+M157-V156)))</f>
        <v>126.81410256410203</v>
      </c>
      <c r="O157" s="13">
        <f>N157*VLOOKUP('Données projet'!$B$9,Paramètres!$A$1:$I$89,3,0)*VLOOKUP('Données projet'!$B$9,Paramètres!$A$1:$I$89,5,0)</f>
        <v>114.74139999999952</v>
      </c>
      <c r="P157" s="13">
        <f t="shared" si="141"/>
        <v>30.445336927793726</v>
      </c>
      <c r="Q157" s="20">
        <f t="shared" si="162"/>
        <v>252.86690014923991</v>
      </c>
      <c r="R157" s="59">
        <f t="shared" si="109"/>
        <v>540.00884848660269</v>
      </c>
      <c r="S157" s="59">
        <f ca="1">AVERAGE(OFFSET($R$3,0,0,'Données projet'!$E$9+1,1))-AVERAGE(OFFSET($H$3,0,0,'Données projet'!$E$9+1,1))</f>
        <v>388.1278150896951</v>
      </c>
      <c r="T157" s="59">
        <f t="shared" si="142"/>
        <v>232.26614607059227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103.87279701999493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103.87279701999493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1.8717948717948829</v>
      </c>
      <c r="AI157" s="13">
        <f>IF('Données projet'!$A$62&gt;35,AI156+AH157-AQ156,IF(A157&lt;'Données projet'!$A$62,$AF$205^A157,IF(A157='Données projet'!$A$62,'Données projet'!$B$62,AI156+AH157-AQ156)))</f>
        <v>126.81410256410203</v>
      </c>
      <c r="AJ157" s="13">
        <f>AI157*VLOOKUP('Données projet'!$B$10,Paramètres!$A$1:$I$89,3,0)*VLOOKUP('Données projet'!$B$10,Paramètres!$A$1:$I$89,5,0)</f>
        <v>128.58949999999948</v>
      </c>
      <c r="AK157" s="13">
        <f t="shared" si="164"/>
        <v>33.670227547903842</v>
      </c>
      <c r="AL157" s="20">
        <f t="shared" si="165"/>
        <v>282.60235881259825</v>
      </c>
      <c r="AM157" s="59">
        <f t="shared" si="113"/>
        <v>569.74430714996106</v>
      </c>
      <c r="AN157" s="59">
        <f ca="1">AVERAGE(OFFSET($AM$3,0,0,'Données projet'!$E$10+1,1))-AVERAGE(OFFSET($H$3,0,0,'Données projet'!$E$10+1,1))</f>
        <v>424.89201140676084</v>
      </c>
      <c r="AO157" s="59">
        <f t="shared" si="144"/>
        <v>253.0016648946303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116.40916907413229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116.40916907413229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155.99999999999991</v>
      </c>
      <c r="BE157" s="13">
        <f>BD157*VLOOKUP('Données projet'!$B$11,Paramètres!$A$1:$I$89,3,0)*VLOOKUP('Données projet'!$B$11,Paramètres!$A$1:$I$89,5,0)</f>
        <v>136.28159999999994</v>
      </c>
      <c r="BF157" s="13">
        <f t="shared" si="167"/>
        <v>35.443842312892279</v>
      </c>
      <c r="BG157" s="20">
        <f t="shared" si="168"/>
        <v>299.08847869495395</v>
      </c>
      <c r="BH157" s="59">
        <f t="shared" si="116"/>
        <v>586.2304270323167</v>
      </c>
      <c r="BI157" s="59">
        <f ca="1">AVERAGE(OFFSET($BH$3,0,0,'Données projet'!$E$11+1,1))-AVERAGE(OFFSET($H$3,0,0,'Données projet'!$E$11+1,1))</f>
        <v>218.97952644043698</v>
      </c>
      <c r="BJ157" s="59">
        <f t="shared" si="146"/>
        <v>204.10961748628714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0.4106686138554097</v>
      </c>
      <c r="BQ157" s="21">
        <f>EXP(-LN(2)/25)*BQ156+(1-EXP(-LN(2)/25))/(LN(2)/25)*Calculateur!BL157*Calculateur!BN157*VLOOKUP('Données projet'!$B$11,Paramètres!$A$1:$I$89,3,0)*0.475*44/12</f>
        <v>0.64368072577090529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1.0543493396263151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191.99999999999977</v>
      </c>
      <c r="BZ157" s="13">
        <f>BY157*VLOOKUP('Données projet'!$B$12,Paramètres!$A$1:$I$89,3,0)*VLOOKUP('Données projet'!$B$12,Paramètres!$A$1:$I$89,5,0)</f>
        <v>155.75039999999984</v>
      </c>
      <c r="CA157" s="13">
        <f t="shared" si="170"/>
        <v>39.882509755133718</v>
      </c>
      <c r="CB157" s="20">
        <f t="shared" si="171"/>
        <v>340.72731782352429</v>
      </c>
      <c r="CC157" s="59">
        <f t="shared" si="119"/>
        <v>627.86926616088704</v>
      </c>
      <c r="CD157" s="59">
        <f ca="1">AVERAGE(OFFSET($CC$3,0,0,'Données projet'!$E$12+1,1))-AVERAGE(OFFSET($H$3,0,0,'Données projet'!$E$12+1,1))</f>
        <v>256.23994291192162</v>
      </c>
      <c r="CE157" s="59">
        <f t="shared" si="148"/>
        <v>207.9118653708222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0.96016629533338904</v>
      </c>
      <c r="CL157" s="21">
        <f>EXP(-LN(2)/25)*CL156+(1-EXP(-LN(2)/25))/(LN(2)/25)*Calculateur!CG157*Calculateur!CI157*VLOOKUP('Données projet'!$B$12,Paramètres!$A$1:$I$89,3,0)*0.475*44/12</f>
        <v>1.6616648964150491</v>
      </c>
      <c r="CM157" s="21">
        <f>EXP(-LN(2)/2)*CM156+(1-EXP(-LN(2)/2))/(LN(2)/2)*CG157*CJ157*VLOOKUP('Données projet'!$B$12,Paramètres!$A$1:$I$89,3,0)*0.475*44/12</f>
        <v>4.3561538008205847E-10</v>
      </c>
      <c r="CN157" s="22">
        <f t="shared" si="172"/>
        <v>2.6218311921840538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170.99999999999991</v>
      </c>
      <c r="CU157" s="17">
        <f>CT157*VLOOKUP('Données projet'!$B$13,Paramètres!$A$1:$I$89,3,0)*VLOOKUP('Données projet'!$B$13,Paramètres!$A$1:$I$89,5,0)</f>
        <v>98.701199999999957</v>
      </c>
      <c r="CV157" s="13">
        <f t="shared" si="173"/>
        <v>26.652341328097943</v>
      </c>
      <c r="CW157" s="20">
        <f t="shared" si="174"/>
        <v>218.32408447977051</v>
      </c>
      <c r="CX157" s="59">
        <f t="shared" si="122"/>
        <v>505.46603281713328</v>
      </c>
      <c r="CY157" s="59">
        <f ca="1">AVERAGE(OFFSET($CX$3,0,0,'Données projet'!$E$13+1,1))-AVERAGE(OFFSET($H$3,0,0,'Données projet'!$E$13+1,1))</f>
        <v>205.74526926885287</v>
      </c>
      <c r="CZ157" s="59">
        <f t="shared" si="150"/>
        <v>201.56217137928999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0.25131113662475035</v>
      </c>
      <c r="DG157" s="21">
        <f>EXP(-LN(2)/25)*DG156+(1-EXP(-LN(2)/25))/(LN(2)/25)*Calculateur!DB157*Calculateur!DD157*VLOOKUP('Données projet'!$B$13,Paramètres!$A$1:$I$89,3,0)*0.475*44/12</f>
        <v>1.2570600632839291</v>
      </c>
      <c r="DH157" s="21">
        <f>EXP(-LN(2)/2)*DH156+(1-EXP(-LN(2)/2))/(LN(2)/2)*DB157*DE157*VLOOKUP('Données projet'!$B$13,Paramètres!$A$1:$I$89,3,0)*0.475*44/12</f>
        <v>5.1821889553921447E-10</v>
      </c>
      <c r="DI157" s="22">
        <f t="shared" si="175"/>
        <v>1.5083712004268981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1.8717948717948829</v>
      </c>
      <c r="DO157" s="12">
        <f>IF('Données projet'!$A$166&gt;35,DO156+DN157-DW156,IF(A157&lt;'Données projet'!$A$166,$DL$205^A157,IF(A157='Données projet'!$A$166,'Données projet'!$B$166,DO156+DN157-DW156)))</f>
        <v>126.81410256410203</v>
      </c>
      <c r="DP157" s="17">
        <f>DO157*VLOOKUP('Données projet'!$B$14,Paramètres!$A$1:$I$89,3,0)*VLOOKUP('Données projet'!$B$14,Paramètres!$A$1:$I$89,5,0)</f>
        <v>120.67629999999949</v>
      </c>
      <c r="DQ157" s="13">
        <f t="shared" si="176"/>
        <v>31.83268353297078</v>
      </c>
      <c r="DR157" s="20">
        <f t="shared" si="177"/>
        <v>265.61981298658986</v>
      </c>
      <c r="DS157" s="59">
        <f t="shared" si="125"/>
        <v>552.76176132395267</v>
      </c>
      <c r="DT157" s="59">
        <f ca="1">AVERAGE(OFFSET($DS$3,0,0,'Données projet'!$E$14+1,1))-AVERAGE(OFFSET($H$3,0,0,'Données projet'!$E$14+1,1))</f>
        <v>403.89478276355294</v>
      </c>
      <c r="DU157" s="59">
        <f t="shared" si="152"/>
        <v>241.1593989733278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109.24552790033952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109.24552790033952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1.8717948717948829</v>
      </c>
      <c r="N158" s="13">
        <f>IF('Données projet'!$A$36&gt;35,N157+M158-V157,IF(A158&lt;'Données projet'!$A$36,$K$205^A158,IF(A158='Données projet'!$A$36,'Données projet'!$B$36,N157+M158-V157)))</f>
        <v>128.68589743589692</v>
      </c>
      <c r="O158" s="13">
        <f>N158*VLOOKUP('Données projet'!$B$9,Paramètres!$A$1:$I$89,3,0)*VLOOKUP('Données projet'!$B$9,Paramètres!$A$1:$I$89,5,0)</f>
        <v>116.43499999999953</v>
      </c>
      <c r="P158" s="13">
        <f t="shared" si="141"/>
        <v>30.842067793939304</v>
      </c>
      <c r="Q158" s="20">
        <f t="shared" si="162"/>
        <v>256.50755974111013</v>
      </c>
      <c r="R158" s="59">
        <f t="shared" si="109"/>
        <v>543.75691476628981</v>
      </c>
      <c r="S158" s="59">
        <f ca="1">AVERAGE(OFFSET($R$3,0,0,'Données projet'!$E$9+1,1))-AVERAGE(OFFSET($H$3,0,0,'Données projet'!$E$9+1,1))</f>
        <v>388.1278150896951</v>
      </c>
      <c r="T158" s="59">
        <f t="shared" si="142"/>
        <v>232.26614607059227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101.83591482658312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101.83591482658312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1.8717948717948829</v>
      </c>
      <c r="AI158" s="13">
        <f>IF('Données projet'!$A$62&gt;35,AI157+AH158-AQ157,IF(A158&lt;'Données projet'!$A$62,$AF$205^A158,IF(A158='Données projet'!$A$62,'Données projet'!$B$62,AI157+AH158-AQ157)))</f>
        <v>128.68589743589692</v>
      </c>
      <c r="AJ158" s="13">
        <f>AI158*VLOOKUP('Données projet'!$B$10,Paramètres!$A$1:$I$89,3,0)*VLOOKUP('Données projet'!$B$10,Paramètres!$A$1:$I$89,5,0)</f>
        <v>130.4874999999995</v>
      </c>
      <c r="AK158" s="13">
        <f t="shared" si="164"/>
        <v>34.108981718044198</v>
      </c>
      <c r="AL158" s="20">
        <f t="shared" si="165"/>
        <v>286.67220565892609</v>
      </c>
      <c r="AM158" s="59">
        <f t="shared" si="113"/>
        <v>573.92156068410577</v>
      </c>
      <c r="AN158" s="59">
        <f ca="1">AVERAGE(OFFSET($AM$3,0,0,'Données projet'!$E$10+1,1))-AVERAGE(OFFSET($H$3,0,0,'Données projet'!$E$10+1,1))</f>
        <v>424.89201140676084</v>
      </c>
      <c r="AO158" s="59">
        <f t="shared" si="144"/>
        <v>253.0016648946303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114.12645627117077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114.12645627117077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155.99999999999991</v>
      </c>
      <c r="BE158" s="13">
        <f>BD158*VLOOKUP('Données projet'!$B$11,Paramètres!$A$1:$I$89,3,0)*VLOOKUP('Données projet'!$B$11,Paramètres!$A$1:$I$89,5,0)</f>
        <v>136.28159999999994</v>
      </c>
      <c r="BF158" s="13">
        <f t="shared" si="167"/>
        <v>35.443842312892279</v>
      </c>
      <c r="BG158" s="20">
        <f t="shared" si="168"/>
        <v>299.08847869495395</v>
      </c>
      <c r="BH158" s="59">
        <f t="shared" si="116"/>
        <v>586.33783372013363</v>
      </c>
      <c r="BI158" s="59">
        <f ca="1">AVERAGE(OFFSET($BH$3,0,0,'Données projet'!$E$11+1,1))-AVERAGE(OFFSET($H$3,0,0,'Données projet'!$E$11+1,1))</f>
        <v>218.97952644043698</v>
      </c>
      <c r="BJ158" s="59">
        <f t="shared" si="146"/>
        <v>204.10961748628714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0.4026156528208264</v>
      </c>
      <c r="BQ158" s="21">
        <f>EXP(-LN(2)/25)*BQ157+(1-EXP(-LN(2)/25))/(LN(2)/25)*Calculateur!BL158*Calculateur!BN158*VLOOKUP('Données projet'!$B$11,Paramètres!$A$1:$I$89,3,0)*0.475*44/12</f>
        <v>0.62607924247500168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1.0286948952958281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191.99999999999977</v>
      </c>
      <c r="BZ158" s="13">
        <f>BY158*VLOOKUP('Données projet'!$B$12,Paramètres!$A$1:$I$89,3,0)*VLOOKUP('Données projet'!$B$12,Paramètres!$A$1:$I$89,5,0)</f>
        <v>155.75039999999984</v>
      </c>
      <c r="CA158" s="13">
        <f t="shared" si="170"/>
        <v>39.882509755133718</v>
      </c>
      <c r="CB158" s="20">
        <f t="shared" si="171"/>
        <v>340.72731782352429</v>
      </c>
      <c r="CC158" s="59">
        <f t="shared" si="119"/>
        <v>627.97667284870397</v>
      </c>
      <c r="CD158" s="59">
        <f ca="1">AVERAGE(OFFSET($CC$3,0,0,'Données projet'!$E$12+1,1))-AVERAGE(OFFSET($H$3,0,0,'Données projet'!$E$12+1,1))</f>
        <v>256.23994291192162</v>
      </c>
      <c r="CE158" s="59">
        <f t="shared" si="148"/>
        <v>207.9118653708222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0.94133801992551391</v>
      </c>
      <c r="CL158" s="21">
        <f>EXP(-LN(2)/25)*CL157+(1-EXP(-LN(2)/25))/(LN(2)/25)*Calculateur!CG158*Calculateur!CI158*VLOOKUP('Données projet'!$B$12,Paramètres!$A$1:$I$89,3,0)*0.475*44/12</f>
        <v>1.6162265824394204</v>
      </c>
      <c r="CM158" s="21">
        <f>EXP(-LN(2)/2)*CM157+(1-EXP(-LN(2)/2))/(LN(2)/2)*CG158*CJ158*VLOOKUP('Données projet'!$B$12,Paramètres!$A$1:$I$89,3,0)*0.475*44/12</f>
        <v>3.0802658924517885E-10</v>
      </c>
      <c r="CN158" s="22">
        <f t="shared" si="172"/>
        <v>2.5575646026729606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170.99999999999991</v>
      </c>
      <c r="CU158" s="17">
        <f>CT158*VLOOKUP('Données projet'!$B$13,Paramètres!$A$1:$I$89,3,0)*VLOOKUP('Données projet'!$B$13,Paramètres!$A$1:$I$89,5,0)</f>
        <v>98.701199999999957</v>
      </c>
      <c r="CV158" s="13">
        <f t="shared" si="173"/>
        <v>26.652341328097943</v>
      </c>
      <c r="CW158" s="20">
        <f t="shared" si="174"/>
        <v>218.32408447977051</v>
      </c>
      <c r="CX158" s="59">
        <f t="shared" si="122"/>
        <v>505.57343950495022</v>
      </c>
      <c r="CY158" s="59">
        <f ca="1">AVERAGE(OFFSET($CX$3,0,0,'Données projet'!$E$13+1,1))-AVERAGE(OFFSET($H$3,0,0,'Données projet'!$E$13+1,1))</f>
        <v>205.74526926885287</v>
      </c>
      <c r="CZ158" s="59">
        <f t="shared" si="150"/>
        <v>201.56217137928999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0.24638307852019672</v>
      </c>
      <c r="DG158" s="21">
        <f>EXP(-LN(2)/25)*DG157+(1-EXP(-LN(2)/25))/(LN(2)/25)*Calculateur!DB158*Calculateur!DD158*VLOOKUP('Données projet'!$B$13,Paramètres!$A$1:$I$89,3,0)*0.475*44/12</f>
        <v>1.2226856897475142</v>
      </c>
      <c r="DH158" s="21">
        <f>EXP(-LN(2)/2)*DH157+(1-EXP(-LN(2)/2))/(LN(2)/2)*DB158*DE158*VLOOKUP('Données projet'!$B$13,Paramètres!$A$1:$I$89,3,0)*0.475*44/12</f>
        <v>3.6643609517478167E-10</v>
      </c>
      <c r="DI158" s="22">
        <f t="shared" si="175"/>
        <v>1.469068768634147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1.8717948717948829</v>
      </c>
      <c r="DO158" s="12">
        <f>IF('Données projet'!$A$166&gt;35,DO157+DN158-DW157,IF(A158&lt;'Données projet'!$A$166,$DL$205^A158,IF(A158='Données projet'!$A$166,'Données projet'!$B$166,DO157+DN158-DW157)))</f>
        <v>128.68589743589692</v>
      </c>
      <c r="DP158" s="17">
        <f>DO158*VLOOKUP('Données projet'!$B$14,Paramètres!$A$1:$I$89,3,0)*VLOOKUP('Données projet'!$B$14,Paramètres!$A$1:$I$89,5,0)</f>
        <v>122.45749999999951</v>
      </c>
      <c r="DQ158" s="13">
        <f t="shared" si="176"/>
        <v>32.247492807038746</v>
      </c>
      <c r="DR158" s="20">
        <f t="shared" si="177"/>
        <v>269.44452913892491</v>
      </c>
      <c r="DS158" s="59">
        <f t="shared" si="125"/>
        <v>556.69388416410459</v>
      </c>
      <c r="DT158" s="59">
        <f ca="1">AVERAGE(OFFSET($DS$3,0,0,'Données projet'!$E$14+1,1))-AVERAGE(OFFSET($H$3,0,0,'Données projet'!$E$14+1,1))</f>
        <v>403.89478276355294</v>
      </c>
      <c r="DU158" s="59">
        <f t="shared" si="152"/>
        <v>241.1593989733278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107.10328973140641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107.10328973140641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1.8717948717948829</v>
      </c>
      <c r="N159" s="13">
        <f>IF('Données projet'!$A$36&gt;35,N158+M159-V158,IF(A159&lt;'Données projet'!$A$36,$K$205^A159,IF(A159='Données projet'!$A$36,'Données projet'!$B$36,N158+M159-V158)))</f>
        <v>130.55769230769181</v>
      </c>
      <c r="O159" s="13">
        <f>N159*VLOOKUP('Données projet'!$B$9,Paramètres!$A$1:$I$89,3,0)*VLOOKUP('Données projet'!$B$9,Paramètres!$A$1:$I$89,5,0)</f>
        <v>118.12859999999955</v>
      </c>
      <c r="P159" s="13">
        <f t="shared" si="141"/>
        <v>31.238127501943364</v>
      </c>
      <c r="Q159" s="20">
        <f t="shared" si="162"/>
        <v>260.14705039921722</v>
      </c>
      <c r="R159" s="59">
        <f t="shared" si="109"/>
        <v>547.50194884630559</v>
      </c>
      <c r="S159" s="59">
        <f ca="1">AVERAGE(OFFSET($R$3,0,0,'Données projet'!$E$9+1,1))-AVERAGE(OFFSET($H$3,0,0,'Données projet'!$E$9+1,1))</f>
        <v>388.1278150896951</v>
      </c>
      <c r="T159" s="59">
        <f t="shared" si="142"/>
        <v>232.26614607059227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99.838974650608648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99.838974650608648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1.8717948717948829</v>
      </c>
      <c r="AI159" s="13">
        <f>IF('Données projet'!$A$62&gt;35,AI158+AH159-AQ158,IF(A159&lt;'Données projet'!$A$62,$AF$205^A159,IF(A159='Données projet'!$A$62,'Données projet'!$B$62,AI158+AH159-AQ158)))</f>
        <v>130.55769230769181</v>
      </c>
      <c r="AJ159" s="13">
        <f>AI159*VLOOKUP('Données projet'!$B$10,Paramètres!$A$1:$I$89,3,0)*VLOOKUP('Données projet'!$B$10,Paramètres!$A$1:$I$89,5,0)</f>
        <v>132.38549999999952</v>
      </c>
      <c r="AK159" s="13">
        <f t="shared" si="164"/>
        <v>34.546993638315641</v>
      </c>
      <c r="AL159" s="20">
        <f t="shared" si="165"/>
        <v>290.74075975339895</v>
      </c>
      <c r="AM159" s="59">
        <f t="shared" si="113"/>
        <v>578.09565820048726</v>
      </c>
      <c r="AN159" s="59">
        <f ca="1">AVERAGE(OFFSET($AM$3,0,0,'Données projet'!$E$10+1,1))-AVERAGE(OFFSET($H$3,0,0,'Données projet'!$E$10+1,1))</f>
        <v>424.89201140676084</v>
      </c>
      <c r="AO159" s="59">
        <f t="shared" si="144"/>
        <v>253.0016648946303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111.88850607395798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111.88850607395798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155.99999999999991</v>
      </c>
      <c r="BE159" s="13">
        <f>BD159*VLOOKUP('Données projet'!$B$11,Paramètres!$A$1:$I$89,3,0)*VLOOKUP('Données projet'!$B$11,Paramètres!$A$1:$I$89,5,0)</f>
        <v>136.28159999999994</v>
      </c>
      <c r="BF159" s="13">
        <f t="shared" si="167"/>
        <v>35.443842312892279</v>
      </c>
      <c r="BG159" s="20">
        <f t="shared" si="168"/>
        <v>299.08847869495395</v>
      </c>
      <c r="BH159" s="59">
        <f t="shared" si="116"/>
        <v>586.44337714204221</v>
      </c>
      <c r="BI159" s="59">
        <f ca="1">AVERAGE(OFFSET($BH$3,0,0,'Données projet'!$E$11+1,1))-AVERAGE(OFFSET($H$3,0,0,'Données projet'!$E$11+1,1))</f>
        <v>218.97952644043698</v>
      </c>
      <c r="BJ159" s="59">
        <f t="shared" si="146"/>
        <v>204.10961748628714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0.39472060544031007</v>
      </c>
      <c r="BQ159" s="21">
        <f>EXP(-LN(2)/25)*BQ158+(1-EXP(-LN(2)/25))/(LN(2)/25)*Calculateur!BL159*Calculateur!BN159*VLOOKUP('Données projet'!$B$11,Paramètres!$A$1:$I$89,3,0)*0.475*44/12</f>
        <v>0.60895907266544635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1.0036796781057564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191.99999999999977</v>
      </c>
      <c r="BZ159" s="13">
        <f>BY159*VLOOKUP('Données projet'!$B$12,Paramètres!$A$1:$I$89,3,0)*VLOOKUP('Données projet'!$B$12,Paramètres!$A$1:$I$89,5,0)</f>
        <v>155.75039999999984</v>
      </c>
      <c r="CA159" s="13">
        <f t="shared" si="170"/>
        <v>39.882509755133718</v>
      </c>
      <c r="CB159" s="20">
        <f t="shared" si="171"/>
        <v>340.72731782352429</v>
      </c>
      <c r="CC159" s="59">
        <f t="shared" si="119"/>
        <v>628.08221627061266</v>
      </c>
      <c r="CD159" s="59">
        <f ca="1">AVERAGE(OFFSET($CC$3,0,0,'Données projet'!$E$12+1,1))-AVERAGE(OFFSET($H$3,0,0,'Données projet'!$E$12+1,1))</f>
        <v>256.23994291192162</v>
      </c>
      <c r="CE159" s="59">
        <f t="shared" si="148"/>
        <v>207.9118653708222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0.92287895551427324</v>
      </c>
      <c r="CL159" s="21">
        <f>EXP(-LN(2)/25)*CL158+(1-EXP(-LN(2)/25))/(LN(2)/25)*Calculateur!CG159*Calculateur!CI159*VLOOKUP('Données projet'!$B$12,Paramètres!$A$1:$I$89,3,0)*0.475*44/12</f>
        <v>1.5720307815489525</v>
      </c>
      <c r="CM159" s="21">
        <f>EXP(-LN(2)/2)*CM158+(1-EXP(-LN(2)/2))/(LN(2)/2)*CG159*CJ159*VLOOKUP('Données projet'!$B$12,Paramètres!$A$1:$I$89,3,0)*0.475*44/12</f>
        <v>2.1780769004102924E-10</v>
      </c>
      <c r="CN159" s="22">
        <f t="shared" si="172"/>
        <v>2.4949097372810334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170.99999999999991</v>
      </c>
      <c r="CU159" s="17">
        <f>CT159*VLOOKUP('Données projet'!$B$13,Paramètres!$A$1:$I$89,3,0)*VLOOKUP('Données projet'!$B$13,Paramètres!$A$1:$I$89,5,0)</f>
        <v>98.701199999999957</v>
      </c>
      <c r="CV159" s="13">
        <f t="shared" si="173"/>
        <v>26.652341328097943</v>
      </c>
      <c r="CW159" s="20">
        <f t="shared" si="174"/>
        <v>218.32408447977051</v>
      </c>
      <c r="CX159" s="59">
        <f t="shared" si="122"/>
        <v>505.67898292685879</v>
      </c>
      <c r="CY159" s="59">
        <f ca="1">AVERAGE(OFFSET($CX$3,0,0,'Données projet'!$E$13+1,1))-AVERAGE(OFFSET($H$3,0,0,'Données projet'!$E$13+1,1))</f>
        <v>205.74526926885287</v>
      </c>
      <c r="CZ159" s="59">
        <f t="shared" si="150"/>
        <v>201.56217137928999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0.24155165662925476</v>
      </c>
      <c r="DG159" s="21">
        <f>EXP(-LN(2)/25)*DG158+(1-EXP(-LN(2)/25))/(LN(2)/25)*Calculateur!DB159*Calculateur!DD159*VLOOKUP('Données projet'!$B$13,Paramètres!$A$1:$I$89,3,0)*0.475*44/12</f>
        <v>1.1892512852631225</v>
      </c>
      <c r="DH159" s="21">
        <f>EXP(-LN(2)/2)*DH158+(1-EXP(-LN(2)/2))/(LN(2)/2)*DB159*DE159*VLOOKUP('Données projet'!$B$13,Paramètres!$A$1:$I$89,3,0)*0.475*44/12</f>
        <v>2.5910944776960723E-10</v>
      </c>
      <c r="DI159" s="22">
        <f t="shared" si="175"/>
        <v>1.4308029421514867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1.8717948717948829</v>
      </c>
      <c r="DO159" s="12">
        <f>IF('Données projet'!$A$166&gt;35,DO158+DN159-DW158,IF(A159&lt;'Données projet'!$A$166,$DL$205^A159,IF(A159='Données projet'!$A$166,'Données projet'!$B$166,DO158+DN159-DW158)))</f>
        <v>130.55769230769181</v>
      </c>
      <c r="DP159" s="17">
        <f>DO159*VLOOKUP('Données projet'!$B$14,Paramètres!$A$1:$I$89,3,0)*VLOOKUP('Données projet'!$B$14,Paramètres!$A$1:$I$89,5,0)</f>
        <v>124.23869999999953</v>
      </c>
      <c r="DQ159" s="13">
        <f t="shared" si="176"/>
        <v>32.66160033933366</v>
      </c>
      <c r="DR159" s="20">
        <f t="shared" si="177"/>
        <v>273.26802309100526</v>
      </c>
      <c r="DS159" s="59">
        <f t="shared" si="125"/>
        <v>560.62292153809358</v>
      </c>
      <c r="DT159" s="59">
        <f ca="1">AVERAGE(OFFSET($DS$3,0,0,'Données projet'!$E$14+1,1))-AVERAGE(OFFSET($H$3,0,0,'Données projet'!$E$14+1,1))</f>
        <v>403.89478276355294</v>
      </c>
      <c r="DU159" s="59">
        <f t="shared" si="152"/>
        <v>241.1593989733278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105.00305954632979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105.00305954632979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>
        <f>VLOOKUP(A160,'Données projet'!$A$35:$I$55,2,0)</f>
        <v>132.42948717948718</v>
      </c>
      <c r="L160" s="12">
        <f>VLOOKUP(A160,'Données projet'!$A$35:$I$55,9,0)</f>
        <v>1.8717948717948829</v>
      </c>
      <c r="M160" s="12">
        <f t="array" ref="M160">INDEX(L:L,MIN(IF(ISNUMBER(L160:L356),ROW(L160:L356),"")))</f>
        <v>1.8717948717948829</v>
      </c>
      <c r="N160" s="13">
        <f>IF('Données projet'!$A$36&gt;35,N159+M160-V159,IF(A160&lt;'Données projet'!$A$36,$K$205^A160,IF(A160='Données projet'!$A$36,'Données projet'!$B$36,N159+M160-V159)))</f>
        <v>132.4294871794867</v>
      </c>
      <c r="O160" s="13">
        <f>N160*VLOOKUP('Données projet'!$B$9,Paramètres!$A$1:$I$89,3,0)*VLOOKUP('Données projet'!$B$9,Paramètres!$A$1:$I$89,5,0)</f>
        <v>119.82219999999955</v>
      </c>
      <c r="P160" s="13">
        <f t="shared" si="141"/>
        <v>31.633526785966875</v>
      </c>
      <c r="Q160" s="20">
        <f t="shared" si="162"/>
        <v>263.78539081889153</v>
      </c>
      <c r="R160" s="59">
        <f t="shared" si="109"/>
        <v>551.24400174547804</v>
      </c>
      <c r="S160" s="59">
        <f ca="1">AVERAGE(OFFSET($R$3,0,0,'Données projet'!$E$9+1,1))-AVERAGE(OFFSET($H$3,0,0,'Données projet'!$E$9+1,1))</f>
        <v>388.1278150896951</v>
      </c>
      <c r="T160" s="59">
        <f t="shared" si="142"/>
        <v>232.26614607059227</v>
      </c>
      <c r="U160" s="15">
        <f>IF(ISNA(VLOOKUP(A160,'Données projet'!$A$35:$I$55,3,0)),0,VLOOKUP(A160,'Données projet'!$A$35:$I$55,3,0))</f>
        <v>14</v>
      </c>
      <c r="V160" s="15">
        <f>IF(ISNA(VLOOKUP(A160,'Données projet'!$A$35:$I$55,4,0)),0,VLOOKUP(A160,'Données projet'!$A$35:$I$55,4,0))</f>
        <v>45.71153846153846</v>
      </c>
      <c r="W160" s="16">
        <f>IF(ISNA(VLOOKUP(A160,'Données projet'!$A$35:$I$55,5,0)),0%,VLOOKUP(A160,'Données projet'!$A$35:$I$55,5,0)*VLOOKUP('Données projet'!$B$9,Paramètres!$A$1:$I$89,7,0))</f>
        <v>0.38700000000000001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115.57562033539027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115.57562033539027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>
        <f>VLOOKUP(A160,'Données projet'!$A$61:$I$81,2,0)</f>
        <v>132.42948717948718</v>
      </c>
      <c r="AG160" s="12">
        <f>VLOOKUP(A160,'Données projet'!$A$61:$I$81,9,0)</f>
        <v>1.8717948717948829</v>
      </c>
      <c r="AH160" s="12">
        <f t="array" ref="AH160">INDEX(AG:AG,MIN(IF(ISNUMBER(AG160:AG356),ROW(AG160:AG356),"")))</f>
        <v>1.8717948717948829</v>
      </c>
      <c r="AI160" s="13">
        <f>IF('Données projet'!$A$62&gt;35,AI159+AH160-AQ159,IF(A160&lt;'Données projet'!$A$62,$AF$205^A160,IF(A160='Données projet'!$A$62,'Données projet'!$B$62,AI159+AH160-AQ159)))</f>
        <v>132.4294871794867</v>
      </c>
      <c r="AJ160" s="13">
        <f>AI160*VLOOKUP('Données projet'!$B$10,Paramètres!$A$1:$I$89,3,0)*VLOOKUP('Données projet'!$B$10,Paramètres!$A$1:$I$89,5,0)</f>
        <v>134.28349999999952</v>
      </c>
      <c r="AK160" s="13">
        <f t="shared" si="164"/>
        <v>34.984275179883873</v>
      </c>
      <c r="AL160" s="20">
        <f t="shared" si="165"/>
        <v>294.80804177163026</v>
      </c>
      <c r="AM160" s="59">
        <f t="shared" si="113"/>
        <v>582.26665269821683</v>
      </c>
      <c r="AN160" s="59">
        <f ca="1">AVERAGE(OFFSET($AM$3,0,0,'Données projet'!$E$10+1,1))-AVERAGE(OFFSET($H$3,0,0,'Données projet'!$E$10+1,1))</f>
        <v>424.89201140676084</v>
      </c>
      <c r="AO160" s="59">
        <f t="shared" si="144"/>
        <v>253.0016648946303</v>
      </c>
      <c r="AP160" s="15">
        <f>IF(ISNA(VLOOKUP(A160,'Données projet'!$A$61:$I$81,3,0)),0,VLOOKUP(A160,'Données projet'!$A$61:$I$81,3,0))</f>
        <v>14</v>
      </c>
      <c r="AQ160" s="15">
        <f>IF(ISNA(VLOOKUP(A160,'Données projet'!$A$61:$I$81,4,0)),0,VLOOKUP(A160,'Données projet'!$A$61:$I$81,4,0))</f>
        <v>45.71153846153846</v>
      </c>
      <c r="AR160" s="16">
        <f>IF(ISNA(VLOOKUP(A160,'Données projet'!$A$61:$I$81,5,0)),0%,VLOOKUP(A160,'Données projet'!$A$61:$I$81,5,0)*VLOOKUP('Données projet'!$B$10,Paramètres!$A$1:$I$89,7,0))</f>
        <v>0.38700000000000001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129.52440210000634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129.52440210000634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155.99999999999991</v>
      </c>
      <c r="BE160" s="13">
        <f>BD160*VLOOKUP('Données projet'!$B$11,Paramètres!$A$1:$I$89,3,0)*VLOOKUP('Données projet'!$B$11,Paramètres!$A$1:$I$89,5,0)</f>
        <v>136.28159999999994</v>
      </c>
      <c r="BF160" s="13">
        <f t="shared" si="167"/>
        <v>35.443842312892279</v>
      </c>
      <c r="BG160" s="20">
        <f t="shared" si="168"/>
        <v>299.08847869495395</v>
      </c>
      <c r="BH160" s="59">
        <f t="shared" si="116"/>
        <v>586.54708962154052</v>
      </c>
      <c r="BI160" s="59">
        <f ca="1">AVERAGE(OFFSET($BH$3,0,0,'Données projet'!$E$11+1,1))-AVERAGE(OFFSET($H$3,0,0,'Données projet'!$E$11+1,1))</f>
        <v>218.97952644043698</v>
      </c>
      <c r="BJ160" s="59">
        <f t="shared" si="146"/>
        <v>204.10961748628714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0.38698037512342226</v>
      </c>
      <c r="BQ160" s="21">
        <f>EXP(-LN(2)/25)*BQ159+(1-EXP(-LN(2)/25))/(LN(2)/25)*Calculateur!BL160*Calculateur!BN160*VLOOKUP('Données projet'!$B$11,Paramètres!$A$1:$I$89,3,0)*0.475*44/12</f>
        <v>0.59230705479964385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0.97928742992306606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191.99999999999977</v>
      </c>
      <c r="BZ160" s="13">
        <f>BY160*VLOOKUP('Données projet'!$B$12,Paramètres!$A$1:$I$89,3,0)*VLOOKUP('Données projet'!$B$12,Paramètres!$A$1:$I$89,5,0)</f>
        <v>155.75039999999984</v>
      </c>
      <c r="CA160" s="13">
        <f t="shared" si="170"/>
        <v>39.882509755133718</v>
      </c>
      <c r="CB160" s="20">
        <f t="shared" si="171"/>
        <v>340.72731782352429</v>
      </c>
      <c r="CC160" s="59">
        <f t="shared" si="119"/>
        <v>628.18592875011086</v>
      </c>
      <c r="CD160" s="59">
        <f ca="1">AVERAGE(OFFSET($CC$3,0,0,'Données projet'!$E$12+1,1))-AVERAGE(OFFSET($H$3,0,0,'Données projet'!$E$12+1,1))</f>
        <v>256.23994291192162</v>
      </c>
      <c r="CE160" s="59">
        <f t="shared" si="148"/>
        <v>207.9118653708222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0.90478186209721934</v>
      </c>
      <c r="CL160" s="21">
        <f>EXP(-LN(2)/25)*CL159+(1-EXP(-LN(2)/25))/(LN(2)/25)*Calculateur!CG160*Calculateur!CI160*VLOOKUP('Données projet'!$B$12,Paramètres!$A$1:$I$89,3,0)*0.475*44/12</f>
        <v>1.5290435171579906</v>
      </c>
      <c r="CM160" s="21">
        <f>EXP(-LN(2)/2)*CM159+(1-EXP(-LN(2)/2))/(LN(2)/2)*CG160*CJ160*VLOOKUP('Données projet'!$B$12,Paramètres!$A$1:$I$89,3,0)*0.475*44/12</f>
        <v>1.5401329462258943E-10</v>
      </c>
      <c r="CN160" s="22">
        <f t="shared" si="172"/>
        <v>2.4338253794092233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170.99999999999991</v>
      </c>
      <c r="CU160" s="17">
        <f>CT160*VLOOKUP('Données projet'!$B$13,Paramètres!$A$1:$I$89,3,0)*VLOOKUP('Données projet'!$B$13,Paramètres!$A$1:$I$89,5,0)</f>
        <v>98.701199999999957</v>
      </c>
      <c r="CV160" s="13">
        <f t="shared" si="173"/>
        <v>26.652341328097943</v>
      </c>
      <c r="CW160" s="20">
        <f t="shared" si="174"/>
        <v>218.32408447977051</v>
      </c>
      <c r="CX160" s="59">
        <f t="shared" si="122"/>
        <v>505.78269540635711</v>
      </c>
      <c r="CY160" s="59">
        <f ca="1">AVERAGE(OFFSET($CX$3,0,0,'Données projet'!$E$13+1,1))-AVERAGE(OFFSET($H$3,0,0,'Données projet'!$E$13+1,1))</f>
        <v>205.74526926885287</v>
      </c>
      <c r="CZ160" s="59">
        <f t="shared" si="150"/>
        <v>201.56217137928999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0.23681497597471779</v>
      </c>
      <c r="DG160" s="21">
        <f>EXP(-LN(2)/25)*DG159+(1-EXP(-LN(2)/25))/(LN(2)/25)*Calculateur!DB160*Calculateur!DD160*VLOOKUP('Données projet'!$B$13,Paramètres!$A$1:$I$89,3,0)*0.475*44/12</f>
        <v>1.1567311463275953</v>
      </c>
      <c r="DH160" s="21">
        <f>EXP(-LN(2)/2)*DH159+(1-EXP(-LN(2)/2))/(LN(2)/2)*DB160*DE160*VLOOKUP('Données projet'!$B$13,Paramètres!$A$1:$I$89,3,0)*0.475*44/12</f>
        <v>1.8321804758739083E-10</v>
      </c>
      <c r="DI160" s="22">
        <f t="shared" si="175"/>
        <v>1.3935461224855312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>
        <f>VLOOKUP(A160,'Données projet'!$A$165:$I$185,2,0)</f>
        <v>132.42948717948718</v>
      </c>
      <c r="DM160" s="12">
        <f>VLOOKUP(A160,'Données projet'!$A$165:$I$185,9,0)</f>
        <v>1.8717948717948829</v>
      </c>
      <c r="DN160" s="12">
        <f t="array" ref="DN160">INDEX(DM:DM,MIN(IF(ISNUMBER(DM160:DM356),ROW(DM160:DM356),"")))</f>
        <v>1.8717948717948829</v>
      </c>
      <c r="DO160" s="12">
        <f>IF('Données projet'!$A$166&gt;35,DO159+DN160-DW159,IF(A160&lt;'Données projet'!$A$166,$DL$205^A160,IF(A160='Données projet'!$A$166,'Données projet'!$B$166,DO159+DN160-DW159)))</f>
        <v>132.4294871794867</v>
      </c>
      <c r="DP160" s="17">
        <f>DO160*VLOOKUP('Données projet'!$B$14,Paramètres!$A$1:$I$89,3,0)*VLOOKUP('Données projet'!$B$14,Paramètres!$A$1:$I$89,5,0)</f>
        <v>126.01989999999955</v>
      </c>
      <c r="DQ160" s="13">
        <f t="shared" si="176"/>
        <v>33.075017353155346</v>
      </c>
      <c r="DR160" s="20">
        <f t="shared" si="177"/>
        <v>277.09031439007811</v>
      </c>
      <c r="DS160" s="59">
        <f t="shared" si="125"/>
        <v>564.54892531666474</v>
      </c>
      <c r="DT160" s="59">
        <f ca="1">AVERAGE(OFFSET($DS$3,0,0,'Données projet'!$E$14+1,1))-AVERAGE(OFFSET($H$3,0,0,'Données projet'!$E$14+1,1))</f>
        <v>403.89478276355294</v>
      </c>
      <c r="DU160" s="59">
        <f t="shared" si="152"/>
        <v>241.1593989733278</v>
      </c>
      <c r="DV160" s="15">
        <f>IF(ISNA(VLOOKUP(A160,'Données projet'!$A$165:$I$185,3,0)),0,VLOOKUP(A160,'Données projet'!$A$165:$I$185,3,0))</f>
        <v>14</v>
      </c>
      <c r="DW160" s="15">
        <f>IF(ISNA(VLOOKUP(A160,'Données projet'!$A$165:$I$185,4,0)),0,VLOOKUP(A160,'Données projet'!$A$165:$I$185,4,0))</f>
        <v>45.71153846153846</v>
      </c>
      <c r="DX160" s="16">
        <f>IF(ISNA(VLOOKUP(A160,'Données projet'!$A$165:$I$185,5,0)),0%,VLOOKUP(A160,'Données projet'!$A$165:$I$185,5,0)*VLOOKUP('Données projet'!$B$14,Paramètres!$A$1:$I$89,7,0))</f>
        <v>0.38700000000000001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121.55366966308287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121.55366966308287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1.1618589743589709</v>
      </c>
      <c r="N161" s="13">
        <f>IF('Données projet'!$A$36&gt;35,N160+M161-V160,IF(A161&lt;'Données projet'!$A$36,$K$205^A161,IF(A161='Données projet'!$A$36,'Données projet'!$B$36,N160+M161-V160)))</f>
        <v>87.879807692307224</v>
      </c>
      <c r="O161" s="13">
        <f>N161*VLOOKUP('Données projet'!$B$9,Paramètres!$A$1:$I$89,3,0)*VLOOKUP('Données projet'!$B$9,Paramètres!$A$1:$I$89,5,0)</f>
        <v>79.513649999999572</v>
      </c>
      <c r="P161" s="13">
        <f t="shared" si="141"/>
        <v>22.018226855281608</v>
      </c>
      <c r="Q161" s="20">
        <f t="shared" si="162"/>
        <v>176.83468552294804</v>
      </c>
      <c r="R161" s="59">
        <f t="shared" si="109"/>
        <v>464.39520974938</v>
      </c>
      <c r="S161" s="59">
        <f ca="1">AVERAGE(OFFSET($R$3,0,0,'Données projet'!$E$9+1,1))-AVERAGE(OFFSET($H$3,0,0,'Données projet'!$E$9+1,1))</f>
        <v>388.1278150896951</v>
      </c>
      <c r="T161" s="59">
        <f t="shared" si="142"/>
        <v>232.26614607059227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113.30925291478096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113.30925291478096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1.1618589743589709</v>
      </c>
      <c r="AI161" s="13">
        <f>IF('Données projet'!$A$62&gt;35,AI160+AH161-AQ160,IF(A161&lt;'Données projet'!$A$62,$AF$205^A161,IF(A161='Données projet'!$A$62,'Données projet'!$B$62,AI160+AH161-AQ160)))</f>
        <v>87.879807692307224</v>
      </c>
      <c r="AJ161" s="13">
        <f>AI161*VLOOKUP('Données projet'!$B$10,Paramètres!$A$1:$I$89,3,0)*VLOOKUP('Données projet'!$B$10,Paramètres!$A$1:$I$89,5,0)</f>
        <v>89.110124999999528</v>
      </c>
      <c r="AK161" s="13">
        <f t="shared" si="164"/>
        <v>24.350484613685058</v>
      </c>
      <c r="AL161" s="20">
        <f t="shared" si="165"/>
        <v>197.61056174383398</v>
      </c>
      <c r="AM161" s="59">
        <f t="shared" si="113"/>
        <v>485.17108597026595</v>
      </c>
      <c r="AN161" s="59">
        <f ca="1">AVERAGE(OFFSET($AM$3,0,0,'Données projet'!$E$10+1,1))-AVERAGE(OFFSET($H$3,0,0,'Données projet'!$E$10+1,1))</f>
        <v>424.89201140676084</v>
      </c>
      <c r="AO161" s="59">
        <f t="shared" si="144"/>
        <v>253.0016648946303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126.98450757690969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126.98450757690969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155.99999999999991</v>
      </c>
      <c r="BE161" s="13">
        <f>BD161*VLOOKUP('Données projet'!$B$11,Paramètres!$A$1:$I$89,3,0)*VLOOKUP('Données projet'!$B$11,Paramètres!$A$1:$I$89,5,0)</f>
        <v>136.28159999999994</v>
      </c>
      <c r="BF161" s="13">
        <f t="shared" si="167"/>
        <v>35.443842312892279</v>
      </c>
      <c r="BG161" s="20">
        <f t="shared" si="168"/>
        <v>299.08847869495395</v>
      </c>
      <c r="BH161" s="59">
        <f t="shared" si="116"/>
        <v>586.649002921386</v>
      </c>
      <c r="BI161" s="59">
        <f ca="1">AVERAGE(OFFSET($BH$3,0,0,'Données projet'!$E$11+1,1))-AVERAGE(OFFSET($H$3,0,0,'Données projet'!$E$11+1,1))</f>
        <v>218.97952644043698</v>
      </c>
      <c r="BJ161" s="59">
        <f t="shared" si="146"/>
        <v>204.10961748628714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0.3793919260019743</v>
      </c>
      <c r="BQ161" s="21">
        <f>EXP(-LN(2)/25)*BQ160+(1-EXP(-LN(2)/25))/(LN(2)/25)*Calculateur!BL161*Calculateur!BN161*VLOOKUP('Données projet'!$B$11,Paramètres!$A$1:$I$89,3,0)*0.475*44/12</f>
        <v>0.57611038723807328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0.95550231324004753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191.99999999999977</v>
      </c>
      <c r="BZ161" s="13">
        <f>BY161*VLOOKUP('Données projet'!$B$12,Paramètres!$A$1:$I$89,3,0)*VLOOKUP('Données projet'!$B$12,Paramètres!$A$1:$I$89,5,0)</f>
        <v>155.75039999999984</v>
      </c>
      <c r="CA161" s="13">
        <f t="shared" si="170"/>
        <v>39.882509755133718</v>
      </c>
      <c r="CB161" s="20">
        <f t="shared" si="171"/>
        <v>340.72731782352429</v>
      </c>
      <c r="CC161" s="59">
        <f t="shared" si="119"/>
        <v>628.28784204995623</v>
      </c>
      <c r="CD161" s="59">
        <f ca="1">AVERAGE(OFFSET($CC$3,0,0,'Données projet'!$E$12+1,1))-AVERAGE(OFFSET($H$3,0,0,'Données projet'!$E$12+1,1))</f>
        <v>256.23994291192162</v>
      </c>
      <c r="CE161" s="59">
        <f t="shared" si="148"/>
        <v>207.9118653708222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0.88703964164393689</v>
      </c>
      <c r="CL161" s="21">
        <f>EXP(-LN(2)/25)*CL160+(1-EXP(-LN(2)/25))/(LN(2)/25)*Calculateur!CG161*Calculateur!CI161*VLOOKUP('Données projet'!$B$12,Paramètres!$A$1:$I$89,3,0)*0.475*44/12</f>
        <v>1.4872317417724015</v>
      </c>
      <c r="CM161" s="21">
        <f>EXP(-LN(2)/2)*CM160+(1-EXP(-LN(2)/2))/(LN(2)/2)*CG161*CJ161*VLOOKUP('Données projet'!$B$12,Paramètres!$A$1:$I$89,3,0)*0.475*44/12</f>
        <v>1.0890384502051462E-10</v>
      </c>
      <c r="CN161" s="22">
        <f t="shared" si="172"/>
        <v>2.3742713835252425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170.99999999999991</v>
      </c>
      <c r="CU161" s="17">
        <f>CT161*VLOOKUP('Données projet'!$B$13,Paramètres!$A$1:$I$89,3,0)*VLOOKUP('Données projet'!$B$13,Paramètres!$A$1:$I$89,5,0)</f>
        <v>98.701199999999957</v>
      </c>
      <c r="CV161" s="13">
        <f t="shared" si="173"/>
        <v>26.652341328097943</v>
      </c>
      <c r="CW161" s="20">
        <f t="shared" si="174"/>
        <v>218.32408447977051</v>
      </c>
      <c r="CX161" s="59">
        <f t="shared" si="122"/>
        <v>505.88460870620247</v>
      </c>
      <c r="CY161" s="59">
        <f ca="1">AVERAGE(OFFSET($CX$3,0,0,'Données projet'!$E$13+1,1))-AVERAGE(OFFSET($H$3,0,0,'Données projet'!$E$13+1,1))</f>
        <v>205.74526926885287</v>
      </c>
      <c r="CZ161" s="59">
        <f t="shared" si="150"/>
        <v>201.56217137928999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0.23217117873872636</v>
      </c>
      <c r="DG161" s="21">
        <f>EXP(-LN(2)/25)*DG160+(1-EXP(-LN(2)/25))/(LN(2)/25)*Calculateur!DB161*Calculateur!DD161*VLOOKUP('Données projet'!$B$13,Paramètres!$A$1:$I$89,3,0)*0.475*44/12</f>
        <v>1.1251002723014201</v>
      </c>
      <c r="DH161" s="21">
        <f>EXP(-LN(2)/2)*DH160+(1-EXP(-LN(2)/2))/(LN(2)/2)*DB161*DE161*VLOOKUP('Données projet'!$B$13,Paramètres!$A$1:$I$89,3,0)*0.475*44/12</f>
        <v>1.2955472388480362E-10</v>
      </c>
      <c r="DI161" s="22">
        <f t="shared" si="175"/>
        <v>1.3572714511697013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1.1618589743589709</v>
      </c>
      <c r="DO161" s="12">
        <f>IF('Données projet'!$A$166&gt;35,DO160+DN161-DW160,IF(A161&lt;'Données projet'!$A$166,$DL$205^A161,IF(A161='Données projet'!$A$166,'Données projet'!$B$166,DO160+DN161-DW160)))</f>
        <v>87.879807692307224</v>
      </c>
      <c r="DP161" s="17">
        <f>DO161*VLOOKUP('Données projet'!$B$14,Paramètres!$A$1:$I$89,3,0)*VLOOKUP('Données projet'!$B$14,Paramètres!$A$1:$I$89,5,0)</f>
        <v>83.626424999999557</v>
      </c>
      <c r="DQ161" s="13">
        <f t="shared" si="176"/>
        <v>23.021563174145172</v>
      </c>
      <c r="DR161" s="20">
        <f t="shared" si="177"/>
        <v>185.74524606996872</v>
      </c>
      <c r="DS161" s="59">
        <f t="shared" si="125"/>
        <v>473.30577029640074</v>
      </c>
      <c r="DT161" s="59">
        <f ca="1">AVERAGE(OFFSET($DS$3,0,0,'Données projet'!$E$14+1,1))-AVERAGE(OFFSET($H$3,0,0,'Données projet'!$E$14+1,1))</f>
        <v>403.89478276355294</v>
      </c>
      <c r="DU161" s="59">
        <f t="shared" si="152"/>
        <v>241.1593989733278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119.17007634140755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119.17007634140755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1.1618589743589709</v>
      </c>
      <c r="N162" s="13">
        <f>IF('Données projet'!$A$36&gt;35,N161+M162-V161,IF(A162&lt;'Données projet'!$A$36,$K$205^A162,IF(A162='Données projet'!$A$36,'Données projet'!$B$36,N161+M162-V161)))</f>
        <v>89.041666666666202</v>
      </c>
      <c r="O162" s="13">
        <f>N162*VLOOKUP('Données projet'!$B$9,Paramètres!$A$1:$I$89,3,0)*VLOOKUP('Données projet'!$B$9,Paramètres!$A$1:$I$89,5,0)</f>
        <v>80.564899999999582</v>
      </c>
      <c r="P162" s="13">
        <f t="shared" si="141"/>
        <v>22.275248501153126</v>
      </c>
      <c r="Q162" s="20">
        <f t="shared" si="162"/>
        <v>179.11325863950762</v>
      </c>
      <c r="R162" s="59">
        <f t="shared" si="109"/>
        <v>466.77392819787656</v>
      </c>
      <c r="S162" s="59">
        <f ca="1">AVERAGE(OFFSET($R$3,0,0,'Données projet'!$E$9+1,1))-AVERAGE(OFFSET($H$3,0,0,'Données projet'!$E$9+1,1))</f>
        <v>388.1278150896951</v>
      </c>
      <c r="T162" s="59">
        <f t="shared" si="142"/>
        <v>232.26614607059227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111.08732757694216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111.08732757694216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1.1618589743589709</v>
      </c>
      <c r="AI162" s="13">
        <f>IF('Données projet'!$A$62&gt;35,AI161+AH162-AQ161,IF(A162&lt;'Données projet'!$A$62,$AF$205^A162,IF(A162='Données projet'!$A$62,'Données projet'!$B$62,AI161+AH162-AQ161)))</f>
        <v>89.041666666666202</v>
      </c>
      <c r="AJ162" s="13">
        <f>AI162*VLOOKUP('Données projet'!$B$10,Paramètres!$A$1:$I$89,3,0)*VLOOKUP('Données projet'!$B$10,Paramètres!$A$1:$I$89,5,0)</f>
        <v>90.288249999999536</v>
      </c>
      <c r="AK162" s="13">
        <f t="shared" si="164"/>
        <v>24.634731009832841</v>
      </c>
      <c r="AL162" s="20">
        <f t="shared" si="165"/>
        <v>200.15752525879137</v>
      </c>
      <c r="AM162" s="59">
        <f t="shared" si="113"/>
        <v>487.81819481716036</v>
      </c>
      <c r="AN162" s="59">
        <f ca="1">AVERAGE(OFFSET($AM$3,0,0,'Données projet'!$E$10+1,1))-AVERAGE(OFFSET($H$3,0,0,'Données projet'!$E$10+1,1))</f>
        <v>424.89201140676084</v>
      </c>
      <c r="AO162" s="59">
        <f t="shared" si="144"/>
        <v>253.0016648946303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124.49441883622828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124.49441883622828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155.99999999999991</v>
      </c>
      <c r="BE162" s="13">
        <f>BD162*VLOOKUP('Données projet'!$B$11,Paramètres!$A$1:$I$89,3,0)*VLOOKUP('Données projet'!$B$11,Paramètres!$A$1:$I$89,5,0)</f>
        <v>136.28159999999994</v>
      </c>
      <c r="BF162" s="13">
        <f t="shared" si="167"/>
        <v>35.443842312892279</v>
      </c>
      <c r="BG162" s="20">
        <f t="shared" si="168"/>
        <v>299.08847869495395</v>
      </c>
      <c r="BH162" s="59">
        <f t="shared" si="116"/>
        <v>586.74914825332291</v>
      </c>
      <c r="BI162" s="59">
        <f ca="1">AVERAGE(OFFSET($BH$3,0,0,'Données projet'!$E$11+1,1))-AVERAGE(OFFSET($H$3,0,0,'Données projet'!$E$11+1,1))</f>
        <v>218.97952644043698</v>
      </c>
      <c r="BJ162" s="59">
        <f t="shared" si="146"/>
        <v>204.10961748628714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0.37195228173930101</v>
      </c>
      <c r="BQ162" s="21">
        <f>EXP(-LN(2)/25)*BQ161+(1-EXP(-LN(2)/25))/(LN(2)/25)*Calculateur!BL162*Calculateur!BN162*VLOOKUP('Données projet'!$B$11,Paramètres!$A$1:$I$89,3,0)*0.475*44/12</f>
        <v>0.56035661840271966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0.93230890014202061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191.99999999999977</v>
      </c>
      <c r="BZ162" s="13">
        <f>BY162*VLOOKUP('Données projet'!$B$12,Paramètres!$A$1:$I$89,3,0)*VLOOKUP('Données projet'!$B$12,Paramètres!$A$1:$I$89,5,0)</f>
        <v>155.75039999999984</v>
      </c>
      <c r="CA162" s="13">
        <f t="shared" si="170"/>
        <v>39.882509755133718</v>
      </c>
      <c r="CB162" s="20">
        <f t="shared" si="171"/>
        <v>340.72731782352429</v>
      </c>
      <c r="CC162" s="59">
        <f t="shared" si="119"/>
        <v>628.38798738189325</v>
      </c>
      <c r="CD162" s="59">
        <f ca="1">AVERAGE(OFFSET($CC$3,0,0,'Données projet'!$E$12+1,1))-AVERAGE(OFFSET($H$3,0,0,'Données projet'!$E$12+1,1))</f>
        <v>256.23994291192162</v>
      </c>
      <c r="CE162" s="59">
        <f t="shared" si="148"/>
        <v>207.9118653708222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0.86964533531205734</v>
      </c>
      <c r="CL162" s="21">
        <f>EXP(-LN(2)/25)*CL161+(1-EXP(-LN(2)/25))/(LN(2)/25)*Calculateur!CG162*Calculateur!CI162*VLOOKUP('Données projet'!$B$12,Paramètres!$A$1:$I$89,3,0)*0.475*44/12</f>
        <v>1.446563311583517</v>
      </c>
      <c r="CM162" s="21">
        <f>EXP(-LN(2)/2)*CM161+(1-EXP(-LN(2)/2))/(LN(2)/2)*CG162*CJ162*VLOOKUP('Données projet'!$B$12,Paramètres!$A$1:$I$89,3,0)*0.475*44/12</f>
        <v>7.7006647311294713E-11</v>
      </c>
      <c r="CN162" s="22">
        <f t="shared" si="172"/>
        <v>2.3162086469725813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170.99999999999991</v>
      </c>
      <c r="CU162" s="17">
        <f>CT162*VLOOKUP('Données projet'!$B$13,Paramètres!$A$1:$I$89,3,0)*VLOOKUP('Données projet'!$B$13,Paramètres!$A$1:$I$89,5,0)</f>
        <v>98.701199999999957</v>
      </c>
      <c r="CV162" s="13">
        <f t="shared" si="173"/>
        <v>26.652341328097943</v>
      </c>
      <c r="CW162" s="20">
        <f t="shared" si="174"/>
        <v>218.32408447977051</v>
      </c>
      <c r="CX162" s="59">
        <f t="shared" si="122"/>
        <v>505.9847540381395</v>
      </c>
      <c r="CY162" s="59">
        <f ca="1">AVERAGE(OFFSET($CX$3,0,0,'Données projet'!$E$13+1,1))-AVERAGE(OFFSET($H$3,0,0,'Données projet'!$E$13+1,1))</f>
        <v>205.74526926885287</v>
      </c>
      <c r="CZ162" s="59">
        <f t="shared" si="150"/>
        <v>201.56217137928999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0.2276184435340961</v>
      </c>
      <c r="DG162" s="21">
        <f>EXP(-LN(2)/25)*DG161+(1-EXP(-LN(2)/25))/(LN(2)/25)*Calculateur!DB162*Calculateur!DD162*VLOOKUP('Données projet'!$B$13,Paramètres!$A$1:$I$89,3,0)*0.475*44/12</f>
        <v>1.0943343461888859</v>
      </c>
      <c r="DH162" s="21">
        <f>EXP(-LN(2)/2)*DH161+(1-EXP(-LN(2)/2))/(LN(2)/2)*DB162*DE162*VLOOKUP('Données projet'!$B$13,Paramètres!$A$1:$I$89,3,0)*0.475*44/12</f>
        <v>9.1609023793695416E-11</v>
      </c>
      <c r="DI162" s="22">
        <f t="shared" si="175"/>
        <v>1.3219527898145911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1.1618589743589709</v>
      </c>
      <c r="DO162" s="12">
        <f>IF('Données projet'!$A$166&gt;35,DO161+DN162-DW161,IF(A162&lt;'Données projet'!$A$166,$DL$205^A162,IF(A162='Données projet'!$A$166,'Données projet'!$B$166,DO161+DN162-DW161)))</f>
        <v>89.041666666666202</v>
      </c>
      <c r="DP162" s="17">
        <f>DO162*VLOOKUP('Données projet'!$B$14,Paramètres!$A$1:$I$89,3,0)*VLOOKUP('Données projet'!$B$14,Paramètres!$A$1:$I$89,5,0)</f>
        <v>84.73204999999956</v>
      </c>
      <c r="DQ162" s="13">
        <f t="shared" si="176"/>
        <v>23.290296896276573</v>
      </c>
      <c r="DR162" s="20">
        <f t="shared" si="177"/>
        <v>188.13892084434758</v>
      </c>
      <c r="DS162" s="59">
        <f t="shared" si="125"/>
        <v>475.79959040271655</v>
      </c>
      <c r="DT162" s="59">
        <f ca="1">AVERAGE(OFFSET($DS$3,0,0,'Données projet'!$E$14+1,1))-AVERAGE(OFFSET($H$3,0,0,'Données projet'!$E$14+1,1))</f>
        <v>403.89478276355294</v>
      </c>
      <c r="DU162" s="59">
        <f t="shared" si="152"/>
        <v>241.1593989733278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116.83322383092191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116.83322383092191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1.1618589743589709</v>
      </c>
      <c r="N163" s="13">
        <f>IF('Données projet'!$A$36&gt;35,N162+M163-V162,IF(A163&lt;'Données projet'!$A$36,$K$205^A163,IF(A163='Données projet'!$A$36,'Données projet'!$B$36,N162+M163-V162)))</f>
        <v>90.20352564102518</v>
      </c>
      <c r="O163" s="13">
        <f>N163*VLOOKUP('Données projet'!$B$9,Paramètres!$A$1:$I$89,3,0)*VLOOKUP('Données projet'!$B$9,Paramètres!$A$1:$I$89,5,0)</f>
        <v>81.616149999999578</v>
      </c>
      <c r="P163" s="13">
        <f t="shared" si="141"/>
        <v>22.531880055892035</v>
      </c>
      <c r="Q163" s="20">
        <f t="shared" si="162"/>
        <v>181.39115234734456</v>
      </c>
      <c r="R163" s="59">
        <f t="shared" si="109"/>
        <v>469.15022994003289</v>
      </c>
      <c r="S163" s="59">
        <f ca="1">AVERAGE(OFFSET($R$3,0,0,'Données projet'!$E$9+1,1))-AVERAGE(OFFSET($H$3,0,0,'Données projet'!$E$9+1,1))</f>
        <v>388.1278150896951</v>
      </c>
      <c r="T163" s="59">
        <f t="shared" si="142"/>
        <v>232.26614607059227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108.90897283973774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108.90897283973774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1.1618589743589709</v>
      </c>
      <c r="AI163" s="13">
        <f>IF('Données projet'!$A$62&gt;35,AI162+AH163-AQ162,IF(A163&lt;'Données projet'!$A$62,$AF$205^A163,IF(A163='Données projet'!$A$62,'Données projet'!$B$62,AI162+AH163-AQ162)))</f>
        <v>90.20352564102518</v>
      </c>
      <c r="AJ163" s="13">
        <f>AI163*VLOOKUP('Données projet'!$B$10,Paramètres!$A$1:$I$89,3,0)*VLOOKUP('Données projet'!$B$10,Paramètres!$A$1:$I$89,5,0)</f>
        <v>91.466374999999545</v>
      </c>
      <c r="AK163" s="13">
        <f t="shared" si="164"/>
        <v>24.918545994850898</v>
      </c>
      <c r="AL163" s="20">
        <f t="shared" si="165"/>
        <v>202.70373739936451</v>
      </c>
      <c r="AM163" s="59">
        <f t="shared" si="113"/>
        <v>490.46281499205287</v>
      </c>
      <c r="AN163" s="59">
        <f ca="1">AVERAGE(OFFSET($AM$3,0,0,'Données projet'!$E$10+1,1))-AVERAGE(OFFSET($H$3,0,0,'Données projet'!$E$10+1,1))</f>
        <v>424.89201140676084</v>
      </c>
      <c r="AO163" s="59">
        <f t="shared" si="144"/>
        <v>253.0016648946303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122.05315921694746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122.05315921694746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155.99999999999991</v>
      </c>
      <c r="BE163" s="13">
        <f>BD163*VLOOKUP('Données projet'!$B$11,Paramètres!$A$1:$I$89,3,0)*VLOOKUP('Données projet'!$B$11,Paramètres!$A$1:$I$89,5,0)</f>
        <v>136.28159999999994</v>
      </c>
      <c r="BF163" s="13">
        <f t="shared" si="167"/>
        <v>35.443842312892279</v>
      </c>
      <c r="BG163" s="20">
        <f t="shared" si="168"/>
        <v>299.08847869495395</v>
      </c>
      <c r="BH163" s="59">
        <f t="shared" si="116"/>
        <v>586.84755628764231</v>
      </c>
      <c r="BI163" s="59">
        <f ca="1">AVERAGE(OFFSET($BH$3,0,0,'Données projet'!$E$11+1,1))-AVERAGE(OFFSET($H$3,0,0,'Données projet'!$E$11+1,1))</f>
        <v>218.97952644043698</v>
      </c>
      <c r="BJ163" s="59">
        <f t="shared" si="146"/>
        <v>204.10961748628714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0.36465852436288376</v>
      </c>
      <c r="BQ163" s="21">
        <f>EXP(-LN(2)/25)*BQ162+(1-EXP(-LN(2)/25))/(LN(2)/25)*Calculateur!BL163*Calculateur!BN163*VLOOKUP('Données projet'!$B$11,Paramètres!$A$1:$I$89,3,0)*0.475*44/12</f>
        <v>0.5450336372046235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0.90969216156750732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191.99999999999977</v>
      </c>
      <c r="BZ163" s="13">
        <f>BY163*VLOOKUP('Données projet'!$B$12,Paramètres!$A$1:$I$89,3,0)*VLOOKUP('Données projet'!$B$12,Paramètres!$A$1:$I$89,5,0)</f>
        <v>155.75039999999984</v>
      </c>
      <c r="CA163" s="13">
        <f t="shared" si="170"/>
        <v>39.882509755133718</v>
      </c>
      <c r="CB163" s="20">
        <f t="shared" si="171"/>
        <v>340.72731782352429</v>
      </c>
      <c r="CC163" s="59">
        <f t="shared" si="119"/>
        <v>628.48639541621264</v>
      </c>
      <c r="CD163" s="59">
        <f ca="1">AVERAGE(OFFSET($CC$3,0,0,'Données projet'!$E$12+1,1))-AVERAGE(OFFSET($H$3,0,0,'Données projet'!$E$12+1,1))</f>
        <v>256.23994291192162</v>
      </c>
      <c r="CE163" s="59">
        <f t="shared" si="148"/>
        <v>207.9118653708222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0.85259212071786672</v>
      </c>
      <c r="CL163" s="21">
        <f>EXP(-LN(2)/25)*CL162+(1-EXP(-LN(2)/25))/(LN(2)/25)*Calculateur!CG163*Calculateur!CI163*VLOOKUP('Données projet'!$B$12,Paramètres!$A$1:$I$89,3,0)*0.475*44/12</f>
        <v>1.4070069617568073</v>
      </c>
      <c r="CM163" s="21">
        <f>EXP(-LN(2)/2)*CM162+(1-EXP(-LN(2)/2))/(LN(2)/2)*CG163*CJ163*VLOOKUP('Données projet'!$B$12,Paramètres!$A$1:$I$89,3,0)*0.475*44/12</f>
        <v>5.4451922510257309E-11</v>
      </c>
      <c r="CN163" s="22">
        <f t="shared" si="172"/>
        <v>2.2595990825291259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170.99999999999991</v>
      </c>
      <c r="CU163" s="17">
        <f>CT163*VLOOKUP('Données projet'!$B$13,Paramètres!$A$1:$I$89,3,0)*VLOOKUP('Données projet'!$B$13,Paramètres!$A$1:$I$89,5,0)</f>
        <v>98.701199999999957</v>
      </c>
      <c r="CV163" s="13">
        <f t="shared" si="173"/>
        <v>26.652341328097943</v>
      </c>
      <c r="CW163" s="20">
        <f t="shared" si="174"/>
        <v>218.32408447977051</v>
      </c>
      <c r="CX163" s="59">
        <f t="shared" si="122"/>
        <v>506.08316207245889</v>
      </c>
      <c r="CY163" s="59">
        <f ca="1">AVERAGE(OFFSET($CX$3,0,0,'Données projet'!$E$13+1,1))-AVERAGE(OFFSET($H$3,0,0,'Données projet'!$E$13+1,1))</f>
        <v>205.74526926885287</v>
      </c>
      <c r="CZ163" s="59">
        <f t="shared" si="150"/>
        <v>201.56217137928999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0.22315498468993436</v>
      </c>
      <c r="DG163" s="21">
        <f>EXP(-LN(2)/25)*DG162+(1-EXP(-LN(2)/25))/(LN(2)/25)*Calculateur!DB163*Calculateur!DD163*VLOOKUP('Données projet'!$B$13,Paramètres!$A$1:$I$89,3,0)*0.475*44/12</f>
        <v>1.0644097159438086</v>
      </c>
      <c r="DH163" s="21">
        <f>EXP(-LN(2)/2)*DH162+(1-EXP(-LN(2)/2))/(LN(2)/2)*DB163*DE163*VLOOKUP('Données projet'!$B$13,Paramètres!$A$1:$I$89,3,0)*0.475*44/12</f>
        <v>6.4777361942401809E-11</v>
      </c>
      <c r="DI163" s="22">
        <f t="shared" si="175"/>
        <v>1.2875647006985202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1.1618589743589709</v>
      </c>
      <c r="DO163" s="12">
        <f>IF('Données projet'!$A$166&gt;35,DO162+DN163-DW162,IF(A163&lt;'Données projet'!$A$166,$DL$205^A163,IF(A163='Données projet'!$A$166,'Données projet'!$B$166,DO162+DN163-DW162)))</f>
        <v>90.20352564102518</v>
      </c>
      <c r="DP163" s="17">
        <f>DO163*VLOOKUP('Données projet'!$B$14,Paramètres!$A$1:$I$89,3,0)*VLOOKUP('Données projet'!$B$14,Paramètres!$A$1:$I$89,5,0)</f>
        <v>85.837674999999564</v>
      </c>
      <c r="DQ163" s="13">
        <f t="shared" si="176"/>
        <v>23.558622751429791</v>
      </c>
      <c r="DR163" s="20">
        <f t="shared" si="177"/>
        <v>190.53188525040613</v>
      </c>
      <c r="DS163" s="59">
        <f t="shared" si="125"/>
        <v>478.29096284309446</v>
      </c>
      <c r="DT163" s="59">
        <f ca="1">AVERAGE(OFFSET($DS$3,0,0,'Données projet'!$E$14+1,1))-AVERAGE(OFFSET($H$3,0,0,'Données projet'!$E$14+1,1))</f>
        <v>403.89478276355294</v>
      </c>
      <c r="DU163" s="59">
        <f t="shared" si="152"/>
        <v>241.1593989733278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114.54219557282761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114.54219557282761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>
        <f>VLOOKUP(A164,'Données projet'!$A$35:$I$55,2,0)</f>
        <v>91.365384615384613</v>
      </c>
      <c r="L164" s="12">
        <f>VLOOKUP(A164,'Données projet'!$A$35:$I$55,9,0)</f>
        <v>1.1618589743589709</v>
      </c>
      <c r="M164" s="12">
        <f t="array" ref="M164">INDEX(L:L,MIN(IF(ISNUMBER(L164:L360),ROW(L164:L360),"")))</f>
        <v>1.1618589743589709</v>
      </c>
      <c r="N164" s="13">
        <f>IF('Données projet'!$A$36&gt;35,N163+M164-V163,IF(A164&lt;'Données projet'!$A$36,$K$205^A164,IF(A164='Données projet'!$A$36,'Données projet'!$B$36,N163+M164-V163)))</f>
        <v>91.365384615384158</v>
      </c>
      <c r="O164" s="13">
        <f>N164*VLOOKUP('Données projet'!$B$9,Paramètres!$A$1:$I$89,3,0)*VLOOKUP('Données projet'!$B$9,Paramètres!$A$1:$I$89,5,0)</f>
        <v>82.667399999999589</v>
      </c>
      <c r="P164" s="13">
        <f t="shared" si="141"/>
        <v>22.788127124999455</v>
      </c>
      <c r="Q164" s="20">
        <f t="shared" si="162"/>
        <v>183.66837640937331</v>
      </c>
      <c r="R164" s="59">
        <f t="shared" si="109"/>
        <v>471.52415487699301</v>
      </c>
      <c r="S164" s="59">
        <f ca="1">AVERAGE(OFFSET($R$3,0,0,'Données projet'!$E$9+1,1))-AVERAGE(OFFSET($H$3,0,0,'Données projet'!$E$9+1,1))</f>
        <v>388.1278150896951</v>
      </c>
      <c r="T164" s="59">
        <f t="shared" si="142"/>
        <v>232.26614607059227</v>
      </c>
      <c r="U164" s="15">
        <f>IF(ISNA(VLOOKUP(A164,'Données projet'!$A$35:$I$55,3,0)),0,VLOOKUP(A164,'Données projet'!$A$35:$I$55,3,0))</f>
        <v>15</v>
      </c>
      <c r="V164" s="15">
        <f>IF(ISNA(VLOOKUP(A164,'Données projet'!$A$35:$I$55,4,0)),0,VLOOKUP(A164,'Données projet'!$A$35:$I$55,4,0))</f>
        <v>91.365384615384613</v>
      </c>
      <c r="W164" s="16">
        <f>IF(ISNA(VLOOKUP(A164,'Données projet'!$A$35:$I$55,5,0)),0%,VLOOKUP(A164,'Données projet'!$A$35:$I$55,5,0)*VLOOKUP('Données projet'!$B$9,Paramètres!$A$1:$I$89,7,0))</f>
        <v>0.38700000000000001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142.13985642477655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142.13985642477655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>
        <f>VLOOKUP(A164,'Données projet'!$A$61:$I$81,2,0)</f>
        <v>91.365384615384613</v>
      </c>
      <c r="AG164" s="12">
        <f>VLOOKUP(A164,'Données projet'!$A$61:$I$81,9,0)</f>
        <v>1.1618589743589709</v>
      </c>
      <c r="AH164" s="12">
        <f t="array" ref="AH164">INDEX(AG:AG,MIN(IF(ISNUMBER(AG164:AG360),ROW(AG164:AG360),"")))</f>
        <v>1.1618589743589709</v>
      </c>
      <c r="AI164" s="13">
        <f>IF('Données projet'!$A$62&gt;35,AI163+AH164-AQ163,IF(A164&lt;'Données projet'!$A$62,$AF$205^A164,IF(A164='Données projet'!$A$62,'Données projet'!$B$62,AI163+AH164-AQ163)))</f>
        <v>91.365384615384158</v>
      </c>
      <c r="AJ164" s="13">
        <f>AI164*VLOOKUP('Données projet'!$B$10,Paramètres!$A$1:$I$89,3,0)*VLOOKUP('Données projet'!$B$10,Paramètres!$A$1:$I$89,5,0)</f>
        <v>92.644499999999539</v>
      </c>
      <c r="AK164" s="13">
        <f t="shared" si="164"/>
        <v>25.201935767997217</v>
      </c>
      <c r="AL164" s="20">
        <f t="shared" si="165"/>
        <v>205.24920896259434</v>
      </c>
      <c r="AM164" s="59">
        <f t="shared" si="113"/>
        <v>493.10498743021401</v>
      </c>
      <c r="AN164" s="59">
        <f ca="1">AVERAGE(OFFSET($AM$3,0,0,'Données projet'!$E$10+1,1))-AVERAGE(OFFSET($H$3,0,0,'Données projet'!$E$10+1,1))</f>
        <v>424.89201140676084</v>
      </c>
      <c r="AO164" s="59">
        <f t="shared" si="144"/>
        <v>253.0016648946303</v>
      </c>
      <c r="AP164" s="15">
        <f>IF(ISNA(VLOOKUP(A164,'Données projet'!$A$61:$I$81,3,0)),0,VLOOKUP(A164,'Données projet'!$A$61:$I$81,3,0))</f>
        <v>15</v>
      </c>
      <c r="AQ164" s="15">
        <f>IF(ISNA(VLOOKUP(A164,'Données projet'!$A$61:$I$81,4,0)),0,VLOOKUP(A164,'Données projet'!$A$61:$I$81,4,0))</f>
        <v>91.365384615384613</v>
      </c>
      <c r="AR164" s="16">
        <f>IF(ISNA(VLOOKUP(A164,'Données projet'!$A$61:$I$81,5,0)),0%,VLOOKUP(A164,'Données projet'!$A$61:$I$81,5,0)*VLOOKUP('Données projet'!$B$10,Paramètres!$A$1:$I$89,7,0))</f>
        <v>0.38700000000000001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159.29466668293924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159.29466668293924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155.99999999999991</v>
      </c>
      <c r="BE164" s="13">
        <f>BD164*VLOOKUP('Données projet'!$B$11,Paramètres!$A$1:$I$89,3,0)*VLOOKUP('Données projet'!$B$11,Paramètres!$A$1:$I$89,5,0)</f>
        <v>136.28159999999994</v>
      </c>
      <c r="BF164" s="13">
        <f t="shared" si="167"/>
        <v>35.443842312892279</v>
      </c>
      <c r="BG164" s="20">
        <f t="shared" si="168"/>
        <v>299.08847869495395</v>
      </c>
      <c r="BH164" s="59">
        <f t="shared" si="116"/>
        <v>586.94425716257365</v>
      </c>
      <c r="BI164" s="59">
        <f ca="1">AVERAGE(OFFSET($BH$3,0,0,'Données projet'!$E$11+1,1))-AVERAGE(OFFSET($H$3,0,0,'Données projet'!$E$11+1,1))</f>
        <v>218.97952644043698</v>
      </c>
      <c r="BJ164" s="59">
        <f t="shared" si="146"/>
        <v>204.10961748628714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0.35750779311986536</v>
      </c>
      <c r="BQ164" s="21">
        <f>EXP(-LN(2)/25)*BQ163+(1-EXP(-LN(2)/25))/(LN(2)/25)*Calculateur!BL164*Calculateur!BN164*VLOOKUP('Données projet'!$B$11,Paramètres!$A$1:$I$89,3,0)*0.475*44/12</f>
        <v>0.53012966373318982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0.88763745685305517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191.99999999999977</v>
      </c>
      <c r="BZ164" s="13">
        <f>BY164*VLOOKUP('Données projet'!$B$12,Paramètres!$A$1:$I$89,3,0)*VLOOKUP('Données projet'!$B$12,Paramètres!$A$1:$I$89,5,0)</f>
        <v>155.75039999999984</v>
      </c>
      <c r="CA164" s="13">
        <f t="shared" si="170"/>
        <v>39.882509755133718</v>
      </c>
      <c r="CB164" s="20">
        <f t="shared" si="171"/>
        <v>340.72731782352429</v>
      </c>
      <c r="CC164" s="59">
        <f t="shared" si="119"/>
        <v>628.58309629114399</v>
      </c>
      <c r="CD164" s="59">
        <f ca="1">AVERAGE(OFFSET($CC$3,0,0,'Données projet'!$E$12+1,1))-AVERAGE(OFFSET($H$3,0,0,'Données projet'!$E$12+1,1))</f>
        <v>256.23994291192162</v>
      </c>
      <c r="CE164" s="59">
        <f t="shared" si="148"/>
        <v>207.9118653708222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0.83587330926043435</v>
      </c>
      <c r="CL164" s="21">
        <f>EXP(-LN(2)/25)*CL163+(1-EXP(-LN(2)/25))/(LN(2)/25)*Calculateur!CG164*Calculateur!CI164*VLOOKUP('Données projet'!$B$12,Paramètres!$A$1:$I$89,3,0)*0.475*44/12</f>
        <v>1.3685322823962871</v>
      </c>
      <c r="CM164" s="21">
        <f>EXP(-LN(2)/2)*CM163+(1-EXP(-LN(2)/2))/(LN(2)/2)*CG164*CJ164*VLOOKUP('Données projet'!$B$12,Paramètres!$A$1:$I$89,3,0)*0.475*44/12</f>
        <v>3.8503323655647356E-11</v>
      </c>
      <c r="CN164" s="22">
        <f t="shared" si="172"/>
        <v>2.2044055916952248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170.99999999999991</v>
      </c>
      <c r="CU164" s="17">
        <f>CT164*VLOOKUP('Données projet'!$B$13,Paramètres!$A$1:$I$89,3,0)*VLOOKUP('Données projet'!$B$13,Paramètres!$A$1:$I$89,5,0)</f>
        <v>98.701199999999957</v>
      </c>
      <c r="CV164" s="13">
        <f t="shared" si="173"/>
        <v>26.652341328097943</v>
      </c>
      <c r="CW164" s="20">
        <f t="shared" si="174"/>
        <v>218.32408447977051</v>
      </c>
      <c r="CX164" s="59">
        <f t="shared" si="122"/>
        <v>506.17986294739023</v>
      </c>
      <c r="CY164" s="59">
        <f ca="1">AVERAGE(OFFSET($CX$3,0,0,'Données projet'!$E$13+1,1))-AVERAGE(OFFSET($H$3,0,0,'Données projet'!$E$13+1,1))</f>
        <v>205.74526926885287</v>
      </c>
      <c r="CZ164" s="59">
        <f t="shared" si="150"/>
        <v>201.56217137928999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0.21877905155126556</v>
      </c>
      <c r="DG164" s="21">
        <f>EXP(-LN(2)/25)*DG163+(1-EXP(-LN(2)/25))/(LN(2)/25)*Calculateur!DB164*Calculateur!DD164*VLOOKUP('Données projet'!$B$13,Paramètres!$A$1:$I$89,3,0)*0.475*44/12</f>
        <v>1.035303376286451</v>
      </c>
      <c r="DH164" s="21">
        <f>EXP(-LN(2)/2)*DH163+(1-EXP(-LN(2)/2))/(LN(2)/2)*DB164*DE164*VLOOKUP('Données projet'!$B$13,Paramètres!$A$1:$I$89,3,0)*0.475*44/12</f>
        <v>4.5804511896847708E-11</v>
      </c>
      <c r="DI164" s="22">
        <f t="shared" si="175"/>
        <v>1.254082427883521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>
        <f>VLOOKUP(A164,'Données projet'!$A$165:$I$185,2,0)</f>
        <v>91.365384615384613</v>
      </c>
      <c r="DM164" s="12">
        <f>VLOOKUP(A164,'Données projet'!$A$165:$I$185,9,0)</f>
        <v>1.1618589743589709</v>
      </c>
      <c r="DN164" s="12">
        <f t="array" ref="DN164">INDEX(DM:DM,MIN(IF(ISNUMBER(DM164:DM360),ROW(DM164:DM360),"")))</f>
        <v>1.1618589743589709</v>
      </c>
      <c r="DO164" s="12">
        <f>IF('Données projet'!$A$166&gt;35,DO163+DN164-DW163,IF(A164&lt;'Données projet'!$A$166,$DL$205^A164,IF(A164='Données projet'!$A$166,'Données projet'!$B$166,DO163+DN164-DW163)))</f>
        <v>91.365384615384158</v>
      </c>
      <c r="DP164" s="17">
        <f>DO164*VLOOKUP('Données projet'!$B$14,Paramètres!$A$1:$I$89,3,0)*VLOOKUP('Données projet'!$B$14,Paramètres!$A$1:$I$89,5,0)</f>
        <v>86.943299999999567</v>
      </c>
      <c r="DQ164" s="13">
        <f t="shared" si="176"/>
        <v>23.826546600539892</v>
      </c>
      <c r="DR164" s="20">
        <f t="shared" si="177"/>
        <v>192.92414949593956</v>
      </c>
      <c r="DS164" s="59">
        <f t="shared" si="125"/>
        <v>480.77992796355926</v>
      </c>
      <c r="DT164" s="59">
        <f ca="1">AVERAGE(OFFSET($DS$3,0,0,'Données projet'!$E$14+1,1))-AVERAGE(OFFSET($H$3,0,0,'Données projet'!$E$14+1,1))</f>
        <v>403.89478276355294</v>
      </c>
      <c r="DU164" s="59">
        <f t="shared" si="152"/>
        <v>241.1593989733278</v>
      </c>
      <c r="DV164" s="15">
        <f>IF(ISNA(VLOOKUP(A164,'Données projet'!$A$165:$I$185,3,0)),0,VLOOKUP(A164,'Données projet'!$A$165:$I$185,3,0))</f>
        <v>15</v>
      </c>
      <c r="DW164" s="15">
        <f>IF(ISNA(VLOOKUP(A164,'Données projet'!$A$165:$I$185,4,0)),0,VLOOKUP(A164,'Données projet'!$A$165:$I$185,4,0))</f>
        <v>91.365384615384613</v>
      </c>
      <c r="DX164" s="16">
        <f>IF(ISNA(VLOOKUP(A164,'Données projet'!$A$165:$I$185,5,0)),0%,VLOOKUP(A164,'Données projet'!$A$165:$I$185,5,0)*VLOOKUP('Données projet'!$B$14,Paramètres!$A$1:$I$89,7,0))</f>
        <v>0.38700000000000001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149.49191796398912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149.49191796398912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-4.5474735088646412E-13</v>
      </c>
      <c r="O165" s="13">
        <f>N165*VLOOKUP('Données projet'!$B$9,Paramètres!$A$1:$I$89,3,0)*VLOOKUP('Données projet'!$B$9,Paramètres!$A$1:$I$89,5,0)</f>
        <v>-4.1145540308207271E-13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388.1278150896951</v>
      </c>
      <c r="T165" s="59">
        <f t="shared" si="142"/>
        <v>232.26614607059227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139.35258053703851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139.35258053703851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-4.5474735088646412E-13</v>
      </c>
      <c r="AJ165" s="13">
        <f>AI165*VLOOKUP('Données projet'!$B$10,Paramètres!$A$1:$I$89,3,0)*VLOOKUP('Données projet'!$B$10,Paramètres!$A$1:$I$89,5,0)</f>
        <v>-4.6111381379887462E-13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424.89201140676084</v>
      </c>
      <c r="AO165" s="59">
        <f t="shared" si="144"/>
        <v>253.0016648946303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156.1709954294397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156.1709954294397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155.99999999999991</v>
      </c>
      <c r="BE165" s="13">
        <f>BD165*VLOOKUP('Données projet'!$B$11,Paramètres!$A$1:$I$89,3,0)*VLOOKUP('Données projet'!$B$11,Paramètres!$A$1:$I$89,5,0)</f>
        <v>136.28159999999994</v>
      </c>
      <c r="BF165" s="13">
        <f t="shared" si="167"/>
        <v>35.443842312892279</v>
      </c>
      <c r="BG165" s="20">
        <f t="shared" si="168"/>
        <v>299.08847869495395</v>
      </c>
      <c r="BH165" s="59">
        <f t="shared" si="116"/>
        <v>587.03928049351566</v>
      </c>
      <c r="BI165" s="59">
        <f ca="1">AVERAGE(OFFSET($BH$3,0,0,'Données projet'!$E$11+1,1))-AVERAGE(OFFSET($H$3,0,0,'Données projet'!$E$11+1,1))</f>
        <v>218.97952644043698</v>
      </c>
      <c r="BJ165" s="59">
        <f t="shared" si="146"/>
        <v>204.10961748628714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0.35049728335500713</v>
      </c>
      <c r="BQ165" s="21">
        <f>EXP(-LN(2)/25)*BQ164+(1-EXP(-LN(2)/25))/(LN(2)/25)*Calculateur!BL165*Calculateur!BN165*VLOOKUP('Données projet'!$B$11,Paramètres!$A$1:$I$89,3,0)*0.475*44/12</f>
        <v>0.51563324020009838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0.86613052355510556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191.99999999999977</v>
      </c>
      <c r="BZ165" s="13">
        <f>BY165*VLOOKUP('Données projet'!$B$12,Paramètres!$A$1:$I$89,3,0)*VLOOKUP('Données projet'!$B$12,Paramètres!$A$1:$I$89,5,0)</f>
        <v>155.75039999999984</v>
      </c>
      <c r="CA165" s="13">
        <f t="shared" si="170"/>
        <v>39.882509755133718</v>
      </c>
      <c r="CB165" s="20">
        <f t="shared" si="171"/>
        <v>340.72731782352429</v>
      </c>
      <c r="CC165" s="59">
        <f t="shared" si="119"/>
        <v>628.678119622086</v>
      </c>
      <c r="CD165" s="59">
        <f ca="1">AVERAGE(OFFSET($CC$3,0,0,'Données projet'!$E$12+1,1))-AVERAGE(OFFSET($H$3,0,0,'Données projet'!$E$12+1,1))</f>
        <v>256.23994291192162</v>
      </c>
      <c r="CE165" s="59">
        <f t="shared" si="148"/>
        <v>207.9118653708222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0.81948234349821414</v>
      </c>
      <c r="CL165" s="21">
        <f>EXP(-LN(2)/25)*CL164+(1-EXP(-LN(2)/25))/(LN(2)/25)*Calculateur!CG165*Calculateur!CI165*VLOOKUP('Données projet'!$B$12,Paramètres!$A$1:$I$89,3,0)*0.475*44/12</f>
        <v>1.3311096951661758</v>
      </c>
      <c r="CM165" s="21">
        <f>EXP(-LN(2)/2)*CM164+(1-EXP(-LN(2)/2))/(LN(2)/2)*CG165*CJ165*VLOOKUP('Données projet'!$B$12,Paramètres!$A$1:$I$89,3,0)*0.475*44/12</f>
        <v>2.7225961255128655E-11</v>
      </c>
      <c r="CN165" s="22">
        <f t="shared" si="172"/>
        <v>2.1505920386916157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170.99999999999991</v>
      </c>
      <c r="CU165" s="17">
        <f>CT165*VLOOKUP('Données projet'!$B$13,Paramètres!$A$1:$I$89,3,0)*VLOOKUP('Données projet'!$B$13,Paramètres!$A$1:$I$89,5,0)</f>
        <v>98.701199999999957</v>
      </c>
      <c r="CV165" s="13">
        <f t="shared" si="173"/>
        <v>26.652341328097943</v>
      </c>
      <c r="CW165" s="20">
        <f t="shared" si="174"/>
        <v>218.32408447977051</v>
      </c>
      <c r="CX165" s="59">
        <f t="shared" si="122"/>
        <v>506.27488627833225</v>
      </c>
      <c r="CY165" s="59">
        <f ca="1">AVERAGE(OFFSET($CX$3,0,0,'Données projet'!$E$13+1,1))-AVERAGE(OFFSET($H$3,0,0,'Données projet'!$E$13+1,1))</f>
        <v>205.74526926885287</v>
      </c>
      <c r="CZ165" s="59">
        <f t="shared" si="150"/>
        <v>201.56217137928999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0.21448892779239037</v>
      </c>
      <c r="DG165" s="21">
        <f>EXP(-LN(2)/25)*DG164+(1-EXP(-LN(2)/25))/(LN(2)/25)*Calculateur!DB165*Calculateur!DD165*VLOOKUP('Données projet'!$B$13,Paramètres!$A$1:$I$89,3,0)*0.475*44/12</f>
        <v>1.0069929510176596</v>
      </c>
      <c r="DH165" s="21">
        <f>EXP(-LN(2)/2)*DH164+(1-EXP(-LN(2)/2))/(LN(2)/2)*DB165*DE165*VLOOKUP('Données projet'!$B$13,Paramètres!$A$1:$I$89,3,0)*0.475*44/12</f>
        <v>3.2388680971200904E-11</v>
      </c>
      <c r="DI165" s="22">
        <f t="shared" si="175"/>
        <v>1.2214818788424386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-4.5474735088646412E-13</v>
      </c>
      <c r="DP165" s="17">
        <f>DO165*VLOOKUP('Données projet'!$B$14,Paramètres!$A$1:$I$89,3,0)*VLOOKUP('Données projet'!$B$14,Paramètres!$A$1:$I$89,5,0)</f>
        <v>-4.3273757910355926E-13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403.89478276355294</v>
      </c>
      <c r="DU165" s="59">
        <f t="shared" si="152"/>
        <v>241.1593989733278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146.56047263378187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146.56047263378187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-4.5474735088646412E-13</v>
      </c>
      <c r="O166" s="13">
        <f>N166*VLOOKUP('Données projet'!$B$9,Paramètres!$A$1:$I$89,3,0)*VLOOKUP('Données projet'!$B$9,Paramètres!$A$1:$I$89,5,0)</f>
        <v>-4.1145540308207271E-13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388.1278150896951</v>
      </c>
      <c r="T166" s="59">
        <f t="shared" si="142"/>
        <v>232.26614607059227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136.61996142938858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136.61996142938858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-4.5474735088646412E-13</v>
      </c>
      <c r="AJ166" s="13">
        <f>AI166*VLOOKUP('Données projet'!$B$10,Paramètres!$A$1:$I$89,3,0)*VLOOKUP('Données projet'!$B$10,Paramètres!$A$1:$I$89,5,0)</f>
        <v>-4.6111381379887462E-13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424.89201140676084</v>
      </c>
      <c r="AO166" s="59">
        <f t="shared" si="144"/>
        <v>253.0016648946303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153.10857746396997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153.10857746396997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155.99999999999991</v>
      </c>
      <c r="BE166" s="13">
        <f>BD166*VLOOKUP('Données projet'!$B$11,Paramètres!$A$1:$I$89,3,0)*VLOOKUP('Données projet'!$B$11,Paramètres!$A$1:$I$89,5,0)</f>
        <v>136.28159999999994</v>
      </c>
      <c r="BF166" s="13">
        <f t="shared" si="167"/>
        <v>35.443842312892279</v>
      </c>
      <c r="BG166" s="20">
        <f t="shared" si="168"/>
        <v>299.08847869495395</v>
      </c>
      <c r="BH166" s="59">
        <f t="shared" si="116"/>
        <v>587.13265538210612</v>
      </c>
      <c r="BI166" s="59">
        <f ca="1">AVERAGE(OFFSET($BH$3,0,0,'Données projet'!$E$11+1,1))-AVERAGE(OFFSET($H$3,0,0,'Données projet'!$E$11+1,1))</f>
        <v>218.97952644043698</v>
      </c>
      <c r="BJ166" s="59">
        <f t="shared" si="146"/>
        <v>204.10961748628714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0.34362424541064907</v>
      </c>
      <c r="BQ166" s="21">
        <f>EXP(-LN(2)/25)*BQ165+(1-EXP(-LN(2)/25))/(LN(2)/25)*Calculateur!BL166*Calculateur!BN166*VLOOKUP('Données projet'!$B$11,Paramètres!$A$1:$I$89,3,0)*0.475*44/12</f>
        <v>0.50153322213085305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0.84515746754150212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191.99999999999977</v>
      </c>
      <c r="BZ166" s="13">
        <f>BY166*VLOOKUP('Données projet'!$B$12,Paramètres!$A$1:$I$89,3,0)*VLOOKUP('Données projet'!$B$12,Paramètres!$A$1:$I$89,5,0)</f>
        <v>155.75039999999984</v>
      </c>
      <c r="CA166" s="13">
        <f t="shared" si="170"/>
        <v>39.882509755133718</v>
      </c>
      <c r="CB166" s="20">
        <f t="shared" si="171"/>
        <v>340.72731782352429</v>
      </c>
      <c r="CC166" s="59">
        <f t="shared" si="119"/>
        <v>628.77149451067658</v>
      </c>
      <c r="CD166" s="59">
        <f ca="1">AVERAGE(OFFSET($CC$3,0,0,'Données projet'!$E$12+1,1))-AVERAGE(OFFSET($H$3,0,0,'Données projet'!$E$12+1,1))</f>
        <v>256.23994291192162</v>
      </c>
      <c r="CE166" s="59">
        <f t="shared" si="148"/>
        <v>207.9118653708222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0.80341279457708914</v>
      </c>
      <c r="CL166" s="21">
        <f>EXP(-LN(2)/25)*CL165+(1-EXP(-LN(2)/25))/(LN(2)/25)*Calculateur!CG166*Calculateur!CI166*VLOOKUP('Données projet'!$B$12,Paramètres!$A$1:$I$89,3,0)*0.475*44/12</f>
        <v>1.2947104305518402</v>
      </c>
      <c r="CM166" s="21">
        <f>EXP(-LN(2)/2)*CM165+(1-EXP(-LN(2)/2))/(LN(2)/2)*CG166*CJ166*VLOOKUP('Données projet'!$B$12,Paramètres!$A$1:$I$89,3,0)*0.475*44/12</f>
        <v>1.9251661827823678E-11</v>
      </c>
      <c r="CN166" s="22">
        <f t="shared" si="172"/>
        <v>2.0981232251481812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170.99999999999991</v>
      </c>
      <c r="CU166" s="17">
        <f>CT166*VLOOKUP('Données projet'!$B$13,Paramètres!$A$1:$I$89,3,0)*VLOOKUP('Données projet'!$B$13,Paramètres!$A$1:$I$89,5,0)</f>
        <v>98.701199999999957</v>
      </c>
      <c r="CV166" s="13">
        <f t="shared" si="173"/>
        <v>26.652341328097943</v>
      </c>
      <c r="CW166" s="20">
        <f t="shared" si="174"/>
        <v>218.32408447977051</v>
      </c>
      <c r="CX166" s="59">
        <f t="shared" si="122"/>
        <v>506.36826116692271</v>
      </c>
      <c r="CY166" s="59">
        <f ca="1">AVERAGE(OFFSET($CX$3,0,0,'Données projet'!$E$13+1,1))-AVERAGE(OFFSET($H$3,0,0,'Données projet'!$E$13+1,1))</f>
        <v>205.74526926885287</v>
      </c>
      <c r="CZ166" s="59">
        <f t="shared" si="150"/>
        <v>201.56217137928999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0.21028293074370963</v>
      </c>
      <c r="DG166" s="21">
        <f>EXP(-LN(2)/25)*DG165+(1-EXP(-LN(2)/25))/(LN(2)/25)*Calculateur!DB166*Calculateur!DD166*VLOOKUP('Données projet'!$B$13,Paramètres!$A$1:$I$89,3,0)*0.475*44/12</f>
        <v>0.97945667581662399</v>
      </c>
      <c r="DH166" s="21">
        <f>EXP(-LN(2)/2)*DH165+(1-EXP(-LN(2)/2))/(LN(2)/2)*DB166*DE166*VLOOKUP('Données projet'!$B$13,Paramètres!$A$1:$I$89,3,0)*0.475*44/12</f>
        <v>2.2902255948423854E-11</v>
      </c>
      <c r="DI166" s="22">
        <f t="shared" si="175"/>
        <v>1.189739606583236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-4.5474735088646412E-13</v>
      </c>
      <c r="DP166" s="17">
        <f>DO166*VLOOKUP('Données projet'!$B$14,Paramètres!$A$1:$I$89,3,0)*VLOOKUP('Données projet'!$B$14,Paramètres!$A$1:$I$89,5,0)</f>
        <v>-4.3273757910355926E-13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403.89478276355294</v>
      </c>
      <c r="DU166" s="59">
        <f t="shared" si="152"/>
        <v>241.1593989733278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143.68651115849488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143.68651115849488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-4.5474735088646412E-13</v>
      </c>
      <c r="O167" s="13">
        <f>N167*VLOOKUP('Données projet'!$B$9,Paramètres!$A$1:$I$89,3,0)*VLOOKUP('Données projet'!$B$9,Paramètres!$A$1:$I$89,5,0)</f>
        <v>-4.1145540308207271E-13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388.1278150896951</v>
      </c>
      <c r="T167" s="59">
        <f t="shared" si="142"/>
        <v>232.26614607059227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133.9409273157066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133.9409273157066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-4.5474735088646412E-13</v>
      </c>
      <c r="AJ167" s="13">
        <f>AI167*VLOOKUP('Données projet'!$B$10,Paramètres!$A$1:$I$89,3,0)*VLOOKUP('Données projet'!$B$10,Paramètres!$A$1:$I$89,5,0)</f>
        <v>-4.6111381379887462E-13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424.89201140676084</v>
      </c>
      <c r="AO167" s="59">
        <f t="shared" si="144"/>
        <v>253.0016648946303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150.10621164691256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150.10621164691256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155.99999999999991</v>
      </c>
      <c r="BE167" s="13">
        <f>BD167*VLOOKUP('Données projet'!$B$11,Paramètres!$A$1:$I$89,3,0)*VLOOKUP('Données projet'!$B$11,Paramètres!$A$1:$I$89,5,0)</f>
        <v>136.28159999999994</v>
      </c>
      <c r="BF167" s="13">
        <f t="shared" si="167"/>
        <v>35.443842312892279</v>
      </c>
      <c r="BG167" s="20">
        <f t="shared" si="168"/>
        <v>299.08847869495395</v>
      </c>
      <c r="BH167" s="59">
        <f t="shared" si="116"/>
        <v>587.22441042513469</v>
      </c>
      <c r="BI167" s="59">
        <f ca="1">AVERAGE(OFFSET($BH$3,0,0,'Données projet'!$E$11+1,1))-AVERAGE(OFFSET($H$3,0,0,'Données projet'!$E$11+1,1))</f>
        <v>218.97952644043698</v>
      </c>
      <c r="BJ167" s="59">
        <f t="shared" si="146"/>
        <v>204.10961748628714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0.33688598354824062</v>
      </c>
      <c r="BQ167" s="21">
        <f>EXP(-LN(2)/25)*BQ166+(1-EXP(-LN(2)/25))/(LN(2)/25)*Calculateur!BL167*Calculateur!BN167*VLOOKUP('Données projet'!$B$11,Paramètres!$A$1:$I$89,3,0)*0.475*44/12</f>
        <v>0.48781876979719901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0.82470475334543969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191.99999999999977</v>
      </c>
      <c r="BZ167" s="13">
        <f>BY167*VLOOKUP('Données projet'!$B$12,Paramètres!$A$1:$I$89,3,0)*VLOOKUP('Données projet'!$B$12,Paramètres!$A$1:$I$89,5,0)</f>
        <v>155.75039999999984</v>
      </c>
      <c r="CA167" s="13">
        <f t="shared" si="170"/>
        <v>39.882509755133718</v>
      </c>
      <c r="CB167" s="20">
        <f t="shared" si="171"/>
        <v>340.72731782352429</v>
      </c>
      <c r="CC167" s="59">
        <f t="shared" si="119"/>
        <v>628.86324955370492</v>
      </c>
      <c r="CD167" s="59">
        <f ca="1">AVERAGE(OFFSET($CC$3,0,0,'Données projet'!$E$12+1,1))-AVERAGE(OFFSET($H$3,0,0,'Données projet'!$E$12+1,1))</f>
        <v>256.23994291192162</v>
      </c>
      <c r="CE167" s="59">
        <f t="shared" si="148"/>
        <v>207.9118653708222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0.78765835970885034</v>
      </c>
      <c r="CL167" s="21">
        <f>EXP(-LN(2)/25)*CL166+(1-EXP(-LN(2)/25))/(LN(2)/25)*Calculateur!CG167*Calculateur!CI167*VLOOKUP('Données projet'!$B$12,Paramètres!$A$1:$I$89,3,0)*0.475*44/12</f>
        <v>1.2593065057425377</v>
      </c>
      <c r="CM167" s="21">
        <f>EXP(-LN(2)/2)*CM166+(1-EXP(-LN(2)/2))/(LN(2)/2)*CG167*CJ167*VLOOKUP('Données projet'!$B$12,Paramètres!$A$1:$I$89,3,0)*0.475*44/12</f>
        <v>1.3612980627564327E-11</v>
      </c>
      <c r="CN167" s="22">
        <f t="shared" si="172"/>
        <v>2.046964865465001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170.99999999999991</v>
      </c>
      <c r="CU167" s="17">
        <f>CT167*VLOOKUP('Données projet'!$B$13,Paramètres!$A$1:$I$89,3,0)*VLOOKUP('Données projet'!$B$13,Paramètres!$A$1:$I$89,5,0)</f>
        <v>98.701199999999957</v>
      </c>
      <c r="CV167" s="13">
        <f t="shared" si="173"/>
        <v>26.652341328097943</v>
      </c>
      <c r="CW167" s="20">
        <f t="shared" si="174"/>
        <v>218.32408447977051</v>
      </c>
      <c r="CX167" s="59">
        <f t="shared" si="122"/>
        <v>506.46001620995116</v>
      </c>
      <c r="CY167" s="59">
        <f ca="1">AVERAGE(OFFSET($CX$3,0,0,'Données projet'!$E$13+1,1))-AVERAGE(OFFSET($H$3,0,0,'Données projet'!$E$13+1,1))</f>
        <v>205.74526926885287</v>
      </c>
      <c r="CZ167" s="59">
        <f t="shared" si="150"/>
        <v>201.56217137928999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0.20615941073174862</v>
      </c>
      <c r="DG167" s="21">
        <f>EXP(-LN(2)/25)*DG166+(1-EXP(-LN(2)/25))/(LN(2)/25)*Calculateur!DB167*Calculateur!DD167*VLOOKUP('Données projet'!$B$13,Paramètres!$A$1:$I$89,3,0)*0.475*44/12</f>
        <v>0.95267338150903036</v>
      </c>
      <c r="DH167" s="21">
        <f>EXP(-LN(2)/2)*DH166+(1-EXP(-LN(2)/2))/(LN(2)/2)*DB167*DE167*VLOOKUP('Données projet'!$B$13,Paramètres!$A$1:$I$89,3,0)*0.475*44/12</f>
        <v>1.6194340485600452E-11</v>
      </c>
      <c r="DI167" s="22">
        <f t="shared" si="175"/>
        <v>1.1588327922569734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-4.5474735088646412E-13</v>
      </c>
      <c r="DP167" s="17">
        <f>DO167*VLOOKUP('Données projet'!$B$14,Paramètres!$A$1:$I$89,3,0)*VLOOKUP('Données projet'!$B$14,Paramètres!$A$1:$I$89,5,0)</f>
        <v>-4.3273757910355926E-13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403.89478276355294</v>
      </c>
      <c r="DU167" s="59">
        <f t="shared" si="152"/>
        <v>241.1593989733278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140.86890631479486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140.86890631479486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-4.5474735088646412E-13</v>
      </c>
      <c r="O168" s="13">
        <f>N168*VLOOKUP('Données projet'!$B$9,Paramètres!$A$1:$I$89,3,0)*VLOOKUP('Données projet'!$B$9,Paramètres!$A$1:$I$89,5,0)</f>
        <v>-4.1145540308207271E-13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388.1278150896951</v>
      </c>
      <c r="T168" s="59">
        <f t="shared" si="142"/>
        <v>232.26614607059227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131.31442742694446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131.31442742694446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-4.5474735088646412E-13</v>
      </c>
      <c r="AJ168" s="13">
        <f>AI168*VLOOKUP('Données projet'!$B$10,Paramètres!$A$1:$I$89,3,0)*VLOOKUP('Données projet'!$B$10,Paramètres!$A$1:$I$89,5,0)</f>
        <v>-4.6111381379887462E-13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424.89201140676084</v>
      </c>
      <c r="AO168" s="59">
        <f t="shared" si="144"/>
        <v>253.0016648946303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147.16272039226533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147.16272039226533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155.99999999999991</v>
      </c>
      <c r="BE168" s="13">
        <f>BD168*VLOOKUP('Données projet'!$B$11,Paramètres!$A$1:$I$89,3,0)*VLOOKUP('Données projet'!$B$11,Paramètres!$A$1:$I$89,5,0)</f>
        <v>136.28159999999994</v>
      </c>
      <c r="BF168" s="13">
        <f t="shared" si="167"/>
        <v>35.443842312892279</v>
      </c>
      <c r="BG168" s="20">
        <f t="shared" si="168"/>
        <v>299.08847869495395</v>
      </c>
      <c r="BH168" s="59">
        <f t="shared" si="116"/>
        <v>587.3145737233001</v>
      </c>
      <c r="BI168" s="59">
        <f ca="1">AVERAGE(OFFSET($BH$3,0,0,'Données projet'!$E$11+1,1))-AVERAGE(OFFSET($H$3,0,0,'Données projet'!$E$11+1,1))</f>
        <v>218.97952644043698</v>
      </c>
      <c r="BJ168" s="59">
        <f t="shared" si="146"/>
        <v>204.10961748628714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0.33027985489102013</v>
      </c>
      <c r="BQ168" s="21">
        <f>EXP(-LN(2)/25)*BQ167+(1-EXP(-LN(2)/25))/(LN(2)/25)*Calculateur!BL168*Calculateur!BN168*VLOOKUP('Données projet'!$B$11,Paramètres!$A$1:$I$89,3,0)*0.475*44/12</f>
        <v>0.47447933988382041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0.80475919477484048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191.99999999999977</v>
      </c>
      <c r="BZ168" s="13">
        <f>BY168*VLOOKUP('Données projet'!$B$12,Paramètres!$A$1:$I$89,3,0)*VLOOKUP('Données projet'!$B$12,Paramètres!$A$1:$I$89,5,0)</f>
        <v>155.75039999999984</v>
      </c>
      <c r="CA168" s="13">
        <f t="shared" si="170"/>
        <v>39.882509755133718</v>
      </c>
      <c r="CB168" s="20">
        <f t="shared" si="171"/>
        <v>340.72731782352429</v>
      </c>
      <c r="CC168" s="59">
        <f t="shared" si="119"/>
        <v>628.95341285187044</v>
      </c>
      <c r="CD168" s="59">
        <f ca="1">AVERAGE(OFFSET($CC$3,0,0,'Données projet'!$E$12+1,1))-AVERAGE(OFFSET($H$3,0,0,'Données projet'!$E$12+1,1))</f>
        <v>256.23994291192162</v>
      </c>
      <c r="CE168" s="59">
        <f t="shared" si="148"/>
        <v>207.9118653708222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0.77221285969912123</v>
      </c>
      <c r="CL168" s="21">
        <f>EXP(-LN(2)/25)*CL167+(1-EXP(-LN(2)/25))/(LN(2)/25)*Calculateur!CG168*Calculateur!CI168*VLOOKUP('Données projet'!$B$12,Paramètres!$A$1:$I$89,3,0)*0.475*44/12</f>
        <v>1.224870703118957</v>
      </c>
      <c r="CM168" s="21">
        <f>EXP(-LN(2)/2)*CM167+(1-EXP(-LN(2)/2))/(LN(2)/2)*CG168*CJ168*VLOOKUP('Données projet'!$B$12,Paramètres!$A$1:$I$89,3,0)*0.475*44/12</f>
        <v>9.6258309139118391E-12</v>
      </c>
      <c r="CN168" s="22">
        <f t="shared" si="172"/>
        <v>1.9970835628277042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170.99999999999991</v>
      </c>
      <c r="CU168" s="17">
        <f>CT168*VLOOKUP('Données projet'!$B$13,Paramètres!$A$1:$I$89,3,0)*VLOOKUP('Données projet'!$B$13,Paramètres!$A$1:$I$89,5,0)</f>
        <v>98.701199999999957</v>
      </c>
      <c r="CV168" s="13">
        <f t="shared" si="173"/>
        <v>26.652341328097943</v>
      </c>
      <c r="CW168" s="20">
        <f t="shared" si="174"/>
        <v>218.32408447977051</v>
      </c>
      <c r="CX168" s="59">
        <f t="shared" si="122"/>
        <v>506.55017950811668</v>
      </c>
      <c r="CY168" s="59">
        <f ca="1">AVERAGE(OFFSET($CX$3,0,0,'Données projet'!$E$13+1,1))-AVERAGE(OFFSET($H$3,0,0,'Données projet'!$E$13+1,1))</f>
        <v>205.74526926885287</v>
      </c>
      <c r="CZ168" s="59">
        <f t="shared" si="150"/>
        <v>201.56217137928999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0.20211675043212329</v>
      </c>
      <c r="DG168" s="21">
        <f>EXP(-LN(2)/25)*DG167+(1-EXP(-LN(2)/25))/(LN(2)/25)*Calculateur!DB168*Calculateur!DD168*VLOOKUP('Données projet'!$B$13,Paramètres!$A$1:$I$89,3,0)*0.475*44/12</f>
        <v>0.9266224777927502</v>
      </c>
      <c r="DH168" s="21">
        <f>EXP(-LN(2)/2)*DH167+(1-EXP(-LN(2)/2))/(LN(2)/2)*DB168*DE168*VLOOKUP('Données projet'!$B$13,Paramètres!$A$1:$I$89,3,0)*0.475*44/12</f>
        <v>1.1451127974211927E-11</v>
      </c>
      <c r="DI168" s="22">
        <f t="shared" si="175"/>
        <v>1.1287392282363247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-4.5474735088646412E-13</v>
      </c>
      <c r="DP168" s="17">
        <f>DO168*VLOOKUP('Données projet'!$B$14,Paramètres!$A$1:$I$89,3,0)*VLOOKUP('Données projet'!$B$14,Paramètres!$A$1:$I$89,5,0)</f>
        <v>-4.3273757910355926E-13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403.89478276355294</v>
      </c>
      <c r="DU168" s="59">
        <f t="shared" si="152"/>
        <v>241.1593989733278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138.10655298351054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138.10655298351054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-4.5474735088646412E-13</v>
      </c>
      <c r="O169" s="13">
        <f>N169*VLOOKUP('Données projet'!$B$9,Paramètres!$A$1:$I$89,3,0)*VLOOKUP('Données projet'!$B$9,Paramètres!$A$1:$I$89,5,0)</f>
        <v>-4.1145540308207271E-13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388.1278150896951</v>
      </c>
      <c r="T169" s="59">
        <f t="shared" si="142"/>
        <v>232.26614607059227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128.7394315989942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128.7394315989942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-4.5474735088646412E-13</v>
      </c>
      <c r="AJ169" s="13">
        <f>AI169*VLOOKUP('Données projet'!$B$10,Paramètres!$A$1:$I$89,3,0)*VLOOKUP('Données projet'!$B$10,Paramètres!$A$1:$I$89,5,0)</f>
        <v>-4.6111381379887462E-13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424.89201140676084</v>
      </c>
      <c r="AO169" s="59">
        <f t="shared" si="144"/>
        <v>253.0016648946303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144.27694920576934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144.27694920576934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155.99999999999991</v>
      </c>
      <c r="BE169" s="13">
        <f>BD169*VLOOKUP('Données projet'!$B$11,Paramètres!$A$1:$I$89,3,0)*VLOOKUP('Données projet'!$B$11,Paramètres!$A$1:$I$89,5,0)</f>
        <v>136.28159999999994</v>
      </c>
      <c r="BF169" s="13">
        <f t="shared" si="167"/>
        <v>35.443842312892279</v>
      </c>
      <c r="BG169" s="20">
        <f t="shared" si="168"/>
        <v>299.08847869495395</v>
      </c>
      <c r="BH169" s="59">
        <f t="shared" si="116"/>
        <v>587.40317288981737</v>
      </c>
      <c r="BI169" s="59">
        <f ca="1">AVERAGE(OFFSET($BH$3,0,0,'Données projet'!$E$11+1,1))-AVERAGE(OFFSET($H$3,0,0,'Données projet'!$E$11+1,1))</f>
        <v>218.97952644043698</v>
      </c>
      <c r="BJ169" s="59">
        <f t="shared" si="146"/>
        <v>204.10961748628714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0.32380326838742707</v>
      </c>
      <c r="BQ169" s="21">
        <f>EXP(-LN(2)/25)*BQ168+(1-EXP(-LN(2)/25))/(LN(2)/25)*Calculateur!BL169*Calculateur!BN169*VLOOKUP('Données projet'!$B$11,Paramètres!$A$1:$I$89,3,0)*0.475*44/12</f>
        <v>0.46150467738291329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0.78530794577034035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191.99999999999977</v>
      </c>
      <c r="BZ169" s="13">
        <f>BY169*VLOOKUP('Données projet'!$B$12,Paramètres!$A$1:$I$89,3,0)*VLOOKUP('Données projet'!$B$12,Paramètres!$A$1:$I$89,5,0)</f>
        <v>155.75039999999984</v>
      </c>
      <c r="CA169" s="13">
        <f t="shared" si="170"/>
        <v>39.882509755133718</v>
      </c>
      <c r="CB169" s="20">
        <f t="shared" si="171"/>
        <v>340.72731782352429</v>
      </c>
      <c r="CC169" s="59">
        <f t="shared" si="119"/>
        <v>629.04201201838771</v>
      </c>
      <c r="CD169" s="59">
        <f ca="1">AVERAGE(OFFSET($CC$3,0,0,'Données projet'!$E$12+1,1))-AVERAGE(OFFSET($H$3,0,0,'Données projet'!$E$12+1,1))</f>
        <v>256.23994291192162</v>
      </c>
      <c r="CE169" s="59">
        <f t="shared" si="148"/>
        <v>207.9118653708222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0.75707023652375816</v>
      </c>
      <c r="CL169" s="21">
        <f>EXP(-LN(2)/25)*CL168+(1-EXP(-LN(2)/25))/(LN(2)/25)*Calculateur!CG169*Calculateur!CI169*VLOOKUP('Données projet'!$B$12,Paramètres!$A$1:$I$89,3,0)*0.475*44/12</f>
        <v>1.1913765493290183</v>
      </c>
      <c r="CM169" s="21">
        <f>EXP(-LN(2)/2)*CM168+(1-EXP(-LN(2)/2))/(LN(2)/2)*CG169*CJ169*VLOOKUP('Données projet'!$B$12,Paramètres!$A$1:$I$89,3,0)*0.475*44/12</f>
        <v>6.8064903137821637E-12</v>
      </c>
      <c r="CN169" s="22">
        <f t="shared" si="172"/>
        <v>1.9484467858595829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170.99999999999991</v>
      </c>
      <c r="CU169" s="17">
        <f>CT169*VLOOKUP('Données projet'!$B$13,Paramètres!$A$1:$I$89,3,0)*VLOOKUP('Données projet'!$B$13,Paramètres!$A$1:$I$89,5,0)</f>
        <v>98.701199999999957</v>
      </c>
      <c r="CV169" s="13">
        <f t="shared" si="173"/>
        <v>26.652341328097943</v>
      </c>
      <c r="CW169" s="20">
        <f t="shared" si="174"/>
        <v>218.32408447977051</v>
      </c>
      <c r="CX169" s="59">
        <f t="shared" si="122"/>
        <v>506.63877867463395</v>
      </c>
      <c r="CY169" s="59">
        <f ca="1">AVERAGE(OFFSET($CX$3,0,0,'Données projet'!$E$13+1,1))-AVERAGE(OFFSET($H$3,0,0,'Données projet'!$E$13+1,1))</f>
        <v>205.74526926885287</v>
      </c>
      <c r="CZ169" s="59">
        <f t="shared" si="150"/>
        <v>201.56217137928999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0.19815336423519433</v>
      </c>
      <c r="DG169" s="21">
        <f>EXP(-LN(2)/25)*DG168+(1-EXP(-LN(2)/25))/(LN(2)/25)*Calculateur!DB169*Calculateur!DD169*VLOOKUP('Données projet'!$B$13,Paramètres!$A$1:$I$89,3,0)*0.475*44/12</f>
        <v>0.90128393740854917</v>
      </c>
      <c r="DH169" s="21">
        <f>EXP(-LN(2)/2)*DH168+(1-EXP(-LN(2)/2))/(LN(2)/2)*DB169*DE169*VLOOKUP('Données projet'!$B$13,Paramètres!$A$1:$I$89,3,0)*0.475*44/12</f>
        <v>8.0971702428002261E-12</v>
      </c>
      <c r="DI169" s="22">
        <f t="shared" si="175"/>
        <v>1.0994373016518406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-4.5474735088646412E-13</v>
      </c>
      <c r="DP169" s="17">
        <f>DO169*VLOOKUP('Données projet'!$B$14,Paramètres!$A$1:$I$89,3,0)*VLOOKUP('Données projet'!$B$14,Paramètres!$A$1:$I$89,5,0)</f>
        <v>-4.3273757910355926E-13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403.89478276355294</v>
      </c>
      <c r="DU169" s="59">
        <f t="shared" si="152"/>
        <v>241.1593989733278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135.39836771618354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135.39836771618354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-4.5474735088646412E-13</v>
      </c>
      <c r="O170" s="13">
        <f>N170*VLOOKUP('Données projet'!$B$9,Paramètres!$A$1:$I$89,3,0)*VLOOKUP('Données projet'!$B$9,Paramètres!$A$1:$I$89,5,0)</f>
        <v>-4.1145540308207271E-13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388.1278150896951</v>
      </c>
      <c r="T170" s="59">
        <f t="shared" si="142"/>
        <v>232.26614607059227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126.21492986863767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126.21492986863767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-4.5474735088646412E-13</v>
      </c>
      <c r="AJ170" s="13">
        <f>AI170*VLOOKUP('Données projet'!$B$10,Paramètres!$A$1:$I$89,3,0)*VLOOKUP('Données projet'!$B$10,Paramètres!$A$1:$I$89,5,0)</f>
        <v>-4.6111381379887462E-13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424.89201140676084</v>
      </c>
      <c r="AO170" s="59">
        <f t="shared" si="144"/>
        <v>253.0016648946303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141.44776623209393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141.44776623209393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155.99999999999991</v>
      </c>
      <c r="BE170" s="13">
        <f>BD170*VLOOKUP('Données projet'!$B$11,Paramètres!$A$1:$I$89,3,0)*VLOOKUP('Données projet'!$B$11,Paramètres!$A$1:$I$89,5,0)</f>
        <v>136.28159999999994</v>
      </c>
      <c r="BF170" s="13">
        <f t="shared" si="167"/>
        <v>35.443842312892279</v>
      </c>
      <c r="BG170" s="20">
        <f t="shared" si="168"/>
        <v>299.08847869495395</v>
      </c>
      <c r="BH170" s="59">
        <f t="shared" si="116"/>
        <v>587.49023505887362</v>
      </c>
      <c r="BI170" s="59">
        <f ca="1">AVERAGE(OFFSET($BH$3,0,0,'Données projet'!$E$11+1,1))-AVERAGE(OFFSET($H$3,0,0,'Données projet'!$E$11+1,1))</f>
        <v>218.97952644043698</v>
      </c>
      <c r="BJ170" s="59">
        <f t="shared" si="146"/>
        <v>204.10961748628714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0.31745368379484179</v>
      </c>
      <c r="BQ170" s="21">
        <f>EXP(-LN(2)/25)*BQ169+(1-EXP(-LN(2)/25))/(LN(2)/25)*Calculateur!BL170*Calculateur!BN170*VLOOKUP('Données projet'!$B$11,Paramètres!$A$1:$I$89,3,0)*0.475*44/12</f>
        <v>0.44888480771040135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0.76633849150524314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191.99999999999977</v>
      </c>
      <c r="BZ170" s="13">
        <f>BY170*VLOOKUP('Données projet'!$B$12,Paramètres!$A$1:$I$89,3,0)*VLOOKUP('Données projet'!$B$12,Paramètres!$A$1:$I$89,5,0)</f>
        <v>155.75039999999984</v>
      </c>
      <c r="CA170" s="13">
        <f t="shared" si="170"/>
        <v>39.882509755133718</v>
      </c>
      <c r="CB170" s="20">
        <f t="shared" si="171"/>
        <v>340.72731782352429</v>
      </c>
      <c r="CC170" s="59">
        <f t="shared" si="119"/>
        <v>629.12907418744385</v>
      </c>
      <c r="CD170" s="59">
        <f ca="1">AVERAGE(OFFSET($CC$3,0,0,'Données projet'!$E$12+1,1))-AVERAGE(OFFSET($H$3,0,0,'Données projet'!$E$12+1,1))</f>
        <v>256.23994291192162</v>
      </c>
      <c r="CE170" s="59">
        <f t="shared" si="148"/>
        <v>207.9118653708222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0.74222455095277584</v>
      </c>
      <c r="CL170" s="21">
        <f>EXP(-LN(2)/25)*CL169+(1-EXP(-LN(2)/25))/(LN(2)/25)*Calculateur!CG170*Calculateur!CI170*VLOOKUP('Données projet'!$B$12,Paramètres!$A$1:$I$89,3,0)*0.475*44/12</f>
        <v>1.1587982949358464</v>
      </c>
      <c r="CM170" s="21">
        <f>EXP(-LN(2)/2)*CM169+(1-EXP(-LN(2)/2))/(LN(2)/2)*CG170*CJ170*VLOOKUP('Données projet'!$B$12,Paramètres!$A$1:$I$89,3,0)*0.475*44/12</f>
        <v>4.8129154569559195E-12</v>
      </c>
      <c r="CN170" s="22">
        <f t="shared" si="172"/>
        <v>1.9010228458934351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170.99999999999991</v>
      </c>
      <c r="CU170" s="17">
        <f>CT170*VLOOKUP('Données projet'!$B$13,Paramètres!$A$1:$I$89,3,0)*VLOOKUP('Données projet'!$B$13,Paramètres!$A$1:$I$89,5,0)</f>
        <v>98.701199999999957</v>
      </c>
      <c r="CV170" s="13">
        <f t="shared" si="173"/>
        <v>26.652341328097943</v>
      </c>
      <c r="CW170" s="20">
        <f t="shared" si="174"/>
        <v>218.32408447977051</v>
      </c>
      <c r="CX170" s="59">
        <f t="shared" si="122"/>
        <v>506.72584084369009</v>
      </c>
      <c r="CY170" s="59">
        <f ca="1">AVERAGE(OFFSET($CX$3,0,0,'Données projet'!$E$13+1,1))-AVERAGE(OFFSET($H$3,0,0,'Données projet'!$E$13+1,1))</f>
        <v>205.74526926885287</v>
      </c>
      <c r="CZ170" s="59">
        <f t="shared" si="150"/>
        <v>201.56217137928999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0.19426769762416027</v>
      </c>
      <c r="DG170" s="21">
        <f>EXP(-LN(2)/25)*DG169+(1-EXP(-LN(2)/25))/(LN(2)/25)*Calculateur!DB170*Calculateur!DD170*VLOOKUP('Données projet'!$B$13,Paramètres!$A$1:$I$89,3,0)*0.475*44/12</f>
        <v>0.87663828074365002</v>
      </c>
      <c r="DH170" s="21">
        <f>EXP(-LN(2)/2)*DH169+(1-EXP(-LN(2)/2))/(LN(2)/2)*DB170*DE170*VLOOKUP('Données projet'!$B$13,Paramètres!$A$1:$I$89,3,0)*0.475*44/12</f>
        <v>5.7255639871059635E-12</v>
      </c>
      <c r="DI170" s="22">
        <f t="shared" si="175"/>
        <v>1.070905978373536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-4.5474735088646412E-13</v>
      </c>
      <c r="DP170" s="17">
        <f>DO170*VLOOKUP('Données projet'!$B$14,Paramètres!$A$1:$I$89,3,0)*VLOOKUP('Données projet'!$B$14,Paramètres!$A$1:$I$89,5,0)</f>
        <v>-4.3273757910355926E-13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403.89478276355294</v>
      </c>
      <c r="DU170" s="59">
        <f t="shared" si="152"/>
        <v>241.1593989733278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132.74328831011891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132.74328831011891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-4.5474735088646412E-13</v>
      </c>
      <c r="O171" s="13">
        <f>N171*VLOOKUP('Données projet'!$B$9,Paramètres!$A$1:$I$89,3,0)*VLOOKUP('Données projet'!$B$9,Paramètres!$A$1:$I$89,5,0)</f>
        <v>-4.1145540308207271E-13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388.1278150896951</v>
      </c>
      <c r="T171" s="59">
        <f t="shared" si="142"/>
        <v>232.26614607059227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123.73993207741941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123.73993207741941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-4.5474735088646412E-13</v>
      </c>
      <c r="AJ171" s="13">
        <f>AI171*VLOOKUP('Données projet'!$B$10,Paramètres!$A$1:$I$89,3,0)*VLOOKUP('Données projet'!$B$10,Paramètres!$A$1:$I$89,5,0)</f>
        <v>-4.6111381379887462E-13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424.89201140676084</v>
      </c>
      <c r="AO171" s="59">
        <f t="shared" si="144"/>
        <v>253.0016648946303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138.67406181090107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138.67406181090107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155.99999999999991</v>
      </c>
      <c r="BE171" s="13">
        <f>BD171*VLOOKUP('Données projet'!$B$11,Paramètres!$A$1:$I$89,3,0)*VLOOKUP('Données projet'!$B$11,Paramètres!$A$1:$I$89,5,0)</f>
        <v>136.28159999999994</v>
      </c>
      <c r="BF171" s="13">
        <f t="shared" si="167"/>
        <v>35.443842312892279</v>
      </c>
      <c r="BG171" s="20">
        <f t="shared" si="168"/>
        <v>299.08847869495395</v>
      </c>
      <c r="BH171" s="59">
        <f t="shared" si="116"/>
        <v>587.57578689393847</v>
      </c>
      <c r="BI171" s="59">
        <f ca="1">AVERAGE(OFFSET($BH$3,0,0,'Données projet'!$E$11+1,1))-AVERAGE(OFFSET($H$3,0,0,'Données projet'!$E$11+1,1))</f>
        <v>218.97952644043698</v>
      </c>
      <c r="BJ171" s="59">
        <f t="shared" si="146"/>
        <v>204.10961748628714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0.31122861068325292</v>
      </c>
      <c r="BQ171" s="21">
        <f>EXP(-LN(2)/25)*BQ170+(1-EXP(-LN(2)/25))/(LN(2)/25)*Calculateur!BL171*Calculateur!BN171*VLOOKUP('Données projet'!$B$11,Paramètres!$A$1:$I$89,3,0)*0.475*44/12</f>
        <v>0.43661002903773433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0.7478386397209873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191.99999999999977</v>
      </c>
      <c r="BZ171" s="13">
        <f>BY171*VLOOKUP('Données projet'!$B$12,Paramètres!$A$1:$I$89,3,0)*VLOOKUP('Données projet'!$B$12,Paramètres!$A$1:$I$89,5,0)</f>
        <v>155.75039999999984</v>
      </c>
      <c r="CA171" s="13">
        <f t="shared" si="170"/>
        <v>39.882509755133718</v>
      </c>
      <c r="CB171" s="20">
        <f t="shared" si="171"/>
        <v>340.72731782352429</v>
      </c>
      <c r="CC171" s="59">
        <f t="shared" si="119"/>
        <v>629.21462602250881</v>
      </c>
      <c r="CD171" s="59">
        <f ca="1">AVERAGE(OFFSET($CC$3,0,0,'Données projet'!$E$12+1,1))-AVERAGE(OFFSET($H$3,0,0,'Données projet'!$E$12+1,1))</f>
        <v>256.23994291192162</v>
      </c>
      <c r="CE171" s="59">
        <f t="shared" si="148"/>
        <v>207.9118653708222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0.72766998022086637</v>
      </c>
      <c r="CL171" s="21">
        <f>EXP(-LN(2)/25)*CL170+(1-EXP(-LN(2)/25))/(LN(2)/25)*Calculateur!CG171*Calculateur!CI171*VLOOKUP('Données projet'!$B$12,Paramètres!$A$1:$I$89,3,0)*0.475*44/12</f>
        <v>1.1271108946222719</v>
      </c>
      <c r="CM171" s="21">
        <f>EXP(-LN(2)/2)*CM170+(1-EXP(-LN(2)/2))/(LN(2)/2)*CG171*CJ171*VLOOKUP('Données projet'!$B$12,Paramètres!$A$1:$I$89,3,0)*0.475*44/12</f>
        <v>3.4032451568910818E-12</v>
      </c>
      <c r="CN171" s="22">
        <f t="shared" si="172"/>
        <v>1.8547808748465415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170.99999999999991</v>
      </c>
      <c r="CU171" s="17">
        <f>CT171*VLOOKUP('Données projet'!$B$13,Paramètres!$A$1:$I$89,3,0)*VLOOKUP('Données projet'!$B$13,Paramètres!$A$1:$I$89,5,0)</f>
        <v>98.701199999999957</v>
      </c>
      <c r="CV171" s="13">
        <f t="shared" si="173"/>
        <v>26.652341328097943</v>
      </c>
      <c r="CW171" s="20">
        <f t="shared" si="174"/>
        <v>218.32408447977051</v>
      </c>
      <c r="CX171" s="59">
        <f t="shared" si="122"/>
        <v>506.81139267875506</v>
      </c>
      <c r="CY171" s="59">
        <f ca="1">AVERAGE(OFFSET($CX$3,0,0,'Données projet'!$E$13+1,1))-AVERAGE(OFFSET($H$3,0,0,'Données projet'!$E$13+1,1))</f>
        <v>205.74526926885287</v>
      </c>
      <c r="CZ171" s="59">
        <f t="shared" si="150"/>
        <v>201.56217137928999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0.19045822656534597</v>
      </c>
      <c r="DG171" s="21">
        <f>EXP(-LN(2)/25)*DG170+(1-EXP(-LN(2)/25))/(LN(2)/25)*Calculateur!DB171*Calculateur!DD171*VLOOKUP('Données projet'!$B$13,Paramètres!$A$1:$I$89,3,0)*0.475*44/12</f>
        <v>0.85266656085631132</v>
      </c>
      <c r="DH171" s="21">
        <f>EXP(-LN(2)/2)*DH170+(1-EXP(-LN(2)/2))/(LN(2)/2)*DB171*DE171*VLOOKUP('Données projet'!$B$13,Paramètres!$A$1:$I$89,3,0)*0.475*44/12</f>
        <v>4.048585121400113E-12</v>
      </c>
      <c r="DI171" s="22">
        <f t="shared" si="175"/>
        <v>1.0431247874257059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-4.5474735088646412E-13</v>
      </c>
      <c r="DP171" s="17">
        <f>DO171*VLOOKUP('Données projet'!$B$14,Paramètres!$A$1:$I$89,3,0)*VLOOKUP('Données projet'!$B$14,Paramètres!$A$1:$I$89,5,0)</f>
        <v>-4.3273757910355926E-13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403.89478276355294</v>
      </c>
      <c r="DU171" s="59">
        <f t="shared" si="152"/>
        <v>241.1593989733278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130.14027339176869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130.14027339176869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-4.5474735088646412E-13</v>
      </c>
      <c r="O172" s="13">
        <f>N172*VLOOKUP('Données projet'!$B$9,Paramètres!$A$1:$I$89,3,0)*VLOOKUP('Données projet'!$B$9,Paramètres!$A$1:$I$89,5,0)</f>
        <v>-4.1145540308207271E-13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388.1278150896951</v>
      </c>
      <c r="T172" s="59">
        <f t="shared" si="142"/>
        <v>232.26614607059227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121.31346748328735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121.31346748328735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-4.5474735088646412E-13</v>
      </c>
      <c r="AJ172" s="13">
        <f>AI172*VLOOKUP('Données projet'!$B$10,Paramètres!$A$1:$I$89,3,0)*VLOOKUP('Données projet'!$B$10,Paramètres!$A$1:$I$89,5,0)</f>
        <v>-4.6111381379887462E-13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424.89201140676084</v>
      </c>
      <c r="AO172" s="59">
        <f t="shared" si="144"/>
        <v>253.0016648946303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135.95474804161515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135.95474804161515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155.99999999999991</v>
      </c>
      <c r="BE172" s="13">
        <f>BD172*VLOOKUP('Données projet'!$B$11,Paramètres!$A$1:$I$89,3,0)*VLOOKUP('Données projet'!$B$11,Paramètres!$A$1:$I$89,5,0)</f>
        <v>136.28159999999994</v>
      </c>
      <c r="BF172" s="13">
        <f t="shared" si="167"/>
        <v>35.443842312892279</v>
      </c>
      <c r="BG172" s="20">
        <f t="shared" si="168"/>
        <v>299.08847869495395</v>
      </c>
      <c r="BH172" s="59">
        <f t="shared" si="116"/>
        <v>587.65985459593037</v>
      </c>
      <c r="BI172" s="59">
        <f ca="1">AVERAGE(OFFSET($BH$3,0,0,'Données projet'!$E$11+1,1))-AVERAGE(OFFSET($H$3,0,0,'Données projet'!$E$11+1,1))</f>
        <v>218.97952644043698</v>
      </c>
      <c r="BJ172" s="59">
        <f t="shared" si="146"/>
        <v>204.10961748628714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0.30512560745846262</v>
      </c>
      <c r="BQ172" s="21">
        <f>EXP(-LN(2)/25)*BQ171+(1-EXP(-LN(2)/25))/(LN(2)/25)*Calculateur!BL172*Calculateur!BN172*VLOOKUP('Données projet'!$B$11,Paramètres!$A$1:$I$89,3,0)*0.475*44/12</f>
        <v>0.42467090483337394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0.72979651229183662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191.99999999999977</v>
      </c>
      <c r="BZ172" s="13">
        <f>BY172*VLOOKUP('Données projet'!$B$12,Paramètres!$A$1:$I$89,3,0)*VLOOKUP('Données projet'!$B$12,Paramètres!$A$1:$I$89,5,0)</f>
        <v>155.75039999999984</v>
      </c>
      <c r="CA172" s="13">
        <f t="shared" si="170"/>
        <v>39.882509755133718</v>
      </c>
      <c r="CB172" s="20">
        <f t="shared" si="171"/>
        <v>340.72731782352429</v>
      </c>
      <c r="CC172" s="59">
        <f t="shared" si="119"/>
        <v>629.29869372450071</v>
      </c>
      <c r="CD172" s="59">
        <f ca="1">AVERAGE(OFFSET($CC$3,0,0,'Données projet'!$E$12+1,1))-AVERAGE(OFFSET($H$3,0,0,'Données projet'!$E$12+1,1))</f>
        <v>256.23994291192162</v>
      </c>
      <c r="CE172" s="59">
        <f t="shared" si="148"/>
        <v>207.9118653708222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0.71340081574359804</v>
      </c>
      <c r="CL172" s="21">
        <f>EXP(-LN(2)/25)*CL171+(1-EXP(-LN(2)/25))/(LN(2)/25)*Calculateur!CG172*Calculateur!CI172*VLOOKUP('Données projet'!$B$12,Paramètres!$A$1:$I$89,3,0)*0.475*44/12</f>
        <v>1.0962899879366399</v>
      </c>
      <c r="CM172" s="21">
        <f>EXP(-LN(2)/2)*CM171+(1-EXP(-LN(2)/2))/(LN(2)/2)*CG172*CJ172*VLOOKUP('Données projet'!$B$12,Paramètres!$A$1:$I$89,3,0)*0.475*44/12</f>
        <v>2.4064577284779598E-12</v>
      </c>
      <c r="CN172" s="22">
        <f t="shared" si="172"/>
        <v>1.8096908036826445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170.99999999999991</v>
      </c>
      <c r="CU172" s="17">
        <f>CT172*VLOOKUP('Données projet'!$B$13,Paramètres!$A$1:$I$89,3,0)*VLOOKUP('Données projet'!$B$13,Paramètres!$A$1:$I$89,5,0)</f>
        <v>98.701199999999957</v>
      </c>
      <c r="CV172" s="13">
        <f t="shared" si="173"/>
        <v>26.652341328097943</v>
      </c>
      <c r="CW172" s="20">
        <f t="shared" si="174"/>
        <v>218.32408447977051</v>
      </c>
      <c r="CX172" s="59">
        <f t="shared" si="122"/>
        <v>506.89546038074695</v>
      </c>
      <c r="CY172" s="59">
        <f ca="1">AVERAGE(OFFSET($CX$3,0,0,'Données projet'!$E$13+1,1))-AVERAGE(OFFSET($H$3,0,0,'Données projet'!$E$13+1,1))</f>
        <v>205.74526926885287</v>
      </c>
      <c r="CZ172" s="59">
        <f t="shared" si="150"/>
        <v>201.56217137928999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0.18672345691044709</v>
      </c>
      <c r="DG172" s="21">
        <f>EXP(-LN(2)/25)*DG171+(1-EXP(-LN(2)/25))/(LN(2)/25)*Calculateur!DB172*Calculateur!DD172*VLOOKUP('Données projet'!$B$13,Paramètres!$A$1:$I$89,3,0)*0.475*44/12</f>
        <v>0.82935034890990988</v>
      </c>
      <c r="DH172" s="21">
        <f>EXP(-LN(2)/2)*DH171+(1-EXP(-LN(2)/2))/(LN(2)/2)*DB172*DE172*VLOOKUP('Données projet'!$B$13,Paramètres!$A$1:$I$89,3,0)*0.475*44/12</f>
        <v>2.8627819935529818E-12</v>
      </c>
      <c r="DI172" s="22">
        <f t="shared" si="175"/>
        <v>1.0160738058232197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-4.5474735088646412E-13</v>
      </c>
      <c r="DP172" s="17">
        <f>DO172*VLOOKUP('Données projet'!$B$14,Paramètres!$A$1:$I$89,3,0)*VLOOKUP('Données projet'!$B$14,Paramètres!$A$1:$I$89,5,0)</f>
        <v>-4.3273757910355926E-13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403.89478276355294</v>
      </c>
      <c r="DU172" s="59">
        <f t="shared" si="152"/>
        <v>241.1593989733278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127.58830200828497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127.58830200828497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-4.5474735088646412E-13</v>
      </c>
      <c r="O173" s="13">
        <f>N173*VLOOKUP('Données projet'!$B$9,Paramètres!$A$1:$I$89,3,0)*VLOOKUP('Données projet'!$B$9,Paramètres!$A$1:$I$89,5,0)</f>
        <v>-4.1145540308207271E-13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388.1278150896951</v>
      </c>
      <c r="T173" s="59">
        <f t="shared" si="142"/>
        <v>232.26614607059227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118.93458437984896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118.93458437984896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-4.5474735088646412E-13</v>
      </c>
      <c r="AJ173" s="13">
        <f>AI173*VLOOKUP('Données projet'!$B$10,Paramètres!$A$1:$I$89,3,0)*VLOOKUP('Données projet'!$B$10,Paramètres!$A$1:$I$89,5,0)</f>
        <v>-4.6111381379887462E-13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424.89201140676084</v>
      </c>
      <c r="AO173" s="59">
        <f t="shared" si="144"/>
        <v>253.0016648946303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133.2887583567273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133.2887583567273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155.99999999999991</v>
      </c>
      <c r="BE173" s="13">
        <f>BD173*VLOOKUP('Données projet'!$B$11,Paramètres!$A$1:$I$89,3,0)*VLOOKUP('Données projet'!$B$11,Paramètres!$A$1:$I$89,5,0)</f>
        <v>136.28159999999994</v>
      </c>
      <c r="BF173" s="13">
        <f t="shared" si="167"/>
        <v>35.443842312892279</v>
      </c>
      <c r="BG173" s="20">
        <f t="shared" si="168"/>
        <v>299.08847869495395</v>
      </c>
      <c r="BH173" s="59">
        <f t="shared" si="116"/>
        <v>587.74246391123984</v>
      </c>
      <c r="BI173" s="59">
        <f ca="1">AVERAGE(OFFSET($BH$3,0,0,'Données projet'!$E$11+1,1))-AVERAGE(OFFSET($H$3,0,0,'Données projet'!$E$11+1,1))</f>
        <v>218.97952644043698</v>
      </c>
      <c r="BJ173" s="59">
        <f t="shared" si="146"/>
        <v>204.10961748628714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0.29914228040444607</v>
      </c>
      <c r="BQ173" s="21">
        <f>EXP(-LN(2)/25)*BQ172+(1-EXP(-LN(2)/25))/(LN(2)/25)*Calculateur!BL173*Calculateur!BN173*VLOOKUP('Données projet'!$B$11,Paramètres!$A$1:$I$89,3,0)*0.475*44/12</f>
        <v>0.41305825660823303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0.71220053701267916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191.99999999999977</v>
      </c>
      <c r="BZ173" s="13">
        <f>BY173*VLOOKUP('Données projet'!$B$12,Paramètres!$A$1:$I$89,3,0)*VLOOKUP('Données projet'!$B$12,Paramètres!$A$1:$I$89,5,0)</f>
        <v>155.75039999999984</v>
      </c>
      <c r="CA173" s="13">
        <f t="shared" si="170"/>
        <v>39.882509755133718</v>
      </c>
      <c r="CB173" s="20">
        <f t="shared" si="171"/>
        <v>340.72731782352429</v>
      </c>
      <c r="CC173" s="59">
        <f t="shared" si="119"/>
        <v>629.38130303981018</v>
      </c>
      <c r="CD173" s="59">
        <f ca="1">AVERAGE(OFFSET($CC$3,0,0,'Données projet'!$E$12+1,1))-AVERAGE(OFFSET($H$3,0,0,'Données projet'!$E$12+1,1))</f>
        <v>256.23994291192162</v>
      </c>
      <c r="CE173" s="59">
        <f t="shared" si="148"/>
        <v>207.9118653708222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0.69941146087839801</v>
      </c>
      <c r="CL173" s="21">
        <f>EXP(-LN(2)/25)*CL172+(1-EXP(-LN(2)/25))/(LN(2)/25)*Calculateur!CG173*Calculateur!CI173*VLOOKUP('Données projet'!$B$12,Paramètres!$A$1:$I$89,3,0)*0.475*44/12</f>
        <v>1.0663118805651277</v>
      </c>
      <c r="CM173" s="21">
        <f>EXP(-LN(2)/2)*CM172+(1-EXP(-LN(2)/2))/(LN(2)/2)*CG173*CJ173*VLOOKUP('Données projet'!$B$12,Paramètres!$A$1:$I$89,3,0)*0.475*44/12</f>
        <v>1.7016225784455409E-12</v>
      </c>
      <c r="CN173" s="22">
        <f t="shared" si="172"/>
        <v>1.7657233414452274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170.99999999999991</v>
      </c>
      <c r="CU173" s="17">
        <f>CT173*VLOOKUP('Données projet'!$B$13,Paramètres!$A$1:$I$89,3,0)*VLOOKUP('Données projet'!$B$13,Paramètres!$A$1:$I$89,5,0)</f>
        <v>98.701199999999957</v>
      </c>
      <c r="CV173" s="13">
        <f t="shared" si="173"/>
        <v>26.652341328097943</v>
      </c>
      <c r="CW173" s="20">
        <f t="shared" si="174"/>
        <v>218.32408447977051</v>
      </c>
      <c r="CX173" s="59">
        <f t="shared" si="122"/>
        <v>506.97806969605642</v>
      </c>
      <c r="CY173" s="59">
        <f ca="1">AVERAGE(OFFSET($CX$3,0,0,'Données projet'!$E$13+1,1))-AVERAGE(OFFSET($H$3,0,0,'Données projet'!$E$13+1,1))</f>
        <v>205.74526926885287</v>
      </c>
      <c r="CZ173" s="59">
        <f t="shared" si="150"/>
        <v>201.56217137928999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0.18306192381049621</v>
      </c>
      <c r="DG173" s="21">
        <f>EXP(-LN(2)/25)*DG172+(1-EXP(-LN(2)/25))/(LN(2)/25)*Calculateur!DB173*Calculateur!DD173*VLOOKUP('Données projet'!$B$13,Paramètres!$A$1:$I$89,3,0)*0.475*44/12</f>
        <v>0.80667172000532905</v>
      </c>
      <c r="DH173" s="21">
        <f>EXP(-LN(2)/2)*DH172+(1-EXP(-LN(2)/2))/(LN(2)/2)*DB173*DE173*VLOOKUP('Données projet'!$B$13,Paramètres!$A$1:$I$89,3,0)*0.475*44/12</f>
        <v>2.0242925607000565E-12</v>
      </c>
      <c r="DI173" s="22">
        <f t="shared" si="175"/>
        <v>0.98973364381784956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-4.5474735088646412E-13</v>
      </c>
      <c r="DP173" s="17">
        <f>DO173*VLOOKUP('Données projet'!$B$14,Paramètres!$A$1:$I$89,3,0)*VLOOKUP('Données projet'!$B$14,Paramètres!$A$1:$I$89,5,0)</f>
        <v>-4.3273757910355926E-13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403.89478276355294</v>
      </c>
      <c r="DU173" s="59">
        <f t="shared" si="152"/>
        <v>241.1593989733278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125.08637322708252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125.08637322708252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-4.5474735088646412E-13</v>
      </c>
      <c r="O174" s="13">
        <f>N174*VLOOKUP('Données projet'!$B$9,Paramètres!$A$1:$I$89,3,0)*VLOOKUP('Données projet'!$B$9,Paramètres!$A$1:$I$89,5,0)</f>
        <v>-4.1145540308207271E-13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388.1278150896951</v>
      </c>
      <c r="T174" s="59">
        <f t="shared" si="142"/>
        <v>232.26614607059227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116.60234972309357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116.60234972309357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-4.5474735088646412E-13</v>
      </c>
      <c r="AJ174" s="13">
        <f>AI174*VLOOKUP('Données projet'!$B$10,Paramètres!$A$1:$I$89,3,0)*VLOOKUP('Données projet'!$B$10,Paramètres!$A$1:$I$89,5,0)</f>
        <v>-4.6111381379887462E-13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424.89201140676084</v>
      </c>
      <c r="AO174" s="59">
        <f t="shared" si="144"/>
        <v>253.0016648946303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130.67504710346697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130.67504710346697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155.99999999999991</v>
      </c>
      <c r="BE174" s="13">
        <f>BD174*VLOOKUP('Données projet'!$B$11,Paramètres!$A$1:$I$89,3,0)*VLOOKUP('Données projet'!$B$11,Paramètres!$A$1:$I$89,5,0)</f>
        <v>136.28159999999994</v>
      </c>
      <c r="BF174" s="13">
        <f t="shared" si="167"/>
        <v>35.443842312892279</v>
      </c>
      <c r="BG174" s="20">
        <f t="shared" si="168"/>
        <v>299.08847869495395</v>
      </c>
      <c r="BH174" s="59">
        <f t="shared" si="116"/>
        <v>587.82364013961546</v>
      </c>
      <c r="BI174" s="59">
        <f ca="1">AVERAGE(OFFSET($BH$3,0,0,'Données projet'!$E$11+1,1))-AVERAGE(OFFSET($H$3,0,0,'Données projet'!$E$11+1,1))</f>
        <v>218.97952644043698</v>
      </c>
      <c r="BJ174" s="59">
        <f t="shared" si="146"/>
        <v>204.10961748628714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0.29327628274448964</v>
      </c>
      <c r="BQ174" s="21">
        <f>EXP(-LN(2)/25)*BQ173+(1-EXP(-LN(2)/25))/(LN(2)/25)*Calculateur!BL174*Calculateur!BN174*VLOOKUP('Données projet'!$B$11,Paramètres!$A$1:$I$89,3,0)*0.475*44/12</f>
        <v>0.40176315685949127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0.69503943960398096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191.99999999999977</v>
      </c>
      <c r="BZ174" s="13">
        <f>BY174*VLOOKUP('Données projet'!$B$12,Paramètres!$A$1:$I$89,3,0)*VLOOKUP('Données projet'!$B$12,Paramètres!$A$1:$I$89,5,0)</f>
        <v>155.75039999999984</v>
      </c>
      <c r="CA174" s="13">
        <f t="shared" si="170"/>
        <v>39.882509755133718</v>
      </c>
      <c r="CB174" s="20">
        <f t="shared" si="171"/>
        <v>340.72731782352429</v>
      </c>
      <c r="CC174" s="59">
        <f t="shared" si="119"/>
        <v>629.4624792681858</v>
      </c>
      <c r="CD174" s="59">
        <f ca="1">AVERAGE(OFFSET($CC$3,0,0,'Données projet'!$E$12+1,1))-AVERAGE(OFFSET($H$3,0,0,'Données projet'!$E$12+1,1))</f>
        <v>256.23994291192162</v>
      </c>
      <c r="CE174" s="59">
        <f t="shared" si="148"/>
        <v>207.9118653708222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0.68569642872944059</v>
      </c>
      <c r="CL174" s="21">
        <f>EXP(-LN(2)/25)*CL173+(1-EXP(-LN(2)/25))/(LN(2)/25)*Calculateur!CG174*Calculateur!CI174*VLOOKUP('Données projet'!$B$12,Paramètres!$A$1:$I$89,3,0)*0.475*44/12</f>
        <v>1.0371535261161695</v>
      </c>
      <c r="CM174" s="21">
        <f>EXP(-LN(2)/2)*CM173+(1-EXP(-LN(2)/2))/(LN(2)/2)*CG174*CJ174*VLOOKUP('Données projet'!$B$12,Paramètres!$A$1:$I$89,3,0)*0.475*44/12</f>
        <v>1.2032288642389799E-12</v>
      </c>
      <c r="CN174" s="22">
        <f t="shared" si="172"/>
        <v>1.7228499548468135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170.99999999999991</v>
      </c>
      <c r="CU174" s="17">
        <f>CT174*VLOOKUP('Données projet'!$B$13,Paramètres!$A$1:$I$89,3,0)*VLOOKUP('Données projet'!$B$13,Paramètres!$A$1:$I$89,5,0)</f>
        <v>98.701199999999957</v>
      </c>
      <c r="CV174" s="13">
        <f t="shared" si="173"/>
        <v>26.652341328097943</v>
      </c>
      <c r="CW174" s="20">
        <f t="shared" si="174"/>
        <v>218.32408447977051</v>
      </c>
      <c r="CX174" s="59">
        <f t="shared" si="122"/>
        <v>507.05924592443205</v>
      </c>
      <c r="CY174" s="59">
        <f ca="1">AVERAGE(OFFSET($CX$3,0,0,'Données projet'!$E$13+1,1))-AVERAGE(OFFSET($H$3,0,0,'Données projet'!$E$13+1,1))</f>
        <v>205.74526926885287</v>
      </c>
      <c r="CZ174" s="59">
        <f t="shared" si="150"/>
        <v>201.56217137928999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0.17947219114132071</v>
      </c>
      <c r="DG174" s="21">
        <f>EXP(-LN(2)/25)*DG173+(1-EXP(-LN(2)/25))/(LN(2)/25)*Calculateur!DB174*Calculateur!DD174*VLOOKUP('Données projet'!$B$13,Paramètres!$A$1:$I$89,3,0)*0.475*44/12</f>
        <v>0.78461323940076122</v>
      </c>
      <c r="DH174" s="21">
        <f>EXP(-LN(2)/2)*DH173+(1-EXP(-LN(2)/2))/(LN(2)/2)*DB174*DE174*VLOOKUP('Données projet'!$B$13,Paramètres!$A$1:$I$89,3,0)*0.475*44/12</f>
        <v>1.4313909967764909E-12</v>
      </c>
      <c r="DI174" s="22">
        <f t="shared" si="175"/>
        <v>0.96408543054351337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-4.5474735088646412E-13</v>
      </c>
      <c r="DP174" s="17">
        <f>DO174*VLOOKUP('Données projet'!$B$14,Paramètres!$A$1:$I$89,3,0)*VLOOKUP('Données projet'!$B$14,Paramètres!$A$1:$I$89,5,0)</f>
        <v>-4.3273757910355926E-13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403.89478276355294</v>
      </c>
      <c r="DU174" s="59">
        <f t="shared" si="152"/>
        <v>241.1593989733278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122.63350574325358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122.63350574325358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-4.5474735088646412E-13</v>
      </c>
      <c r="O175" s="13">
        <f>N175*VLOOKUP('Données projet'!$B$9,Paramètres!$A$1:$I$89,3,0)*VLOOKUP('Données projet'!$B$9,Paramètres!$A$1:$I$89,5,0)</f>
        <v>-4.1145540308207271E-13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388.1278150896951</v>
      </c>
      <c r="T175" s="59">
        <f t="shared" si="142"/>
        <v>232.26614607059227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114.31584876543448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114.31584876543448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-4.5474735088646412E-13</v>
      </c>
      <c r="AJ175" s="13">
        <f>AI175*VLOOKUP('Données projet'!$B$10,Paramètres!$A$1:$I$89,3,0)*VLOOKUP('Données projet'!$B$10,Paramètres!$A$1:$I$89,5,0)</f>
        <v>-4.6111381379887462E-13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424.89201140676084</v>
      </c>
      <c r="AO175" s="59">
        <f t="shared" si="144"/>
        <v>253.0016648946303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128.11258913367661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128.11258913367661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155.99999999999991</v>
      </c>
      <c r="BE175" s="13">
        <f>BD175*VLOOKUP('Données projet'!$B$11,Paramètres!$A$1:$I$89,3,0)*VLOOKUP('Données projet'!$B$11,Paramètres!$A$1:$I$89,5,0)</f>
        <v>136.28159999999994</v>
      </c>
      <c r="BF175" s="13">
        <f t="shared" si="167"/>
        <v>35.443842312892279</v>
      </c>
      <c r="BG175" s="20">
        <f t="shared" si="168"/>
        <v>299.08847869495395</v>
      </c>
      <c r="BH175" s="59">
        <f t="shared" si="116"/>
        <v>587.90340814191154</v>
      </c>
      <c r="BI175" s="59">
        <f ca="1">AVERAGE(OFFSET($BH$3,0,0,'Données projet'!$E$11+1,1))-AVERAGE(OFFSET($H$3,0,0,'Données projet'!$E$11+1,1))</f>
        <v>218.97952644043698</v>
      </c>
      <c r="BJ175" s="59">
        <f t="shared" si="146"/>
        <v>204.10961748628714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0.28752531372073964</v>
      </c>
      <c r="BQ175" s="21">
        <f>EXP(-LN(2)/25)*BQ174+(1-EXP(-LN(2)/25))/(LN(2)/25)*Calculateur!BL175*Calculateur!BN175*VLOOKUP('Données projet'!$B$11,Paramètres!$A$1:$I$89,3,0)*0.475*44/12</f>
        <v>0.39077692220736232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0.6783022359281019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191.99999999999977</v>
      </c>
      <c r="BZ175" s="13">
        <f>BY175*VLOOKUP('Données projet'!$B$12,Paramètres!$A$1:$I$89,3,0)*VLOOKUP('Données projet'!$B$12,Paramètres!$A$1:$I$89,5,0)</f>
        <v>155.75039999999984</v>
      </c>
      <c r="CA175" s="13">
        <f t="shared" si="170"/>
        <v>39.882509755133718</v>
      </c>
      <c r="CB175" s="20">
        <f t="shared" si="171"/>
        <v>340.72731782352429</v>
      </c>
      <c r="CC175" s="59">
        <f t="shared" si="119"/>
        <v>629.54224727048199</v>
      </c>
      <c r="CD175" s="59">
        <f ca="1">AVERAGE(OFFSET($CC$3,0,0,'Données projet'!$E$12+1,1))-AVERAGE(OFFSET($H$3,0,0,'Données projet'!$E$12+1,1))</f>
        <v>256.23994291192162</v>
      </c>
      <c r="CE175" s="59">
        <f t="shared" si="148"/>
        <v>207.9118653708222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0.6722503399955807</v>
      </c>
      <c r="CL175" s="21">
        <f>EXP(-LN(2)/25)*CL174+(1-EXP(-LN(2)/25))/(LN(2)/25)*Calculateur!CG175*Calculateur!CI175*VLOOKUP('Données projet'!$B$12,Paramètres!$A$1:$I$89,3,0)*0.475*44/12</f>
        <v>1.0087925084029894</v>
      </c>
      <c r="CM175" s="21">
        <f>EXP(-LN(2)/2)*CM174+(1-EXP(-LN(2)/2))/(LN(2)/2)*CG175*CJ175*VLOOKUP('Données projet'!$B$12,Paramètres!$A$1:$I$89,3,0)*0.475*44/12</f>
        <v>8.5081128922277046E-13</v>
      </c>
      <c r="CN175" s="22">
        <f t="shared" si="172"/>
        <v>1.6810428483994211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170.99999999999991</v>
      </c>
      <c r="CU175" s="17">
        <f>CT175*VLOOKUP('Données projet'!$B$13,Paramètres!$A$1:$I$89,3,0)*VLOOKUP('Données projet'!$B$13,Paramètres!$A$1:$I$89,5,0)</f>
        <v>98.701199999999957</v>
      </c>
      <c r="CV175" s="13">
        <f t="shared" si="173"/>
        <v>26.652341328097943</v>
      </c>
      <c r="CW175" s="20">
        <f t="shared" si="174"/>
        <v>218.32408447977051</v>
      </c>
      <c r="CX175" s="59">
        <f t="shared" si="122"/>
        <v>507.13901392672813</v>
      </c>
      <c r="CY175" s="59">
        <f ca="1">AVERAGE(OFFSET($CX$3,0,0,'Données projet'!$E$13+1,1))-AVERAGE(OFFSET($H$3,0,0,'Données projet'!$E$13+1,1))</f>
        <v>205.74526926885287</v>
      </c>
      <c r="CZ175" s="59">
        <f t="shared" si="150"/>
        <v>201.56217137928999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0.17595285094026702</v>
      </c>
      <c r="DG175" s="21">
        <f>EXP(-LN(2)/25)*DG174+(1-EXP(-LN(2)/25))/(LN(2)/25)*Calculateur!DB175*Calculateur!DD175*VLOOKUP('Données projet'!$B$13,Paramètres!$A$1:$I$89,3,0)*0.475*44/12</f>
        <v>0.76315794910833035</v>
      </c>
      <c r="DH175" s="21">
        <f>EXP(-LN(2)/2)*DH174+(1-EXP(-LN(2)/2))/(LN(2)/2)*DB175*DE175*VLOOKUP('Données projet'!$B$13,Paramètres!$A$1:$I$89,3,0)*0.475*44/12</f>
        <v>1.0121462803500283E-12</v>
      </c>
      <c r="DI175" s="22">
        <f t="shared" si="175"/>
        <v>0.93911080004960956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-4.5474735088646412E-13</v>
      </c>
      <c r="DP175" s="17">
        <f>DO175*VLOOKUP('Données projet'!$B$14,Paramètres!$A$1:$I$89,3,0)*VLOOKUP('Données projet'!$B$14,Paramètres!$A$1:$I$89,5,0)</f>
        <v>-4.3273757910355926E-13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403.89478276355294</v>
      </c>
      <c r="DU175" s="59">
        <f t="shared" si="152"/>
        <v>241.1593989733278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120.22873749468108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120.22873749468108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-4.5474735088646412E-13</v>
      </c>
      <c r="O176" s="13">
        <f>N176*VLOOKUP('Données projet'!$B$9,Paramètres!$A$1:$I$89,3,0)*VLOOKUP('Données projet'!$B$9,Paramètres!$A$1:$I$89,5,0)</f>
        <v>-4.1145540308207271E-13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388.1278150896951</v>
      </c>
      <c r="T176" s="59">
        <f t="shared" si="142"/>
        <v>232.26614607059227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112.0741846969272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112.0741846969272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-4.5474735088646412E-13</v>
      </c>
      <c r="AJ176" s="13">
        <f>AI176*VLOOKUP('Données projet'!$B$10,Paramètres!$A$1:$I$89,3,0)*VLOOKUP('Données projet'!$B$10,Paramètres!$A$1:$I$89,5,0)</f>
        <v>-4.6111381379887462E-13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424.89201140676084</v>
      </c>
      <c r="AO176" s="59">
        <f t="shared" si="144"/>
        <v>253.0016648946303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125.6003794017288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125.6003794017288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155.99999999999991</v>
      </c>
      <c r="BE176" s="13">
        <f>BD176*VLOOKUP('Données projet'!$B$11,Paramètres!$A$1:$I$89,3,0)*VLOOKUP('Données projet'!$B$11,Paramètres!$A$1:$I$89,5,0)</f>
        <v>136.28159999999994</v>
      </c>
      <c r="BF176" s="13">
        <f t="shared" si="167"/>
        <v>35.443842312892279</v>
      </c>
      <c r="BG176" s="20">
        <f t="shared" si="168"/>
        <v>299.08847869495395</v>
      </c>
      <c r="BH176" s="59">
        <f t="shared" si="116"/>
        <v>587.98179234770237</v>
      </c>
      <c r="BI176" s="59">
        <f ca="1">AVERAGE(OFFSET($BH$3,0,0,'Données projet'!$E$11+1,1))-AVERAGE(OFFSET($H$3,0,0,'Données projet'!$E$11+1,1))</f>
        <v>218.97952644043698</v>
      </c>
      <c r="BJ176" s="59">
        <f t="shared" si="146"/>
        <v>204.10961748628714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0.28188711769180064</v>
      </c>
      <c r="BQ176" s="21">
        <f>EXP(-LN(2)/25)*BQ175+(1-EXP(-LN(2)/25))/(LN(2)/25)*Calculateur!BL176*Calculateur!BN176*VLOOKUP('Données projet'!$B$11,Paramètres!$A$1:$I$89,3,0)*0.475*44/12</f>
        <v>0.38009110671953678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0.66197822441133747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191.99999999999977</v>
      </c>
      <c r="BZ176" s="13">
        <f>BY176*VLOOKUP('Données projet'!$B$12,Paramètres!$A$1:$I$89,3,0)*VLOOKUP('Données projet'!$B$12,Paramètres!$A$1:$I$89,5,0)</f>
        <v>155.75039999999984</v>
      </c>
      <c r="CA176" s="13">
        <f t="shared" si="170"/>
        <v>39.882509755133718</v>
      </c>
      <c r="CB176" s="20">
        <f t="shared" si="171"/>
        <v>340.72731782352429</v>
      </c>
      <c r="CC176" s="59">
        <f t="shared" si="119"/>
        <v>629.62063147627282</v>
      </c>
      <c r="CD176" s="59">
        <f ca="1">AVERAGE(OFFSET($CC$3,0,0,'Données projet'!$E$12+1,1))-AVERAGE(OFFSET($H$3,0,0,'Données projet'!$E$12+1,1))</f>
        <v>256.23994291192162</v>
      </c>
      <c r="CE176" s="59">
        <f t="shared" si="148"/>
        <v>207.9118653708222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0.65906792086048749</v>
      </c>
      <c r="CL176" s="21">
        <f>EXP(-LN(2)/25)*CL175+(1-EXP(-LN(2)/25))/(LN(2)/25)*Calculateur!CG176*Calculateur!CI176*VLOOKUP('Données projet'!$B$12,Paramètres!$A$1:$I$89,3,0)*0.475*44/12</f>
        <v>0.98120702421061723</v>
      </c>
      <c r="CM176" s="21">
        <f>EXP(-LN(2)/2)*CM175+(1-EXP(-LN(2)/2))/(LN(2)/2)*CG176*CJ176*VLOOKUP('Données projet'!$B$12,Paramètres!$A$1:$I$89,3,0)*0.475*44/12</f>
        <v>6.0161443211948994E-13</v>
      </c>
      <c r="CN176" s="22">
        <f t="shared" si="172"/>
        <v>1.6402749450717062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170.99999999999991</v>
      </c>
      <c r="CU176" s="17">
        <f>CT176*VLOOKUP('Données projet'!$B$13,Paramètres!$A$1:$I$89,3,0)*VLOOKUP('Données projet'!$B$13,Paramètres!$A$1:$I$89,5,0)</f>
        <v>98.701199999999957</v>
      </c>
      <c r="CV176" s="13">
        <f t="shared" si="173"/>
        <v>26.652341328097943</v>
      </c>
      <c r="CW176" s="20">
        <f t="shared" si="174"/>
        <v>218.32408447977051</v>
      </c>
      <c r="CX176" s="59">
        <f t="shared" si="122"/>
        <v>507.21739813251895</v>
      </c>
      <c r="CY176" s="59">
        <f ca="1">AVERAGE(OFFSET($CX$3,0,0,'Données projet'!$E$13+1,1))-AVERAGE(OFFSET($H$3,0,0,'Données projet'!$E$13+1,1))</f>
        <v>205.74526926885287</v>
      </c>
      <c r="CZ176" s="59">
        <f t="shared" si="150"/>
        <v>201.56217137928999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0.17250252285397044</v>
      </c>
      <c r="DG176" s="21">
        <f>EXP(-LN(2)/25)*DG175+(1-EXP(-LN(2)/25))/(LN(2)/25)*Calculateur!DB176*Calculateur!DD176*VLOOKUP('Données projet'!$B$13,Paramètres!$A$1:$I$89,3,0)*0.475*44/12</f>
        <v>0.74228935485723069</v>
      </c>
      <c r="DH176" s="21">
        <f>EXP(-LN(2)/2)*DH175+(1-EXP(-LN(2)/2))/(LN(2)/2)*DB176*DE176*VLOOKUP('Données projet'!$B$13,Paramètres!$A$1:$I$89,3,0)*0.475*44/12</f>
        <v>7.1569549838824544E-13</v>
      </c>
      <c r="DI176" s="22">
        <f t="shared" si="175"/>
        <v>0.91479187771191683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-4.5474735088646412E-13</v>
      </c>
      <c r="DP176" s="17">
        <f>DO176*VLOOKUP('Données projet'!$B$14,Paramètres!$A$1:$I$89,3,0)*VLOOKUP('Données projet'!$B$14,Paramètres!$A$1:$I$89,5,0)</f>
        <v>-4.3273757910355926E-13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403.89478276355294</v>
      </c>
      <c r="DU176" s="59">
        <f t="shared" si="152"/>
        <v>241.1593989733278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117.8711252846993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117.8711252846993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-4.5474735088646412E-13</v>
      </c>
      <c r="O177" s="13">
        <f>N177*VLOOKUP('Données projet'!$B$9,Paramètres!$A$1:$I$89,3,0)*VLOOKUP('Données projet'!$B$9,Paramètres!$A$1:$I$89,5,0)</f>
        <v>-4.1145540308207271E-13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388.1278150896951</v>
      </c>
      <c r="T177" s="59">
        <f t="shared" si="142"/>
        <v>232.26614607059227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109.87647829352329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109.87647829352329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-4.5474735088646412E-13</v>
      </c>
      <c r="AJ177" s="13">
        <f>AI177*VLOOKUP('Données projet'!$B$10,Paramètres!$A$1:$I$89,3,0)*VLOOKUP('Données projet'!$B$10,Paramètres!$A$1:$I$89,5,0)</f>
        <v>-4.6111381379887462E-13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424.89201140676084</v>
      </c>
      <c r="AO177" s="59">
        <f t="shared" si="144"/>
        <v>253.0016648946303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123.13743257032786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123.13743257032786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155.99999999999991</v>
      </c>
      <c r="BE177" s="13">
        <f>BD177*VLOOKUP('Données projet'!$B$11,Paramètres!$A$1:$I$89,3,0)*VLOOKUP('Données projet'!$B$11,Paramètres!$A$1:$I$89,5,0)</f>
        <v>136.28159999999994</v>
      </c>
      <c r="BF177" s="13">
        <f t="shared" si="167"/>
        <v>35.443842312892279</v>
      </c>
      <c r="BG177" s="20">
        <f t="shared" si="168"/>
        <v>299.08847869495395</v>
      </c>
      <c r="BH177" s="59">
        <f t="shared" si="116"/>
        <v>588.05881676276363</v>
      </c>
      <c r="BI177" s="59">
        <f ca="1">AVERAGE(OFFSET($BH$3,0,0,'Données projet'!$E$11+1,1))-AVERAGE(OFFSET($H$3,0,0,'Données projet'!$E$11+1,1))</f>
        <v>218.97952644043698</v>
      </c>
      <c r="BJ177" s="59">
        <f t="shared" si="146"/>
        <v>204.10961748628714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0.27635948324802911</v>
      </c>
      <c r="BQ177" s="21">
        <f>EXP(-LN(2)/25)*BQ176+(1-EXP(-LN(2)/25))/(LN(2)/25)*Calculateur!BL177*Calculateur!BN177*VLOOKUP('Données projet'!$B$11,Paramètres!$A$1:$I$89,3,0)*0.475*44/12</f>
        <v>0.36969749541816843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0.6460569786661976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191.99999999999977</v>
      </c>
      <c r="BZ177" s="13">
        <f>BY177*VLOOKUP('Données projet'!$B$12,Paramètres!$A$1:$I$89,3,0)*VLOOKUP('Données projet'!$B$12,Paramètres!$A$1:$I$89,5,0)</f>
        <v>155.75039999999984</v>
      </c>
      <c r="CA177" s="13">
        <f t="shared" si="170"/>
        <v>39.882509755133718</v>
      </c>
      <c r="CB177" s="20">
        <f t="shared" si="171"/>
        <v>340.72731782352429</v>
      </c>
      <c r="CC177" s="59">
        <f t="shared" si="119"/>
        <v>629.69765589133408</v>
      </c>
      <c r="CD177" s="59">
        <f ca="1">AVERAGE(OFFSET($CC$3,0,0,'Données projet'!$E$12+1,1))-AVERAGE(OFFSET($H$3,0,0,'Données projet'!$E$12+1,1))</f>
        <v>256.23994291192162</v>
      </c>
      <c r="CE177" s="59">
        <f t="shared" si="148"/>
        <v>207.9118653708222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0.6461440009241517</v>
      </c>
      <c r="CL177" s="21">
        <f>EXP(-LN(2)/25)*CL176+(1-EXP(-LN(2)/25))/(LN(2)/25)*Calculateur!CG177*Calculateur!CI177*VLOOKUP('Données projet'!$B$12,Paramètres!$A$1:$I$89,3,0)*0.475*44/12</f>
        <v>0.95437586653414308</v>
      </c>
      <c r="CM177" s="21">
        <f>EXP(-LN(2)/2)*CM176+(1-EXP(-LN(2)/2))/(LN(2)/2)*CG177*CJ177*VLOOKUP('Données projet'!$B$12,Paramètres!$A$1:$I$89,3,0)*0.475*44/12</f>
        <v>4.2540564461138523E-13</v>
      </c>
      <c r="CN177" s="22">
        <f t="shared" si="172"/>
        <v>1.6005198674587202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170.99999999999991</v>
      </c>
      <c r="CU177" s="17">
        <f>CT177*VLOOKUP('Données projet'!$B$13,Paramètres!$A$1:$I$89,3,0)*VLOOKUP('Données projet'!$B$13,Paramètres!$A$1:$I$89,5,0)</f>
        <v>98.701199999999957</v>
      </c>
      <c r="CV177" s="13">
        <f t="shared" si="173"/>
        <v>26.652341328097943</v>
      </c>
      <c r="CW177" s="20">
        <f t="shared" si="174"/>
        <v>218.32408447977051</v>
      </c>
      <c r="CX177" s="59">
        <f t="shared" si="122"/>
        <v>507.29442254758021</v>
      </c>
      <c r="CY177" s="59">
        <f ca="1">AVERAGE(OFFSET($CX$3,0,0,'Données projet'!$E$13+1,1))-AVERAGE(OFFSET($H$3,0,0,'Données projet'!$E$13+1,1))</f>
        <v>205.74526926885287</v>
      </c>
      <c r="CZ177" s="59">
        <f t="shared" si="150"/>
        <v>201.56217137928999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0.16911985359695378</v>
      </c>
      <c r="DG177" s="21">
        <f>EXP(-LN(2)/25)*DG176+(1-EXP(-LN(2)/25))/(LN(2)/25)*Calculateur!DB177*Calculateur!DD177*VLOOKUP('Données projet'!$B$13,Paramètres!$A$1:$I$89,3,0)*0.475*44/12</f>
        <v>0.72199141341335904</v>
      </c>
      <c r="DH177" s="21">
        <f>EXP(-LN(2)/2)*DH176+(1-EXP(-LN(2)/2))/(LN(2)/2)*DB177*DE177*VLOOKUP('Données projet'!$B$13,Paramètres!$A$1:$I$89,3,0)*0.475*44/12</f>
        <v>5.0607314017501413E-13</v>
      </c>
      <c r="DI177" s="22">
        <f t="shared" si="175"/>
        <v>0.89111126701081889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-4.5474735088646412E-13</v>
      </c>
      <c r="DP177" s="17">
        <f>DO177*VLOOKUP('Données projet'!$B$14,Paramètres!$A$1:$I$89,3,0)*VLOOKUP('Données projet'!$B$14,Paramètres!$A$1:$I$89,5,0)</f>
        <v>-4.3273757910355926E-13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403.89478276355294</v>
      </c>
      <c r="DU177" s="59">
        <f t="shared" si="152"/>
        <v>241.1593989733278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115.5597444121538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115.5597444121538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-4.5474735088646412E-13</v>
      </c>
      <c r="O178" s="13">
        <f>N178*VLOOKUP('Données projet'!$B$9,Paramètres!$A$1:$I$89,3,0)*VLOOKUP('Données projet'!$B$9,Paramètres!$A$1:$I$89,5,0)</f>
        <v>-4.1145540308207271E-13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388.1278150896951</v>
      </c>
      <c r="T178" s="59">
        <f t="shared" si="142"/>
        <v>232.26614607059227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107.72186757222158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107.72186757222158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-4.5474735088646412E-13</v>
      </c>
      <c r="AJ178" s="13">
        <f>AI178*VLOOKUP('Données projet'!$B$10,Paramètres!$A$1:$I$89,3,0)*VLOOKUP('Données projet'!$B$10,Paramètres!$A$1:$I$89,5,0)</f>
        <v>-4.6111381379887462E-13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424.89201140676084</v>
      </c>
      <c r="AO178" s="59">
        <f t="shared" si="144"/>
        <v>253.0016648946303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120.72278262404146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120.72278262404146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155.99999999999991</v>
      </c>
      <c r="BE178" s="13">
        <f>BD178*VLOOKUP('Données projet'!$B$11,Paramètres!$A$1:$I$89,3,0)*VLOOKUP('Données projet'!$B$11,Paramètres!$A$1:$I$89,5,0)</f>
        <v>136.28159999999994</v>
      </c>
      <c r="BF178" s="13">
        <f t="shared" si="167"/>
        <v>35.443842312892279</v>
      </c>
      <c r="BG178" s="20">
        <f t="shared" si="168"/>
        <v>299.08847869495395</v>
      </c>
      <c r="BH178" s="59">
        <f t="shared" si="116"/>
        <v>588.1345049764243</v>
      </c>
      <c r="BI178" s="59">
        <f ca="1">AVERAGE(OFFSET($BH$3,0,0,'Données projet'!$E$11+1,1))-AVERAGE(OFFSET($H$3,0,0,'Données projet'!$E$11+1,1))</f>
        <v>218.97952644043698</v>
      </c>
      <c r="BJ178" s="59">
        <f t="shared" si="146"/>
        <v>204.10961748628714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0.27094024234417585</v>
      </c>
      <c r="BQ178" s="21">
        <f>EXP(-LN(2)/25)*BQ177+(1-EXP(-LN(2)/25))/(LN(2)/25)*Calculateur!BL178*Calculateur!BN178*VLOOKUP('Données projet'!$B$11,Paramètres!$A$1:$I$89,3,0)*0.475*44/12</f>
        <v>0.35958809796441227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0.63052834030858818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191.99999999999977</v>
      </c>
      <c r="BZ178" s="13">
        <f>BY178*VLOOKUP('Données projet'!$B$12,Paramètres!$A$1:$I$89,3,0)*VLOOKUP('Données projet'!$B$12,Paramètres!$A$1:$I$89,5,0)</f>
        <v>155.75039999999984</v>
      </c>
      <c r="CA178" s="13">
        <f t="shared" si="170"/>
        <v>39.882509755133718</v>
      </c>
      <c r="CB178" s="20">
        <f t="shared" si="171"/>
        <v>340.72731782352429</v>
      </c>
      <c r="CC178" s="59">
        <f t="shared" si="119"/>
        <v>629.77334410499475</v>
      </c>
      <c r="CD178" s="59">
        <f ca="1">AVERAGE(OFFSET($CC$3,0,0,'Données projet'!$E$12+1,1))-AVERAGE(OFFSET($H$3,0,0,'Données projet'!$E$12+1,1))</f>
        <v>256.23994291192162</v>
      </c>
      <c r="CE178" s="59">
        <f t="shared" si="148"/>
        <v>207.9118653708222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0.63347351117495465</v>
      </c>
      <c r="CL178" s="21">
        <f>EXP(-LN(2)/25)*CL177+(1-EXP(-LN(2)/25))/(LN(2)/25)*Calculateur!CG178*Calculateur!CI178*VLOOKUP('Données projet'!$B$12,Paramètres!$A$1:$I$89,3,0)*0.475*44/12</f>
        <v>0.92827840827532138</v>
      </c>
      <c r="CM178" s="21">
        <f>EXP(-LN(2)/2)*CM177+(1-EXP(-LN(2)/2))/(LN(2)/2)*CG178*CJ178*VLOOKUP('Données projet'!$B$12,Paramètres!$A$1:$I$89,3,0)*0.475*44/12</f>
        <v>3.0080721605974497E-13</v>
      </c>
      <c r="CN178" s="22">
        <f t="shared" si="172"/>
        <v>1.5617519194505769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170.99999999999991</v>
      </c>
      <c r="CU178" s="17">
        <f>CT178*VLOOKUP('Données projet'!$B$13,Paramètres!$A$1:$I$89,3,0)*VLOOKUP('Données projet'!$B$13,Paramètres!$A$1:$I$89,5,0)</f>
        <v>98.701199999999957</v>
      </c>
      <c r="CV178" s="13">
        <f t="shared" si="173"/>
        <v>26.652341328097943</v>
      </c>
      <c r="CW178" s="20">
        <f t="shared" si="174"/>
        <v>218.32408447977051</v>
      </c>
      <c r="CX178" s="59">
        <f t="shared" si="122"/>
        <v>507.37011076124088</v>
      </c>
      <c r="CY178" s="59">
        <f ca="1">AVERAGE(OFFSET($CX$3,0,0,'Données projet'!$E$13+1,1))-AVERAGE(OFFSET($H$3,0,0,'Données projet'!$E$13+1,1))</f>
        <v>205.74526926885287</v>
      </c>
      <c r="CZ178" s="59">
        <f t="shared" si="150"/>
        <v>201.56217137928999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0.16580351642084271</v>
      </c>
      <c r="DG178" s="21">
        <f>EXP(-LN(2)/25)*DG177+(1-EXP(-LN(2)/25))/(LN(2)/25)*Calculateur!DB178*Calculateur!DD178*VLOOKUP('Données projet'!$B$13,Paramètres!$A$1:$I$89,3,0)*0.475*44/12</f>
        <v>0.7022485202456924</v>
      </c>
      <c r="DH178" s="21">
        <f>EXP(-LN(2)/2)*DH177+(1-EXP(-LN(2)/2))/(LN(2)/2)*DB178*DE178*VLOOKUP('Données projet'!$B$13,Paramètres!$A$1:$I$89,3,0)*0.475*44/12</f>
        <v>3.5784774919412272E-13</v>
      </c>
      <c r="DI178" s="22">
        <f t="shared" si="175"/>
        <v>0.8680520366668929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-4.5474735088646412E-13</v>
      </c>
      <c r="DP178" s="17">
        <f>DO178*VLOOKUP('Données projet'!$B$14,Paramètres!$A$1:$I$89,3,0)*VLOOKUP('Données projet'!$B$14,Paramètres!$A$1:$I$89,5,0)</f>
        <v>-4.3273757910355926E-13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403.89478276355294</v>
      </c>
      <c r="DU178" s="59">
        <f t="shared" si="152"/>
        <v>241.1593989733278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113.2936883087158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113.2936883087158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-4.5474735088646412E-13</v>
      </c>
      <c r="O179" s="13">
        <f>N179*VLOOKUP('Données projet'!$B$9,Paramètres!$A$1:$I$89,3,0)*VLOOKUP('Données projet'!$B$9,Paramètres!$A$1:$I$89,5,0)</f>
        <v>-4.1145540308207271E-13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388.1278150896951</v>
      </c>
      <c r="T179" s="59">
        <f t="shared" si="142"/>
        <v>232.26614607059227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105.60950745298182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105.60950745298182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-4.5474735088646412E-13</v>
      </c>
      <c r="AJ179" s="13">
        <f>AI179*VLOOKUP('Données projet'!$B$10,Paramètres!$A$1:$I$89,3,0)*VLOOKUP('Données projet'!$B$10,Paramètres!$A$1:$I$89,5,0)</f>
        <v>-4.6111381379887462E-13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424.89201140676084</v>
      </c>
      <c r="AO179" s="59">
        <f t="shared" si="144"/>
        <v>253.0016648946303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118.35548249041069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118.35548249041069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155.99999999999991</v>
      </c>
      <c r="BE179" s="13">
        <f>BD179*VLOOKUP('Données projet'!$B$11,Paramètres!$A$1:$I$89,3,0)*VLOOKUP('Données projet'!$B$11,Paramètres!$A$1:$I$89,5,0)</f>
        <v>136.28159999999994</v>
      </c>
      <c r="BF179" s="13">
        <f t="shared" si="167"/>
        <v>35.443842312892279</v>
      </c>
      <c r="BG179" s="20">
        <f t="shared" si="168"/>
        <v>299.08847869495395</v>
      </c>
      <c r="BH179" s="59">
        <f t="shared" si="116"/>
        <v>588.20888016879155</v>
      </c>
      <c r="BI179" s="59">
        <f ca="1">AVERAGE(OFFSET($BH$3,0,0,'Données projet'!$E$11+1,1))-AVERAGE(OFFSET($H$3,0,0,'Données projet'!$E$11+1,1))</f>
        <v>218.97952644043698</v>
      </c>
      <c r="BJ179" s="59">
        <f t="shared" si="146"/>
        <v>204.10961748628714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0.26562726944903658</v>
      </c>
      <c r="BQ179" s="21">
        <f>EXP(-LN(2)/25)*BQ178+(1-EXP(-LN(2)/25))/(LN(2)/25)*Calculateur!BL179*Calculateur!BN179*VLOOKUP('Données projet'!$B$11,Paramètres!$A$1:$I$89,3,0)*0.475*44/12</f>
        <v>0.3497551425156592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0.61538241196469579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191.99999999999977</v>
      </c>
      <c r="BZ179" s="13">
        <f>BY179*VLOOKUP('Données projet'!$B$12,Paramètres!$A$1:$I$89,3,0)*VLOOKUP('Données projet'!$B$12,Paramètres!$A$1:$I$89,5,0)</f>
        <v>155.75039999999984</v>
      </c>
      <c r="CA179" s="13">
        <f t="shared" si="170"/>
        <v>39.882509755133718</v>
      </c>
      <c r="CB179" s="20">
        <f t="shared" si="171"/>
        <v>340.72731782352429</v>
      </c>
      <c r="CC179" s="59">
        <f t="shared" si="119"/>
        <v>629.84771929736189</v>
      </c>
      <c r="CD179" s="59">
        <f ca="1">AVERAGE(OFFSET($CC$3,0,0,'Données projet'!$E$12+1,1))-AVERAGE(OFFSET($H$3,0,0,'Données projet'!$E$12+1,1))</f>
        <v>256.23994291192162</v>
      </c>
      <c r="CE179" s="59">
        <f t="shared" si="148"/>
        <v>207.9118653708222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0.62105148200150373</v>
      </c>
      <c r="CL179" s="21">
        <f>EXP(-LN(2)/25)*CL178+(1-EXP(-LN(2)/25))/(LN(2)/25)*Calculateur!CG179*Calculateur!CI179*VLOOKUP('Données projet'!$B$12,Paramètres!$A$1:$I$89,3,0)*0.475*44/12</f>
        <v>0.90289458638499287</v>
      </c>
      <c r="CM179" s="21">
        <f>EXP(-LN(2)/2)*CM178+(1-EXP(-LN(2)/2))/(LN(2)/2)*CG179*CJ179*VLOOKUP('Données projet'!$B$12,Paramètres!$A$1:$I$89,3,0)*0.475*44/12</f>
        <v>2.1270282230569261E-13</v>
      </c>
      <c r="CN179" s="22">
        <f t="shared" si="172"/>
        <v>1.5239460683867092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170.99999999999991</v>
      </c>
      <c r="CU179" s="17">
        <f>CT179*VLOOKUP('Données projet'!$B$13,Paramètres!$A$1:$I$89,3,0)*VLOOKUP('Données projet'!$B$13,Paramètres!$A$1:$I$89,5,0)</f>
        <v>98.701199999999957</v>
      </c>
      <c r="CV179" s="13">
        <f t="shared" si="173"/>
        <v>26.652341328097943</v>
      </c>
      <c r="CW179" s="20">
        <f t="shared" si="174"/>
        <v>218.32408447977051</v>
      </c>
      <c r="CX179" s="59">
        <f t="shared" si="122"/>
        <v>507.44448595360814</v>
      </c>
      <c r="CY179" s="59">
        <f ca="1">AVERAGE(OFFSET($CX$3,0,0,'Données projet'!$E$13+1,1))-AVERAGE(OFFSET($H$3,0,0,'Données projet'!$E$13+1,1))</f>
        <v>205.74526926885287</v>
      </c>
      <c r="CZ179" s="59">
        <f t="shared" si="150"/>
        <v>201.56217137928999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0.16255221059398922</v>
      </c>
      <c r="DG179" s="21">
        <f>EXP(-LN(2)/25)*DG178+(1-EXP(-LN(2)/25))/(LN(2)/25)*Calculateur!DB179*Calculateur!DD179*VLOOKUP('Données projet'!$B$13,Paramètres!$A$1:$I$89,3,0)*0.475*44/12</f>
        <v>0.68304549752992927</v>
      </c>
      <c r="DH179" s="21">
        <f>EXP(-LN(2)/2)*DH178+(1-EXP(-LN(2)/2))/(LN(2)/2)*DB179*DE179*VLOOKUP('Données projet'!$B$13,Paramètres!$A$1:$I$89,3,0)*0.475*44/12</f>
        <v>2.5303657008750706E-13</v>
      </c>
      <c r="DI179" s="22">
        <f t="shared" si="175"/>
        <v>0.84559770812417157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-4.5474735088646412E-13</v>
      </c>
      <c r="DP179" s="17">
        <f>DO179*VLOOKUP('Données projet'!$B$14,Paramètres!$A$1:$I$89,3,0)*VLOOKUP('Données projet'!$B$14,Paramètres!$A$1:$I$89,5,0)</f>
        <v>-4.3273757910355926E-13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403.89478276355294</v>
      </c>
      <c r="DU179" s="59">
        <f t="shared" si="152"/>
        <v>241.1593989733278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111.07206818330846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111.07206818330846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-4.5474735088646412E-13</v>
      </c>
      <c r="O180" s="13">
        <f>N180*VLOOKUP('Données projet'!$B$9,Paramètres!$A$1:$I$89,3,0)*VLOOKUP('Données projet'!$B$9,Paramètres!$A$1:$I$89,5,0)</f>
        <v>-4.1145540308207271E-13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388.1278150896951</v>
      </c>
      <c r="T180" s="59">
        <f t="shared" si="142"/>
        <v>232.26614607059227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103.53856942726789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103.53856942726789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-4.5474735088646412E-13</v>
      </c>
      <c r="AJ180" s="13">
        <f>AI180*VLOOKUP('Données projet'!$B$10,Paramètres!$A$1:$I$89,3,0)*VLOOKUP('Données projet'!$B$10,Paramètres!$A$1:$I$89,5,0)</f>
        <v>-4.6111381379887462E-13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424.89201140676084</v>
      </c>
      <c r="AO180" s="59">
        <f t="shared" si="144"/>
        <v>253.0016648946303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116.03460366848992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116.03460366848992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155.99999999999991</v>
      </c>
      <c r="BE180" s="13">
        <f>BD180*VLOOKUP('Données projet'!$B$11,Paramètres!$A$1:$I$89,3,0)*VLOOKUP('Données projet'!$B$11,Paramètres!$A$1:$I$89,5,0)</f>
        <v>136.28159999999994</v>
      </c>
      <c r="BF180" s="13">
        <f t="shared" si="167"/>
        <v>35.443842312892279</v>
      </c>
      <c r="BG180" s="20">
        <f t="shared" si="168"/>
        <v>299.08847869495395</v>
      </c>
      <c r="BH180" s="59">
        <f t="shared" si="116"/>
        <v>588.28196511784927</v>
      </c>
      <c r="BI180" s="59">
        <f ca="1">AVERAGE(OFFSET($BH$3,0,0,'Données projet'!$E$11+1,1))-AVERAGE(OFFSET($H$3,0,0,'Données projet'!$E$11+1,1))</f>
        <v>218.97952644043698</v>
      </c>
      <c r="BJ180" s="59">
        <f t="shared" si="146"/>
        <v>204.10961748628714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0.26041848071177753</v>
      </c>
      <c r="BQ180" s="21">
        <f>EXP(-LN(2)/25)*BQ179+(1-EXP(-LN(2)/25))/(LN(2)/25)*Calculateur!BL180*Calculateur!BN180*VLOOKUP('Données projet'!$B$11,Paramètres!$A$1:$I$89,3,0)*0.475*44/12</f>
        <v>0.34019106975074492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0.6006095504625224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191.99999999999977</v>
      </c>
      <c r="BZ180" s="13">
        <f>BY180*VLOOKUP('Données projet'!$B$12,Paramètres!$A$1:$I$89,3,0)*VLOOKUP('Données projet'!$B$12,Paramètres!$A$1:$I$89,5,0)</f>
        <v>155.75039999999984</v>
      </c>
      <c r="CA180" s="13">
        <f t="shared" si="170"/>
        <v>39.882509755133718</v>
      </c>
      <c r="CB180" s="20">
        <f t="shared" si="171"/>
        <v>340.72731782352429</v>
      </c>
      <c r="CC180" s="59">
        <f t="shared" si="119"/>
        <v>629.92080424641949</v>
      </c>
      <c r="CD180" s="59">
        <f ca="1">AVERAGE(OFFSET($CC$3,0,0,'Données projet'!$E$12+1,1))-AVERAGE(OFFSET($H$3,0,0,'Données projet'!$E$12+1,1))</f>
        <v>256.23994291192162</v>
      </c>
      <c r="CE180" s="59">
        <f t="shared" si="148"/>
        <v>207.9118653708222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0.60887304124345443</v>
      </c>
      <c r="CL180" s="21">
        <f>EXP(-LN(2)/25)*CL179+(1-EXP(-LN(2)/25))/(LN(2)/25)*Calculateur!CG180*Calculateur!CI180*VLOOKUP('Données projet'!$B$12,Paramètres!$A$1:$I$89,3,0)*0.475*44/12</f>
        <v>0.87820488643913253</v>
      </c>
      <c r="CM180" s="21">
        <f>EXP(-LN(2)/2)*CM179+(1-EXP(-LN(2)/2))/(LN(2)/2)*CG180*CJ180*VLOOKUP('Données projet'!$B$12,Paramètres!$A$1:$I$89,3,0)*0.475*44/12</f>
        <v>1.5040360802987249E-13</v>
      </c>
      <c r="CN180" s="22">
        <f t="shared" si="172"/>
        <v>1.4870779276827373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170.99999999999991</v>
      </c>
      <c r="CU180" s="17">
        <f>CT180*VLOOKUP('Données projet'!$B$13,Paramètres!$A$1:$I$89,3,0)*VLOOKUP('Données projet'!$B$13,Paramètres!$A$1:$I$89,5,0)</f>
        <v>98.701199999999957</v>
      </c>
      <c r="CV180" s="13">
        <f t="shared" si="173"/>
        <v>26.652341328097943</v>
      </c>
      <c r="CW180" s="20">
        <f t="shared" si="174"/>
        <v>218.32408447977051</v>
      </c>
      <c r="CX180" s="59">
        <f t="shared" si="122"/>
        <v>507.51757090266574</v>
      </c>
      <c r="CY180" s="59">
        <f ca="1">AVERAGE(OFFSET($CX$3,0,0,'Données projet'!$E$13+1,1))-AVERAGE(OFFSET($H$3,0,0,'Données projet'!$E$13+1,1))</f>
        <v>205.74526926885287</v>
      </c>
      <c r="CZ180" s="59">
        <f t="shared" si="150"/>
        <v>201.56217137928999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0.15936466089129961</v>
      </c>
      <c r="DG180" s="21">
        <f>EXP(-LN(2)/25)*DG179+(1-EXP(-LN(2)/25))/(LN(2)/25)*Calculateur!DB180*Calculateur!DD180*VLOOKUP('Données projet'!$B$13,Paramètres!$A$1:$I$89,3,0)*0.475*44/12</f>
        <v>0.6643675824801718</v>
      </c>
      <c r="DH180" s="21">
        <f>EXP(-LN(2)/2)*DH179+(1-EXP(-LN(2)/2))/(LN(2)/2)*DB180*DE180*VLOOKUP('Données projet'!$B$13,Paramètres!$A$1:$I$89,3,0)*0.475*44/12</f>
        <v>1.7892387459706136E-13</v>
      </c>
      <c r="DI180" s="22">
        <f t="shared" si="175"/>
        <v>0.82373224337165041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-4.5474735088646412E-13</v>
      </c>
      <c r="DP180" s="17">
        <f>DO180*VLOOKUP('Données projet'!$B$14,Paramètres!$A$1:$I$89,3,0)*VLOOKUP('Données projet'!$B$14,Paramètres!$A$1:$I$89,5,0)</f>
        <v>-4.3273757910355926E-13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403.89478276355294</v>
      </c>
      <c r="DU180" s="59">
        <f t="shared" si="152"/>
        <v>241.1593989733278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108.89401267350588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108.89401267350588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-4.5474735088646412E-13</v>
      </c>
      <c r="O181" s="13">
        <f>N181*VLOOKUP('Données projet'!$B$9,Paramètres!$A$1:$I$89,3,0)*VLOOKUP('Données projet'!$B$9,Paramètres!$A$1:$I$89,5,0)</f>
        <v>-4.1145540308207271E-13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388.1278150896951</v>
      </c>
      <c r="T181" s="59">
        <f t="shared" si="142"/>
        <v>232.26614607059227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101.50824123309074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101.50824123309074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-4.5474735088646412E-13</v>
      </c>
      <c r="AJ181" s="13">
        <f>AI181*VLOOKUP('Données projet'!$B$10,Paramètres!$A$1:$I$89,3,0)*VLOOKUP('Données projet'!$B$10,Paramètres!$A$1:$I$89,5,0)</f>
        <v>-4.6111381379887462E-13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424.89201140676084</v>
      </c>
      <c r="AO181" s="59">
        <f t="shared" si="144"/>
        <v>253.0016648946303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113.75923586467071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113.75923586467071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155.99999999999991</v>
      </c>
      <c r="BE181" s="13">
        <f>BD181*VLOOKUP('Données projet'!$B$11,Paramètres!$A$1:$I$89,3,0)*VLOOKUP('Données projet'!$B$11,Paramètres!$A$1:$I$89,5,0)</f>
        <v>136.28159999999994</v>
      </c>
      <c r="BF181" s="13">
        <f t="shared" si="167"/>
        <v>35.443842312892279</v>
      </c>
      <c r="BG181" s="20">
        <f t="shared" si="168"/>
        <v>299.08847869495395</v>
      </c>
      <c r="BH181" s="59">
        <f t="shared" si="116"/>
        <v>588.35378220643406</v>
      </c>
      <c r="BI181" s="59">
        <f ca="1">AVERAGE(OFFSET($BH$3,0,0,'Données projet'!$E$11+1,1))-AVERAGE(OFFSET($H$3,0,0,'Données projet'!$E$11+1,1))</f>
        <v>218.97952644043698</v>
      </c>
      <c r="BJ181" s="59">
        <f t="shared" si="146"/>
        <v>204.10961748628714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0.2553118331446087</v>
      </c>
      <c r="BQ181" s="21">
        <f>EXP(-LN(2)/25)*BQ180+(1-EXP(-LN(2)/25))/(LN(2)/25)*Calculateur!BL181*Calculateur!BN181*VLOOKUP('Données projet'!$B$11,Paramètres!$A$1:$I$89,3,0)*0.475*44/12</f>
        <v>0.33088852705853994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0.5862003602031487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191.99999999999977</v>
      </c>
      <c r="BZ181" s="13">
        <f>BY181*VLOOKUP('Données projet'!$B$12,Paramètres!$A$1:$I$89,3,0)*VLOOKUP('Données projet'!$B$12,Paramètres!$A$1:$I$89,5,0)</f>
        <v>155.75039999999984</v>
      </c>
      <c r="CA181" s="13">
        <f t="shared" si="170"/>
        <v>39.882509755133718</v>
      </c>
      <c r="CB181" s="20">
        <f t="shared" si="171"/>
        <v>340.72731782352429</v>
      </c>
      <c r="CC181" s="59">
        <f t="shared" si="119"/>
        <v>629.99262133500451</v>
      </c>
      <c r="CD181" s="59">
        <f ca="1">AVERAGE(OFFSET($CC$3,0,0,'Données projet'!$E$12+1,1))-AVERAGE(OFFSET($H$3,0,0,'Données projet'!$E$12+1,1))</f>
        <v>256.23994291192162</v>
      </c>
      <c r="CE181" s="59">
        <f t="shared" si="148"/>
        <v>207.9118653708222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0.59693341228055508</v>
      </c>
      <c r="CL181" s="21">
        <f>EXP(-LN(2)/25)*CL180+(1-EXP(-LN(2)/25))/(LN(2)/25)*Calculateur!CG181*Calculateur!CI181*VLOOKUP('Données projet'!$B$12,Paramètres!$A$1:$I$89,3,0)*0.475*44/12</f>
        <v>0.85419032763666658</v>
      </c>
      <c r="CM181" s="21">
        <f>EXP(-LN(2)/2)*CM180+(1-EXP(-LN(2)/2))/(LN(2)/2)*CG181*CJ181*VLOOKUP('Données projet'!$B$12,Paramètres!$A$1:$I$89,3,0)*0.475*44/12</f>
        <v>1.0635141115284631E-13</v>
      </c>
      <c r="CN181" s="22">
        <f t="shared" si="172"/>
        <v>1.451123739917328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170.99999999999991</v>
      </c>
      <c r="CU181" s="17">
        <f>CT181*VLOOKUP('Données projet'!$B$13,Paramètres!$A$1:$I$89,3,0)*VLOOKUP('Données projet'!$B$13,Paramètres!$A$1:$I$89,5,0)</f>
        <v>98.701199999999957</v>
      </c>
      <c r="CV181" s="13">
        <f t="shared" si="173"/>
        <v>26.652341328097943</v>
      </c>
      <c r="CW181" s="20">
        <f t="shared" si="174"/>
        <v>218.32408447977051</v>
      </c>
      <c r="CX181" s="59">
        <f t="shared" si="122"/>
        <v>507.58938799125065</v>
      </c>
      <c r="CY181" s="59">
        <f ca="1">AVERAGE(OFFSET($CX$3,0,0,'Données projet'!$E$13+1,1))-AVERAGE(OFFSET($H$3,0,0,'Données projet'!$E$13+1,1))</f>
        <v>205.74526926885287</v>
      </c>
      <c r="CZ181" s="59">
        <f t="shared" si="150"/>
        <v>201.56217137928999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0.15623961709406639</v>
      </c>
      <c r="DG181" s="21">
        <f>EXP(-LN(2)/25)*DG180+(1-EXP(-LN(2)/25))/(LN(2)/25)*Calculateur!DB181*Calculateur!DD181*VLOOKUP('Données projet'!$B$13,Paramètres!$A$1:$I$89,3,0)*0.475*44/12</f>
        <v>0.64620041599967881</v>
      </c>
      <c r="DH181" s="21">
        <f>EXP(-LN(2)/2)*DH180+(1-EXP(-LN(2)/2))/(LN(2)/2)*DB181*DE181*VLOOKUP('Données projet'!$B$13,Paramètres!$A$1:$I$89,3,0)*0.475*44/12</f>
        <v>1.2651828504375353E-13</v>
      </c>
      <c r="DI181" s="22">
        <f t="shared" si="175"/>
        <v>0.8024400330938718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-4.5474735088646412E-13</v>
      </c>
      <c r="DP181" s="17">
        <f>DO181*VLOOKUP('Données projet'!$B$14,Paramètres!$A$1:$I$89,3,0)*VLOOKUP('Données projet'!$B$14,Paramètres!$A$1:$I$89,5,0)</f>
        <v>-4.3273757910355926E-13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403.89478276355294</v>
      </c>
      <c r="DU181" s="59">
        <f t="shared" si="152"/>
        <v>241.1593989733278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106.75866750376785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106.75866750376785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-4.5474735088646412E-13</v>
      </c>
      <c r="O182" s="13">
        <f>N182*VLOOKUP('Données projet'!$B$9,Paramètres!$A$1:$I$89,3,0)*VLOOKUP('Données projet'!$B$9,Paramètres!$A$1:$I$89,5,0)</f>
        <v>-4.1145540308207271E-13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388.1278150896951</v>
      </c>
      <c r="T182" s="59">
        <f t="shared" si="142"/>
        <v>232.26614607059227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99.517726536423496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99.517726536423496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-4.5474735088646412E-13</v>
      </c>
      <c r="AJ182" s="13">
        <f>AI182*VLOOKUP('Données projet'!$B$10,Paramètres!$A$1:$I$89,3,0)*VLOOKUP('Données projet'!$B$10,Paramètres!$A$1:$I$89,5,0)</f>
        <v>-4.6111381379887462E-13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424.89201140676084</v>
      </c>
      <c r="AO182" s="59">
        <f t="shared" si="144"/>
        <v>253.0016648946303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111.52848663564707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111.52848663564707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155.99999999999991</v>
      </c>
      <c r="BE182" s="13">
        <f>BD182*VLOOKUP('Données projet'!$B$11,Paramètres!$A$1:$I$89,3,0)*VLOOKUP('Données projet'!$B$11,Paramètres!$A$1:$I$89,5,0)</f>
        <v>136.28159999999994</v>
      </c>
      <c r="BF182" s="13">
        <f t="shared" si="167"/>
        <v>35.443842312892279</v>
      </c>
      <c r="BG182" s="20">
        <f t="shared" si="168"/>
        <v>299.08847869495395</v>
      </c>
      <c r="BH182" s="59">
        <f t="shared" si="116"/>
        <v>588.42435342909107</v>
      </c>
      <c r="BI182" s="59">
        <f ca="1">AVERAGE(OFFSET($BH$3,0,0,'Données projet'!$E$11+1,1))-AVERAGE(OFFSET($H$3,0,0,'Données projet'!$E$11+1,1))</f>
        <v>218.97952644043698</v>
      </c>
      <c r="BJ182" s="59">
        <f t="shared" si="146"/>
        <v>204.10961748628714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0.25030532382148457</v>
      </c>
      <c r="BQ182" s="21">
        <f>EXP(-LN(2)/25)*BQ181+(1-EXP(-LN(2)/25))/(LN(2)/25)*Calculateur!BL182*Calculateur!BN182*VLOOKUP('Données projet'!$B$11,Paramètres!$A$1:$I$89,3,0)*0.475*44/12</f>
        <v>0.32184036288545276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0.57214568670693733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191.99999999999977</v>
      </c>
      <c r="BZ182" s="13">
        <f>BY182*VLOOKUP('Données projet'!$B$12,Paramètres!$A$1:$I$89,3,0)*VLOOKUP('Données projet'!$B$12,Paramètres!$A$1:$I$89,5,0)</f>
        <v>155.75039999999984</v>
      </c>
      <c r="CA182" s="13">
        <f t="shared" si="170"/>
        <v>39.882509755133718</v>
      </c>
      <c r="CB182" s="20">
        <f t="shared" si="171"/>
        <v>340.72731782352429</v>
      </c>
      <c r="CC182" s="59">
        <f t="shared" si="119"/>
        <v>630.06319255766141</v>
      </c>
      <c r="CD182" s="59">
        <f ca="1">AVERAGE(OFFSET($CC$3,0,0,'Données projet'!$E$12+1,1))-AVERAGE(OFFSET($H$3,0,0,'Données projet'!$E$12+1,1))</f>
        <v>256.23994291192162</v>
      </c>
      <c r="CE182" s="59">
        <f t="shared" si="148"/>
        <v>207.9118653708222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0.58522791215916359</v>
      </c>
      <c r="CL182" s="21">
        <f>EXP(-LN(2)/25)*CL181+(1-EXP(-LN(2)/25))/(LN(2)/25)*Calculateur!CG182*Calculateur!CI182*VLOOKUP('Données projet'!$B$12,Paramètres!$A$1:$I$89,3,0)*0.475*44/12</f>
        <v>0.83083244820752489</v>
      </c>
      <c r="CM182" s="21">
        <f>EXP(-LN(2)/2)*CM181+(1-EXP(-LN(2)/2))/(LN(2)/2)*CG182*CJ182*VLOOKUP('Données projet'!$B$12,Paramètres!$A$1:$I$89,3,0)*0.475*44/12</f>
        <v>7.5201804014936243E-14</v>
      </c>
      <c r="CN182" s="22">
        <f t="shared" si="172"/>
        <v>1.4160603603667636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170.99999999999991</v>
      </c>
      <c r="CU182" s="17">
        <f>CT182*VLOOKUP('Données projet'!$B$13,Paramètres!$A$1:$I$89,3,0)*VLOOKUP('Données projet'!$B$13,Paramètres!$A$1:$I$89,5,0)</f>
        <v>98.701199999999957</v>
      </c>
      <c r="CV182" s="13">
        <f t="shared" si="173"/>
        <v>26.652341328097943</v>
      </c>
      <c r="CW182" s="20">
        <f t="shared" si="174"/>
        <v>218.32408447977051</v>
      </c>
      <c r="CX182" s="59">
        <f t="shared" si="122"/>
        <v>507.65995921390765</v>
      </c>
      <c r="CY182" s="59">
        <f ca="1">AVERAGE(OFFSET($CX$3,0,0,'Données projet'!$E$13+1,1))-AVERAGE(OFFSET($H$3,0,0,'Données projet'!$E$13+1,1))</f>
        <v>205.74526926885287</v>
      </c>
      <c r="CZ182" s="59">
        <f t="shared" si="150"/>
        <v>201.56217137928999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0.15317585349960841</v>
      </c>
      <c r="DG182" s="21">
        <f>EXP(-LN(2)/25)*DG181+(1-EXP(-LN(2)/25))/(LN(2)/25)*Calculateur!DB182*Calculateur!DD182*VLOOKUP('Données projet'!$B$13,Paramètres!$A$1:$I$89,3,0)*0.475*44/12</f>
        <v>0.62853003164196464</v>
      </c>
      <c r="DH182" s="21">
        <f>EXP(-LN(2)/2)*DH181+(1-EXP(-LN(2)/2))/(LN(2)/2)*DB182*DE182*VLOOKUP('Données projet'!$B$13,Paramètres!$A$1:$I$89,3,0)*0.475*44/12</f>
        <v>8.946193729853068E-14</v>
      </c>
      <c r="DI182" s="22">
        <f t="shared" si="175"/>
        <v>0.7817058851416625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-4.5474735088646412E-13</v>
      </c>
      <c r="DP182" s="17">
        <f>DO182*VLOOKUP('Données projet'!$B$14,Paramètres!$A$1:$I$89,3,0)*VLOOKUP('Données projet'!$B$14,Paramètres!$A$1:$I$89,5,0)</f>
        <v>-4.3273757910355926E-13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403.89478276355294</v>
      </c>
      <c r="DU182" s="59">
        <f t="shared" si="152"/>
        <v>241.1593989733278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104.66519515037643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104.66519515037643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-4.5474735088646412E-13</v>
      </c>
      <c r="O183" s="13">
        <f>N183*VLOOKUP('Données projet'!$B$9,Paramètres!$A$1:$I$89,3,0)*VLOOKUP('Données projet'!$B$9,Paramètres!$A$1:$I$89,5,0)</f>
        <v>-4.1145540308207271E-13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388.1278150896951</v>
      </c>
      <c r="T183" s="59">
        <f t="shared" si="142"/>
        <v>232.26614607059227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97.566244618863806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97.566244618863806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-4.5474735088646412E-13</v>
      </c>
      <c r="AJ183" s="13">
        <f>AI183*VLOOKUP('Données projet'!$B$10,Paramètres!$A$1:$I$89,3,0)*VLOOKUP('Données projet'!$B$10,Paramètres!$A$1:$I$89,5,0)</f>
        <v>-4.6111381379887462E-13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424.89201140676084</v>
      </c>
      <c r="AO183" s="59">
        <f t="shared" si="144"/>
        <v>253.0016648946303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109.3414810383819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109.3414810383819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155.99999999999991</v>
      </c>
      <c r="BE183" s="13">
        <f>BD183*VLOOKUP('Données projet'!$B$11,Paramètres!$A$1:$I$89,3,0)*VLOOKUP('Données projet'!$B$11,Paramètres!$A$1:$I$89,5,0)</f>
        <v>136.28159999999994</v>
      </c>
      <c r="BF183" s="13">
        <f t="shared" si="167"/>
        <v>35.443842312892279</v>
      </c>
      <c r="BG183" s="20">
        <f t="shared" si="168"/>
        <v>299.08847869495395</v>
      </c>
      <c r="BH183" s="59">
        <f t="shared" si="116"/>
        <v>588.49370039880864</v>
      </c>
      <c r="BI183" s="59">
        <f ca="1">AVERAGE(OFFSET($BH$3,0,0,'Données projet'!$E$11+1,1))-AVERAGE(OFFSET($H$3,0,0,'Données projet'!$E$11+1,1))</f>
        <v>218.97952644043698</v>
      </c>
      <c r="BJ183" s="59">
        <f t="shared" si="146"/>
        <v>204.10961748628714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0.24539698909251775</v>
      </c>
      <c r="BQ183" s="21">
        <f>EXP(-LN(2)/25)*BQ182+(1-EXP(-LN(2)/25))/(LN(2)/25)*Calculateur!BL183*Calculateur!BN183*VLOOKUP('Données projet'!$B$11,Paramètres!$A$1:$I$89,3,0)*0.475*44/12</f>
        <v>0.31303962123750095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0.55843661033001868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191.99999999999977</v>
      </c>
      <c r="BZ183" s="13">
        <f>BY183*VLOOKUP('Données projet'!$B$12,Paramètres!$A$1:$I$89,3,0)*VLOOKUP('Données projet'!$B$12,Paramètres!$A$1:$I$89,5,0)</f>
        <v>155.75039999999984</v>
      </c>
      <c r="CA183" s="13">
        <f t="shared" si="170"/>
        <v>39.882509755133718</v>
      </c>
      <c r="CB183" s="20">
        <f t="shared" si="171"/>
        <v>340.72731782352429</v>
      </c>
      <c r="CC183" s="59">
        <f t="shared" si="119"/>
        <v>630.13253952737887</v>
      </c>
      <c r="CD183" s="59">
        <f ca="1">AVERAGE(OFFSET($CC$3,0,0,'Données projet'!$E$12+1,1))-AVERAGE(OFFSET($H$3,0,0,'Données projet'!$E$12+1,1))</f>
        <v>256.23994291192162</v>
      </c>
      <c r="CE183" s="59">
        <f t="shared" si="148"/>
        <v>207.9118653708222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0.57375194975550259</v>
      </c>
      <c r="CL183" s="21">
        <f>EXP(-LN(2)/25)*CL182+(1-EXP(-LN(2)/25))/(LN(2)/25)*Calculateur!CG183*Calculateur!CI183*VLOOKUP('Données projet'!$B$12,Paramètres!$A$1:$I$89,3,0)*0.475*44/12</f>
        <v>0.80811329121971054</v>
      </c>
      <c r="CM183" s="21">
        <f>EXP(-LN(2)/2)*CM182+(1-EXP(-LN(2)/2))/(LN(2)/2)*CG183*CJ183*VLOOKUP('Données projet'!$B$12,Paramètres!$A$1:$I$89,3,0)*0.475*44/12</f>
        <v>5.3175705576423154E-14</v>
      </c>
      <c r="CN183" s="22">
        <f t="shared" si="172"/>
        <v>1.3818652409752661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170.99999999999991</v>
      </c>
      <c r="CU183" s="17">
        <f>CT183*VLOOKUP('Données projet'!$B$13,Paramètres!$A$1:$I$89,3,0)*VLOOKUP('Données projet'!$B$13,Paramètres!$A$1:$I$89,5,0)</f>
        <v>98.701199999999957</v>
      </c>
      <c r="CV183" s="13">
        <f t="shared" si="173"/>
        <v>26.652341328097943</v>
      </c>
      <c r="CW183" s="20">
        <f t="shared" si="174"/>
        <v>218.32408447977051</v>
      </c>
      <c r="CX183" s="59">
        <f t="shared" si="122"/>
        <v>507.72930618362511</v>
      </c>
      <c r="CY183" s="59">
        <f ca="1">AVERAGE(OFFSET($CX$3,0,0,'Données projet'!$E$13+1,1))-AVERAGE(OFFSET($H$3,0,0,'Données projet'!$E$13+1,1))</f>
        <v>205.74526926885287</v>
      </c>
      <c r="CZ183" s="59">
        <f t="shared" si="150"/>
        <v>201.56217137928999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0.15017216844052647</v>
      </c>
      <c r="DG183" s="21">
        <f>EXP(-LN(2)/25)*DG182+(1-EXP(-LN(2)/25))/(LN(2)/25)*Calculateur!DB183*Calculateur!DD183*VLOOKUP('Données projet'!$B$13,Paramètres!$A$1:$I$89,3,0)*0.475*44/12</f>
        <v>0.61134284487375723</v>
      </c>
      <c r="DH183" s="21">
        <f>EXP(-LN(2)/2)*DH182+(1-EXP(-LN(2)/2))/(LN(2)/2)*DB183*DE183*VLOOKUP('Données projet'!$B$13,Paramètres!$A$1:$I$89,3,0)*0.475*44/12</f>
        <v>6.3259142521876766E-14</v>
      </c>
      <c r="DI183" s="22">
        <f t="shared" si="175"/>
        <v>0.76151501331434701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-4.5474735088646412E-13</v>
      </c>
      <c r="DP183" s="17">
        <f>DO183*VLOOKUP('Données projet'!$B$14,Paramètres!$A$1:$I$89,3,0)*VLOOKUP('Données projet'!$B$14,Paramètres!$A$1:$I$89,5,0)</f>
        <v>-4.3273757910355926E-13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403.89478276355294</v>
      </c>
      <c r="DU183" s="59">
        <f t="shared" si="152"/>
        <v>241.1593989733278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102.61277451294298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102.61277451294298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-4.5474735088646412E-13</v>
      </c>
      <c r="O184" s="13">
        <f>N184*VLOOKUP('Données projet'!$B$9,Paramètres!$A$1:$I$89,3,0)*VLOOKUP('Données projet'!$B$9,Paramètres!$A$1:$I$89,5,0)</f>
        <v>-4.1145540308207271E-13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388.1278150896951</v>
      </c>
      <c r="T184" s="59">
        <f t="shared" si="142"/>
        <v>232.26614607059227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95.653030071421028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95.653030071421028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-4.5474735088646412E-13</v>
      </c>
      <c r="AJ184" s="13">
        <f>AI184*VLOOKUP('Données projet'!$B$10,Paramètres!$A$1:$I$89,3,0)*VLOOKUP('Données projet'!$B$10,Paramètres!$A$1:$I$89,5,0)</f>
        <v>-4.6111381379887462E-13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424.89201140676084</v>
      </c>
      <c r="AO184" s="59">
        <f t="shared" si="144"/>
        <v>253.0016648946303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107.19736128693741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107.19736128693741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155.99999999999991</v>
      </c>
      <c r="BE184" s="13">
        <f>BD184*VLOOKUP('Données projet'!$B$11,Paramètres!$A$1:$I$89,3,0)*VLOOKUP('Données projet'!$B$11,Paramètres!$A$1:$I$89,5,0)</f>
        <v>136.28159999999994</v>
      </c>
      <c r="BF184" s="13">
        <f t="shared" si="167"/>
        <v>35.443842312892279</v>
      </c>
      <c r="BG184" s="20">
        <f t="shared" si="168"/>
        <v>299.08847869495395</v>
      </c>
      <c r="BH184" s="59">
        <f t="shared" si="116"/>
        <v>588.56184435363798</v>
      </c>
      <c r="BI184" s="59">
        <f ca="1">AVERAGE(OFFSET($BH$3,0,0,'Données projet'!$E$11+1,1))-AVERAGE(OFFSET($H$3,0,0,'Données projet'!$E$11+1,1))</f>
        <v>218.97952644043698</v>
      </c>
      <c r="BJ184" s="59">
        <f t="shared" si="146"/>
        <v>204.10961748628714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0.24058490381379741</v>
      </c>
      <c r="BQ184" s="21">
        <f>EXP(-LN(2)/25)*BQ183+(1-EXP(-LN(2)/25))/(LN(2)/25)*Calculateur!BL184*Calculateur!BN184*VLOOKUP('Données projet'!$B$11,Paramètres!$A$1:$I$89,3,0)*0.475*44/12</f>
        <v>0.30447953633272329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0.54506444014652067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191.99999999999977</v>
      </c>
      <c r="BZ184" s="13">
        <f>BY184*VLOOKUP('Données projet'!$B$12,Paramètres!$A$1:$I$89,3,0)*VLOOKUP('Données projet'!$B$12,Paramètres!$A$1:$I$89,5,0)</f>
        <v>155.75039999999984</v>
      </c>
      <c r="CA184" s="13">
        <f t="shared" si="170"/>
        <v>39.882509755133718</v>
      </c>
      <c r="CB184" s="20">
        <f t="shared" si="171"/>
        <v>340.72731782352429</v>
      </c>
      <c r="CC184" s="59">
        <f t="shared" si="119"/>
        <v>630.20068348220843</v>
      </c>
      <c r="CD184" s="59">
        <f ca="1">AVERAGE(OFFSET($CC$3,0,0,'Données projet'!$E$12+1,1))-AVERAGE(OFFSET($H$3,0,0,'Données projet'!$E$12+1,1))</f>
        <v>256.23994291192162</v>
      </c>
      <c r="CE184" s="59">
        <f t="shared" si="148"/>
        <v>207.9118653708222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0.5625010239749314</v>
      </c>
      <c r="CL184" s="21">
        <f>EXP(-LN(2)/25)*CL183+(1-EXP(-LN(2)/25))/(LN(2)/25)*Calculateur!CG184*Calculateur!CI184*VLOOKUP('Données projet'!$B$12,Paramètres!$A$1:$I$89,3,0)*0.475*44/12</f>
        <v>0.78601539077447657</v>
      </c>
      <c r="CM184" s="21">
        <f>EXP(-LN(2)/2)*CM183+(1-EXP(-LN(2)/2))/(LN(2)/2)*CG184*CJ184*VLOOKUP('Données projet'!$B$12,Paramètres!$A$1:$I$89,3,0)*0.475*44/12</f>
        <v>3.7600902007468121E-14</v>
      </c>
      <c r="CN184" s="22">
        <f t="shared" si="172"/>
        <v>1.3485164147494455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170.99999999999991</v>
      </c>
      <c r="CU184" s="17">
        <f>CT184*VLOOKUP('Données projet'!$B$13,Paramètres!$A$1:$I$89,3,0)*VLOOKUP('Données projet'!$B$13,Paramètres!$A$1:$I$89,5,0)</f>
        <v>98.701199999999957</v>
      </c>
      <c r="CV184" s="13">
        <f t="shared" si="173"/>
        <v>26.652341328097943</v>
      </c>
      <c r="CW184" s="20">
        <f t="shared" si="174"/>
        <v>218.32408447977051</v>
      </c>
      <c r="CX184" s="59">
        <f t="shared" si="122"/>
        <v>507.79745013845456</v>
      </c>
      <c r="CY184" s="59">
        <f ca="1">AVERAGE(OFFSET($CX$3,0,0,'Données projet'!$E$13+1,1))-AVERAGE(OFFSET($H$3,0,0,'Données projet'!$E$13+1,1))</f>
        <v>205.74526926885287</v>
      </c>
      <c r="CZ184" s="59">
        <f t="shared" si="150"/>
        <v>201.56217137928999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0.14722738381338615</v>
      </c>
      <c r="DG184" s="21">
        <f>EXP(-LN(2)/25)*DG183+(1-EXP(-LN(2)/25))/(LN(2)/25)*Calculateur!DB184*Calculateur!DD184*VLOOKUP('Données projet'!$B$13,Paramètres!$A$1:$I$89,3,0)*0.475*44/12</f>
        <v>0.59462564263156137</v>
      </c>
      <c r="DH184" s="21">
        <f>EXP(-LN(2)/2)*DH183+(1-EXP(-LN(2)/2))/(LN(2)/2)*DB184*DE184*VLOOKUP('Données projet'!$B$13,Paramètres!$A$1:$I$89,3,0)*0.475*44/12</f>
        <v>4.473096864926534E-14</v>
      </c>
      <c r="DI184" s="22">
        <f t="shared" si="175"/>
        <v>0.74185302644499229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-4.5474735088646412E-13</v>
      </c>
      <c r="DP184" s="17">
        <f>DO184*VLOOKUP('Données projet'!$B$14,Paramètres!$A$1:$I$89,3,0)*VLOOKUP('Données projet'!$B$14,Paramètres!$A$1:$I$89,5,0)</f>
        <v>-4.3273757910355926E-13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403.89478276355294</v>
      </c>
      <c r="DU184" s="59">
        <f t="shared" si="152"/>
        <v>241.1593989733278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100.6006005923566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100.6006005923566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-4.5474735088646412E-13</v>
      </c>
      <c r="O185" s="13">
        <f>N185*VLOOKUP('Données projet'!$B$9,Paramètres!$A$1:$I$89,3,0)*VLOOKUP('Données projet'!$B$9,Paramètres!$A$1:$I$89,5,0)</f>
        <v>-4.1145540308207271E-13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388.1278150896951</v>
      </c>
      <c r="T185" s="59">
        <f t="shared" si="142"/>
        <v>232.26614607059227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93.777332494307956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93.777332494307956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-4.5474735088646412E-13</v>
      </c>
      <c r="AJ185" s="13">
        <f>AI185*VLOOKUP('Données projet'!$B$10,Paramètres!$A$1:$I$89,3,0)*VLOOKUP('Données projet'!$B$10,Paramètres!$A$1:$I$89,5,0)</f>
        <v>-4.6111381379887462E-13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424.89201140676084</v>
      </c>
      <c r="AO185" s="59">
        <f t="shared" si="144"/>
        <v>253.0016648946303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105.09528641603482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105.09528641603482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155.99999999999991</v>
      </c>
      <c r="BE185" s="13">
        <f>BD185*VLOOKUP('Données projet'!$B$11,Paramètres!$A$1:$I$89,3,0)*VLOOKUP('Données projet'!$B$11,Paramètres!$A$1:$I$89,5,0)</f>
        <v>136.28159999999994</v>
      </c>
      <c r="BF185" s="13">
        <f t="shared" si="167"/>
        <v>35.443842312892279</v>
      </c>
      <c r="BG185" s="20">
        <f t="shared" si="168"/>
        <v>299.08847869495395</v>
      </c>
      <c r="BH185" s="59">
        <f t="shared" si="116"/>
        <v>588.62880616319831</v>
      </c>
      <c r="BI185" s="59">
        <f ca="1">AVERAGE(OFFSET($BH$3,0,0,'Données projet'!$E$11+1,1))-AVERAGE(OFFSET($H$3,0,0,'Données projet'!$E$11+1,1))</f>
        <v>218.97952644043698</v>
      </c>
      <c r="BJ185" s="59">
        <f t="shared" si="146"/>
        <v>204.10961748628714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0.23586718059231057</v>
      </c>
      <c r="BQ185" s="21">
        <f>EXP(-LN(2)/25)*BQ184+(1-EXP(-LN(2)/25))/(LN(2)/25)*Calculateur!BL185*Calculateur!BN185*VLOOKUP('Données projet'!$B$11,Paramètres!$A$1:$I$89,3,0)*0.475*44/12</f>
        <v>0.29615352739982204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0.53202070799213264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191.99999999999977</v>
      </c>
      <c r="BZ185" s="13">
        <f>BY185*VLOOKUP('Données projet'!$B$12,Paramètres!$A$1:$I$89,3,0)*VLOOKUP('Données projet'!$B$12,Paramètres!$A$1:$I$89,5,0)</f>
        <v>155.75039999999984</v>
      </c>
      <c r="CA185" s="13">
        <f t="shared" si="170"/>
        <v>39.882509755133718</v>
      </c>
      <c r="CB185" s="20">
        <f t="shared" si="171"/>
        <v>340.72731782352429</v>
      </c>
      <c r="CC185" s="59">
        <f t="shared" si="119"/>
        <v>630.26764529176876</v>
      </c>
      <c r="CD185" s="59">
        <f ca="1">AVERAGE(OFFSET($CC$3,0,0,'Données projet'!$E$12+1,1))-AVERAGE(OFFSET($H$3,0,0,'Données projet'!$E$12+1,1))</f>
        <v>256.23994291192162</v>
      </c>
      <c r="CE185" s="59">
        <f t="shared" si="148"/>
        <v>207.9118653708222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0.55147072198653013</v>
      </c>
      <c r="CL185" s="21">
        <f>EXP(-LN(2)/25)*CL184+(1-EXP(-LN(2)/25))/(LN(2)/25)*Calculateur!CG185*Calculateur!CI185*VLOOKUP('Données projet'!$B$12,Paramètres!$A$1:$I$89,3,0)*0.475*44/12</f>
        <v>0.76452175857899562</v>
      </c>
      <c r="CM185" s="21">
        <f>EXP(-LN(2)/2)*CM184+(1-EXP(-LN(2)/2))/(LN(2)/2)*CG185*CJ185*VLOOKUP('Données projet'!$B$12,Paramètres!$A$1:$I$89,3,0)*0.475*44/12</f>
        <v>2.6587852788211577E-14</v>
      </c>
      <c r="CN185" s="22">
        <f t="shared" si="172"/>
        <v>1.3159924805655523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170.99999999999991</v>
      </c>
      <c r="CU185" s="17">
        <f>CT185*VLOOKUP('Données projet'!$B$13,Paramètres!$A$1:$I$89,3,0)*VLOOKUP('Données projet'!$B$13,Paramètres!$A$1:$I$89,5,0)</f>
        <v>98.701199999999957</v>
      </c>
      <c r="CV185" s="13">
        <f t="shared" si="173"/>
        <v>26.652341328097943</v>
      </c>
      <c r="CW185" s="20">
        <f t="shared" si="174"/>
        <v>218.32408447977051</v>
      </c>
      <c r="CX185" s="59">
        <f t="shared" si="122"/>
        <v>507.86441194801489</v>
      </c>
      <c r="CY185" s="59">
        <f ca="1">AVERAGE(OFFSET($CX$3,0,0,'Données projet'!$E$13+1,1))-AVERAGE(OFFSET($H$3,0,0,'Données projet'!$E$13+1,1))</f>
        <v>205.74526926885287</v>
      </c>
      <c r="CZ185" s="59">
        <f t="shared" si="150"/>
        <v>201.56217137928999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0.14434034461664277</v>
      </c>
      <c r="DG185" s="21">
        <f>EXP(-LN(2)/25)*DG184+(1-EXP(-LN(2)/25))/(LN(2)/25)*Calculateur!DB185*Calculateur!DD185*VLOOKUP('Données projet'!$B$13,Paramètres!$A$1:$I$89,3,0)*0.475*44/12</f>
        <v>0.57836557316379777</v>
      </c>
      <c r="DH185" s="21">
        <f>EXP(-LN(2)/2)*DH184+(1-EXP(-LN(2)/2))/(LN(2)/2)*DB185*DE185*VLOOKUP('Données projet'!$B$13,Paramètres!$A$1:$I$89,3,0)*0.475*44/12</f>
        <v>3.1629571260938383E-14</v>
      </c>
      <c r="DI185" s="22">
        <f t="shared" si="175"/>
        <v>0.72270591778047222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-4.5474735088646412E-13</v>
      </c>
      <c r="DP185" s="17">
        <f>DO185*VLOOKUP('Données projet'!$B$14,Paramètres!$A$1:$I$89,3,0)*VLOOKUP('Données projet'!$B$14,Paramètres!$A$1:$I$89,5,0)</f>
        <v>-4.3273757910355926E-13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403.89478276355294</v>
      </c>
      <c r="DU185" s="59">
        <f t="shared" si="152"/>
        <v>241.1593989733278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98.627884175048024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98.627884175048024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-4.5474735088646412E-13</v>
      </c>
      <c r="O186" s="13">
        <f>N186*VLOOKUP('Données projet'!$B$9,Paramètres!$A$1:$I$89,3,0)*VLOOKUP('Données projet'!$B$9,Paramètres!$A$1:$I$89,5,0)</f>
        <v>-4.1145540308207271E-13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388.1278150896951</v>
      </c>
      <c r="T186" s="59">
        <f t="shared" si="142"/>
        <v>232.26614607059227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91.938416202619507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91.938416202619507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-4.5474735088646412E-13</v>
      </c>
      <c r="AJ186" s="13">
        <f>AI186*VLOOKUP('Données projet'!$B$10,Paramètres!$A$1:$I$89,3,0)*VLOOKUP('Données projet'!$B$10,Paramètres!$A$1:$I$89,5,0)</f>
        <v>-4.6111381379887462E-13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424.89201140676084</v>
      </c>
      <c r="AO186" s="59">
        <f t="shared" si="144"/>
        <v>253.0016648946303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103.03443195121157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103.03443195121157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155.99999999999991</v>
      </c>
      <c r="BE186" s="13">
        <f>BD186*VLOOKUP('Données projet'!$B$11,Paramètres!$A$1:$I$89,3,0)*VLOOKUP('Données projet'!$B$11,Paramètres!$A$1:$I$89,5,0)</f>
        <v>136.28159999999994</v>
      </c>
      <c r="BF186" s="13">
        <f t="shared" si="167"/>
        <v>35.443842312892279</v>
      </c>
      <c r="BG186" s="20">
        <f t="shared" si="168"/>
        <v>299.08847869495395</v>
      </c>
      <c r="BH186" s="59">
        <f t="shared" si="116"/>
        <v>588.69460633506696</v>
      </c>
      <c r="BI186" s="59">
        <f ca="1">AVERAGE(OFFSET($BH$3,0,0,'Données projet'!$E$11+1,1))-AVERAGE(OFFSET($H$3,0,0,'Données projet'!$E$11+1,1))</f>
        <v>218.97952644043698</v>
      </c>
      <c r="BJ186" s="59">
        <f t="shared" si="146"/>
        <v>204.10961748628714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0.23124196904567004</v>
      </c>
      <c r="BQ186" s="21">
        <f>EXP(-LN(2)/25)*BQ185+(1-EXP(-LN(2)/25))/(LN(2)/25)*Calculateur!BL186*Calculateur!BN186*VLOOKUP('Données projet'!$B$11,Paramètres!$A$1:$I$89,3,0)*0.475*44/12</f>
        <v>0.28805519361903675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0.51929716266470682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191.99999999999977</v>
      </c>
      <c r="BZ186" s="13">
        <f>BY186*VLOOKUP('Données projet'!$B$12,Paramètres!$A$1:$I$89,3,0)*VLOOKUP('Données projet'!$B$12,Paramètres!$A$1:$I$89,5,0)</f>
        <v>155.75039999999984</v>
      </c>
      <c r="CA186" s="13">
        <f t="shared" si="170"/>
        <v>39.882509755133718</v>
      </c>
      <c r="CB186" s="20">
        <f t="shared" si="171"/>
        <v>340.72731782352429</v>
      </c>
      <c r="CC186" s="59">
        <f t="shared" si="119"/>
        <v>630.33344546363719</v>
      </c>
      <c r="CD186" s="59">
        <f ca="1">AVERAGE(OFFSET($CC$3,0,0,'Données projet'!$E$12+1,1))-AVERAGE(OFFSET($H$3,0,0,'Données projet'!$E$12+1,1))</f>
        <v>256.23994291192162</v>
      </c>
      <c r="CE186" s="59">
        <f t="shared" si="148"/>
        <v>207.9118653708222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0.54065671749230149</v>
      </c>
      <c r="CL186" s="21">
        <f>EXP(-LN(2)/25)*CL185+(1-EXP(-LN(2)/25))/(LN(2)/25)*Calculateur!CG186*Calculateur!CI186*VLOOKUP('Données projet'!$B$12,Paramètres!$A$1:$I$89,3,0)*0.475*44/12</f>
        <v>0.74361587088620107</v>
      </c>
      <c r="CM186" s="21">
        <f>EXP(-LN(2)/2)*CM185+(1-EXP(-LN(2)/2))/(LN(2)/2)*CG186*CJ186*VLOOKUP('Données projet'!$B$12,Paramètres!$A$1:$I$89,3,0)*0.475*44/12</f>
        <v>1.8800451003734061E-14</v>
      </c>
      <c r="CN186" s="22">
        <f t="shared" si="172"/>
        <v>1.2842725883785213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170.99999999999991</v>
      </c>
      <c r="CU186" s="17">
        <f>CT186*VLOOKUP('Données projet'!$B$13,Paramètres!$A$1:$I$89,3,0)*VLOOKUP('Données projet'!$B$13,Paramètres!$A$1:$I$89,5,0)</f>
        <v>98.701199999999957</v>
      </c>
      <c r="CV186" s="13">
        <f t="shared" si="173"/>
        <v>26.652341328097943</v>
      </c>
      <c r="CW186" s="20">
        <f t="shared" si="174"/>
        <v>218.32408447977051</v>
      </c>
      <c r="CX186" s="59">
        <f t="shared" si="122"/>
        <v>507.93021211988344</v>
      </c>
      <c r="CY186" s="59">
        <f ca="1">AVERAGE(OFFSET($CX$3,0,0,'Données projet'!$E$13+1,1))-AVERAGE(OFFSET($H$3,0,0,'Données projet'!$E$13+1,1))</f>
        <v>205.74526926885287</v>
      </c>
      <c r="CZ186" s="59">
        <f t="shared" si="150"/>
        <v>201.56217137928999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0.14150991849762751</v>
      </c>
      <c r="DG186" s="21">
        <f>EXP(-LN(2)/25)*DG185+(1-EXP(-LN(2)/25))/(LN(2)/25)*Calculateur!DB186*Calculateur!DD186*VLOOKUP('Données projet'!$B$13,Paramètres!$A$1:$I$89,3,0)*0.475*44/12</f>
        <v>0.56255013615071014</v>
      </c>
      <c r="DH186" s="21">
        <f>EXP(-LN(2)/2)*DH185+(1-EXP(-LN(2)/2))/(LN(2)/2)*DB186*DE186*VLOOKUP('Données projet'!$B$13,Paramètres!$A$1:$I$89,3,0)*0.475*44/12</f>
        <v>2.236548432463267E-14</v>
      </c>
      <c r="DI186" s="22">
        <f t="shared" si="175"/>
        <v>0.70406005464835997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-4.5474735088646412E-13</v>
      </c>
      <c r="DP186" s="17">
        <f>DO186*VLOOKUP('Données projet'!$B$14,Paramètres!$A$1:$I$89,3,0)*VLOOKUP('Données projet'!$B$14,Paramètres!$A$1:$I$89,5,0)</f>
        <v>-4.3273757910355926E-13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403.89478276355294</v>
      </c>
      <c r="DU186" s="59">
        <f t="shared" si="152"/>
        <v>241.1593989733278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96.693851523444664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96.693851523444664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-4.5474735088646412E-13</v>
      </c>
      <c r="O187" s="13">
        <f>N187*VLOOKUP('Données projet'!$B$9,Paramètres!$A$1:$I$89,3,0)*VLOOKUP('Données projet'!$B$9,Paramètres!$A$1:$I$89,5,0)</f>
        <v>-4.1145540308207271E-13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388.1278150896951</v>
      </c>
      <c r="T187" s="59">
        <f t="shared" si="142"/>
        <v>232.26614607059227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90.135559937782887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90.135559937782887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-4.5474735088646412E-13</v>
      </c>
      <c r="AJ187" s="13">
        <f>AI187*VLOOKUP('Données projet'!$B$10,Paramètres!$A$1:$I$89,3,0)*VLOOKUP('Données projet'!$B$10,Paramètres!$A$1:$I$89,5,0)</f>
        <v>-4.6111381379887462E-13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424.89201140676084</v>
      </c>
      <c r="AO187" s="59">
        <f t="shared" si="144"/>
        <v>253.0016648946303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101.0139895854464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101.0139895854464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155.99999999999991</v>
      </c>
      <c r="BE187" s="13">
        <f>BD187*VLOOKUP('Données projet'!$B$11,Paramètres!$A$1:$I$89,3,0)*VLOOKUP('Données projet'!$B$11,Paramètres!$A$1:$I$89,5,0)</f>
        <v>136.28159999999994</v>
      </c>
      <c r="BF187" s="13">
        <f t="shared" si="167"/>
        <v>35.443842312892279</v>
      </c>
      <c r="BG187" s="20">
        <f t="shared" si="168"/>
        <v>299.08847869495395</v>
      </c>
      <c r="BH187" s="59">
        <f t="shared" si="116"/>
        <v>588.75926502106063</v>
      </c>
      <c r="BI187" s="59">
        <f ca="1">AVERAGE(OFFSET($BH$3,0,0,'Données projet'!$E$11+1,1))-AVERAGE(OFFSET($H$3,0,0,'Données projet'!$E$11+1,1))</f>
        <v>218.97952644043698</v>
      </c>
      <c r="BJ187" s="59">
        <f t="shared" si="146"/>
        <v>204.10961748628714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0.22670745507635867</v>
      </c>
      <c r="BQ187" s="21">
        <f>EXP(-LN(2)/25)*BQ186+(1-EXP(-LN(2)/25))/(LN(2)/25)*Calculateur!BL187*Calculateur!BN187*VLOOKUP('Données projet'!$B$11,Paramètres!$A$1:$I$89,3,0)*0.475*44/12</f>
        <v>0.28017830920135994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0.50688576427771859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191.99999999999977</v>
      </c>
      <c r="BZ187" s="13">
        <f>BY187*VLOOKUP('Données projet'!$B$12,Paramètres!$A$1:$I$89,3,0)*VLOOKUP('Données projet'!$B$12,Paramètres!$A$1:$I$89,5,0)</f>
        <v>155.75039999999984</v>
      </c>
      <c r="CA187" s="13">
        <f t="shared" si="170"/>
        <v>39.882509755133718</v>
      </c>
      <c r="CB187" s="20">
        <f t="shared" si="171"/>
        <v>340.72731782352429</v>
      </c>
      <c r="CC187" s="59">
        <f t="shared" si="119"/>
        <v>630.39810414963108</v>
      </c>
      <c r="CD187" s="59">
        <f ca="1">AVERAGE(OFFSET($CC$3,0,0,'Données projet'!$E$12+1,1))-AVERAGE(OFFSET($H$3,0,0,'Données projet'!$E$12+1,1))</f>
        <v>256.23994291192162</v>
      </c>
      <c r="CE187" s="59">
        <f t="shared" si="148"/>
        <v>207.9118653708222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0.53005476903031323</v>
      </c>
      <c r="CL187" s="21">
        <f>EXP(-LN(2)/25)*CL186+(1-EXP(-LN(2)/25))/(LN(2)/25)*Calculateur!CG187*Calculateur!CI187*VLOOKUP('Données projet'!$B$12,Paramètres!$A$1:$I$89,3,0)*0.475*44/12</f>
        <v>0.72328165579175885</v>
      </c>
      <c r="CM187" s="21">
        <f>EXP(-LN(2)/2)*CM186+(1-EXP(-LN(2)/2))/(LN(2)/2)*CG187*CJ187*VLOOKUP('Données projet'!$B$12,Paramètres!$A$1:$I$89,3,0)*0.475*44/12</f>
        <v>1.3293926394105788E-14</v>
      </c>
      <c r="CN187" s="22">
        <f t="shared" si="172"/>
        <v>1.2533364248220855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170.99999999999991</v>
      </c>
      <c r="CU187" s="17">
        <f>CT187*VLOOKUP('Données projet'!$B$13,Paramètres!$A$1:$I$89,3,0)*VLOOKUP('Données projet'!$B$13,Paramètres!$A$1:$I$89,5,0)</f>
        <v>98.701199999999957</v>
      </c>
      <c r="CV187" s="13">
        <f t="shared" si="173"/>
        <v>26.652341328097943</v>
      </c>
      <c r="CW187" s="20">
        <f t="shared" si="174"/>
        <v>218.32408447977051</v>
      </c>
      <c r="CX187" s="59">
        <f t="shared" si="122"/>
        <v>507.99487080587721</v>
      </c>
      <c r="CY187" s="59">
        <f ca="1">AVERAGE(OFFSET($CX$3,0,0,'Données projet'!$E$13+1,1))-AVERAGE(OFFSET($H$3,0,0,'Données projet'!$E$13+1,1))</f>
        <v>205.74526926885287</v>
      </c>
      <c r="CZ187" s="59">
        <f t="shared" si="150"/>
        <v>201.56217137928999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0.13873499530841665</v>
      </c>
      <c r="DG187" s="21">
        <f>EXP(-LN(2)/25)*DG186+(1-EXP(-LN(2)/25))/(LN(2)/25)*Calculateur!DB187*Calculateur!DD187*VLOOKUP('Données projet'!$B$13,Paramètres!$A$1:$I$89,3,0)*0.475*44/12</f>
        <v>0.54716717309444307</v>
      </c>
      <c r="DH187" s="21">
        <f>EXP(-LN(2)/2)*DH186+(1-EXP(-LN(2)/2))/(LN(2)/2)*DB187*DE187*VLOOKUP('Données projet'!$B$13,Paramètres!$A$1:$I$89,3,0)*0.475*44/12</f>
        <v>1.5814785630469192E-14</v>
      </c>
      <c r="DI187" s="22">
        <f t="shared" si="175"/>
        <v>0.68590216840287543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-4.5474735088646412E-13</v>
      </c>
      <c r="DP187" s="17">
        <f>DO187*VLOOKUP('Données projet'!$B$14,Paramètres!$A$1:$I$89,3,0)*VLOOKUP('Données projet'!$B$14,Paramètres!$A$1:$I$89,5,0)</f>
        <v>-4.3273757910355926E-13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403.89478276355294</v>
      </c>
      <c r="DU187" s="59">
        <f t="shared" si="152"/>
        <v>241.1593989733278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94.797744072495803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94.797744072495803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-4.5474735088646412E-13</v>
      </c>
      <c r="O188" s="13">
        <f>N188*VLOOKUP('Données projet'!$B$9,Paramètres!$A$1:$I$89,3,0)*VLOOKUP('Données projet'!$B$9,Paramètres!$A$1:$I$89,5,0)</f>
        <v>-4.1145540308207271E-13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388.1278150896951</v>
      </c>
      <c r="T188" s="59">
        <f t="shared" si="142"/>
        <v>232.26614607059227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88.368056584665979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88.368056584665979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-4.5474735088646412E-13</v>
      </c>
      <c r="AJ188" s="13">
        <f>AI188*VLOOKUP('Données projet'!$B$10,Paramètres!$A$1:$I$89,3,0)*VLOOKUP('Données projet'!$B$10,Paramètres!$A$1:$I$89,5,0)</f>
        <v>-4.6111381379887462E-13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424.89201140676084</v>
      </c>
      <c r="AO188" s="59">
        <f t="shared" si="144"/>
        <v>253.0016648946303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99.033166862125711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99.033166862125711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155.99999999999991</v>
      </c>
      <c r="BE188" s="13">
        <f>BD188*VLOOKUP('Données projet'!$B$11,Paramètres!$A$1:$I$89,3,0)*VLOOKUP('Données projet'!$B$11,Paramètres!$A$1:$I$89,5,0)</f>
        <v>136.28159999999994</v>
      </c>
      <c r="BF188" s="13">
        <f t="shared" si="167"/>
        <v>35.443842312892279</v>
      </c>
      <c r="BG188" s="20">
        <f t="shared" si="168"/>
        <v>299.08847869495395</v>
      </c>
      <c r="BH188" s="59">
        <f t="shared" si="116"/>
        <v>588.82280202340769</v>
      </c>
      <c r="BI188" s="59">
        <f ca="1">AVERAGE(OFFSET($BH$3,0,0,'Données projet'!$E$11+1,1))-AVERAGE(OFFSET($H$3,0,0,'Données projet'!$E$11+1,1))</f>
        <v>218.97952644043698</v>
      </c>
      <c r="BJ188" s="59">
        <f t="shared" si="146"/>
        <v>204.10961748628714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0.22226186016020508</v>
      </c>
      <c r="BQ188" s="21">
        <f>EXP(-LN(2)/25)*BQ187+(1-EXP(-LN(2)/25))/(LN(2)/25)*Calculateur!BL188*Calculateur!BN188*VLOOKUP('Données projet'!$B$11,Paramètres!$A$1:$I$89,3,0)*0.475*44/12</f>
        <v>0.27251681860231181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0.49477867876251691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191.99999999999977</v>
      </c>
      <c r="BZ188" s="13">
        <f>BY188*VLOOKUP('Données projet'!$B$12,Paramètres!$A$1:$I$89,3,0)*VLOOKUP('Données projet'!$B$12,Paramètres!$A$1:$I$89,5,0)</f>
        <v>155.75039999999984</v>
      </c>
      <c r="CA188" s="13">
        <f t="shared" si="170"/>
        <v>39.882509755133718</v>
      </c>
      <c r="CB188" s="20">
        <f t="shared" si="171"/>
        <v>340.72731782352429</v>
      </c>
      <c r="CC188" s="59">
        <f t="shared" si="119"/>
        <v>630.46164115197803</v>
      </c>
      <c r="CD188" s="59">
        <f ca="1">AVERAGE(OFFSET($CC$3,0,0,'Données projet'!$E$12+1,1))-AVERAGE(OFFSET($H$3,0,0,'Données projet'!$E$12+1,1))</f>
        <v>256.23994291192162</v>
      </c>
      <c r="CE188" s="59">
        <f t="shared" si="148"/>
        <v>207.9118653708222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0.51966071831111449</v>
      </c>
      <c r="CL188" s="21">
        <f>EXP(-LN(2)/25)*CL187+(1-EXP(-LN(2)/25))/(LN(2)/25)*Calculateur!CG188*Calculateur!CI188*VLOOKUP('Données projet'!$B$12,Paramètres!$A$1:$I$89,3,0)*0.475*44/12</f>
        <v>0.70350348087840398</v>
      </c>
      <c r="CM188" s="21">
        <f>EXP(-LN(2)/2)*CM187+(1-EXP(-LN(2)/2))/(LN(2)/2)*CG188*CJ188*VLOOKUP('Données projet'!$B$12,Paramètres!$A$1:$I$89,3,0)*0.475*44/12</f>
        <v>9.4002255018670304E-15</v>
      </c>
      <c r="CN188" s="22">
        <f t="shared" si="172"/>
        <v>1.2231641991895277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170.99999999999991</v>
      </c>
      <c r="CU188" s="17">
        <f>CT188*VLOOKUP('Données projet'!$B$13,Paramètres!$A$1:$I$89,3,0)*VLOOKUP('Données projet'!$B$13,Paramètres!$A$1:$I$89,5,0)</f>
        <v>98.701199999999957</v>
      </c>
      <c r="CV188" s="13">
        <f t="shared" si="173"/>
        <v>26.652341328097943</v>
      </c>
      <c r="CW188" s="20">
        <f t="shared" si="174"/>
        <v>218.32408447977051</v>
      </c>
      <c r="CX188" s="59">
        <f t="shared" si="122"/>
        <v>508.05840780822427</v>
      </c>
      <c r="CY188" s="59">
        <f ca="1">AVERAGE(OFFSET($CX$3,0,0,'Données projet'!$E$13+1,1))-AVERAGE(OFFSET($H$3,0,0,'Données projet'!$E$13+1,1))</f>
        <v>205.74526926885287</v>
      </c>
      <c r="CZ188" s="59">
        <f t="shared" si="150"/>
        <v>201.56217137928999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0.13601448667041022</v>
      </c>
      <c r="DG188" s="21">
        <f>EXP(-LN(2)/25)*DG187+(1-EXP(-LN(2)/25))/(LN(2)/25)*Calculateur!DB188*Calculateur!DD188*VLOOKUP('Données projet'!$B$13,Paramètres!$A$1:$I$89,3,0)*0.475*44/12</f>
        <v>0.53220485797190442</v>
      </c>
      <c r="DH188" s="21">
        <f>EXP(-LN(2)/2)*DH187+(1-EXP(-LN(2)/2))/(LN(2)/2)*DB188*DE188*VLOOKUP('Données projet'!$B$13,Paramètres!$A$1:$I$89,3,0)*0.475*44/12</f>
        <v>1.1182742162316335E-14</v>
      </c>
      <c r="DI188" s="22">
        <f t="shared" si="175"/>
        <v>0.6682193446423258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-4.5474735088646412E-13</v>
      </c>
      <c r="DP188" s="17">
        <f>DO188*VLOOKUP('Données projet'!$B$14,Paramètres!$A$1:$I$89,3,0)*VLOOKUP('Données projet'!$B$14,Paramètres!$A$1:$I$89,5,0)</f>
        <v>-4.3273757910355926E-13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403.89478276355294</v>
      </c>
      <c r="DU188" s="59">
        <f t="shared" si="152"/>
        <v>241.1593989733278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92.938818132148697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92.938818132148697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-4.5474735088646412E-13</v>
      </c>
      <c r="O189" s="13">
        <f>N189*VLOOKUP('Données projet'!$B$9,Paramètres!$A$1:$I$89,3,0)*VLOOKUP('Données projet'!$B$9,Paramètres!$A$1:$I$89,5,0)</f>
        <v>-4.1145540308207271E-13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388.1278150896951</v>
      </c>
      <c r="T189" s="59">
        <f t="shared" si="142"/>
        <v>232.26614607059227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86.635212894233092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86.635212894233092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-4.5474735088646412E-13</v>
      </c>
      <c r="AJ189" s="13">
        <f>AI189*VLOOKUP('Données projet'!$B$10,Paramètres!$A$1:$I$89,3,0)*VLOOKUP('Données projet'!$B$10,Paramètres!$A$1:$I$89,5,0)</f>
        <v>-4.6111381379887462E-13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424.89201140676084</v>
      </c>
      <c r="AO189" s="59">
        <f t="shared" si="144"/>
        <v>253.0016648946303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97.091186864226785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97.091186864226785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155.99999999999991</v>
      </c>
      <c r="BE189" s="13">
        <f>BD189*VLOOKUP('Données projet'!$B$11,Paramètres!$A$1:$I$89,3,0)*VLOOKUP('Données projet'!$B$11,Paramètres!$A$1:$I$89,5,0)</f>
        <v>136.28159999999994</v>
      </c>
      <c r="BF189" s="13">
        <f t="shared" si="167"/>
        <v>35.443842312892279</v>
      </c>
      <c r="BG189" s="20">
        <f t="shared" si="168"/>
        <v>299.08847869495395</v>
      </c>
      <c r="BH189" s="59">
        <f t="shared" si="116"/>
        <v>588.8852368008113</v>
      </c>
      <c r="BI189" s="59">
        <f ca="1">AVERAGE(OFFSET($BH$3,0,0,'Données projet'!$E$11+1,1))-AVERAGE(OFFSET($H$3,0,0,'Données projet'!$E$11+1,1))</f>
        <v>218.97952644043698</v>
      </c>
      <c r="BJ189" s="59">
        <f t="shared" si="146"/>
        <v>204.10961748628714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0.21790344064881209</v>
      </c>
      <c r="BQ189" s="21">
        <f>EXP(-LN(2)/25)*BQ188+(1-EXP(-LN(2)/25))/(LN(2)/25)*Calculateur!BL189*Calculateur!BN189*VLOOKUP('Données projet'!$B$11,Paramètres!$A$1:$I$89,3,0)*0.475*44/12</f>
        <v>0.26506483186659496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0.48296827251540708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191.99999999999977</v>
      </c>
      <c r="BZ189" s="13">
        <f>BY189*VLOOKUP('Données projet'!$B$12,Paramètres!$A$1:$I$89,3,0)*VLOOKUP('Données projet'!$B$12,Paramètres!$A$1:$I$89,5,0)</f>
        <v>155.75039999999984</v>
      </c>
      <c r="CA189" s="13">
        <f t="shared" si="170"/>
        <v>39.882509755133718</v>
      </c>
      <c r="CB189" s="20">
        <f t="shared" si="171"/>
        <v>340.72731782352429</v>
      </c>
      <c r="CC189" s="59">
        <f t="shared" si="119"/>
        <v>630.52407592938175</v>
      </c>
      <c r="CD189" s="59">
        <f ca="1">AVERAGE(OFFSET($CC$3,0,0,'Données projet'!$E$12+1,1))-AVERAGE(OFFSET($H$3,0,0,'Données projet'!$E$12+1,1))</f>
        <v>256.23994291192162</v>
      </c>
      <c r="CE189" s="59">
        <f t="shared" si="148"/>
        <v>207.9118653708222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0.50947048858677435</v>
      </c>
      <c r="CL189" s="21">
        <f>EXP(-LN(2)/25)*CL188+(1-EXP(-LN(2)/25))/(LN(2)/25)*Calculateur!CG189*Calculateur!CI189*VLOOKUP('Données projet'!$B$12,Paramètres!$A$1:$I$89,3,0)*0.475*44/12</f>
        <v>0.68426614119814388</v>
      </c>
      <c r="CM189" s="21">
        <f>EXP(-LN(2)/2)*CM188+(1-EXP(-LN(2)/2))/(LN(2)/2)*CG189*CJ189*VLOOKUP('Données projet'!$B$12,Paramètres!$A$1:$I$89,3,0)*0.475*44/12</f>
        <v>6.6469631970528942E-15</v>
      </c>
      <c r="CN189" s="22">
        <f t="shared" si="172"/>
        <v>1.193736629784925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170.99999999999991</v>
      </c>
      <c r="CU189" s="17">
        <f>CT189*VLOOKUP('Données projet'!$B$13,Paramètres!$A$1:$I$89,3,0)*VLOOKUP('Données projet'!$B$13,Paramètres!$A$1:$I$89,5,0)</f>
        <v>98.701199999999957</v>
      </c>
      <c r="CV189" s="13">
        <f t="shared" si="173"/>
        <v>26.652341328097943</v>
      </c>
      <c r="CW189" s="20">
        <f t="shared" si="174"/>
        <v>218.32408447977051</v>
      </c>
      <c r="CX189" s="59">
        <f t="shared" si="122"/>
        <v>508.12084258562788</v>
      </c>
      <c r="CY189" s="59">
        <f ca="1">AVERAGE(OFFSET($CX$3,0,0,'Données projet'!$E$13+1,1))-AVERAGE(OFFSET($H$3,0,0,'Données projet'!$E$13+1,1))</f>
        <v>205.74526926885287</v>
      </c>
      <c r="CZ189" s="59">
        <f t="shared" si="150"/>
        <v>201.56217137928999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0.13334732554744866</v>
      </c>
      <c r="DG189" s="21">
        <f>EXP(-LN(2)/25)*DG188+(1-EXP(-LN(2)/25))/(LN(2)/25)*Calculateur!DB189*Calculateur!DD189*VLOOKUP('Données projet'!$B$13,Paramètres!$A$1:$I$89,3,0)*0.475*44/12</f>
        <v>0.5176516881432256</v>
      </c>
      <c r="DH189" s="21">
        <f>EXP(-LN(2)/2)*DH188+(1-EXP(-LN(2)/2))/(LN(2)/2)*DB189*DE189*VLOOKUP('Données projet'!$B$13,Paramètres!$A$1:$I$89,3,0)*0.475*44/12</f>
        <v>7.9073928152345958E-15</v>
      </c>
      <c r="DI189" s="22">
        <f t="shared" si="175"/>
        <v>0.65099901369068214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-4.5474735088646412E-13</v>
      </c>
      <c r="DP189" s="17">
        <f>DO189*VLOOKUP('Données projet'!$B$14,Paramètres!$A$1:$I$89,3,0)*VLOOKUP('Données projet'!$B$14,Paramètres!$A$1:$I$89,5,0)</f>
        <v>-4.3273757910355926E-13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403.89478276355294</v>
      </c>
      <c r="DU189" s="59">
        <f t="shared" si="152"/>
        <v>241.1593989733278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91.116344595658944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91.116344595658944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-4.5474735088646412E-13</v>
      </c>
      <c r="O190" s="13">
        <f>N190*VLOOKUP('Données projet'!$B$9,Paramètres!$A$1:$I$89,3,0)*VLOOKUP('Données projet'!$B$9,Paramètres!$A$1:$I$89,5,0)</f>
        <v>-4.1145540308207271E-13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388.1278150896951</v>
      </c>
      <c r="T190" s="59">
        <f t="shared" si="142"/>
        <v>232.26614607059227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84.93634921163931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84.93634921163931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-4.5474735088646412E-13</v>
      </c>
      <c r="AJ190" s="13">
        <f>AI190*VLOOKUP('Données projet'!$B$10,Paramètres!$A$1:$I$89,3,0)*VLOOKUP('Données projet'!$B$10,Paramètres!$A$1:$I$89,5,0)</f>
        <v>-4.6111381379887462E-13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424.89201140676084</v>
      </c>
      <c r="AO190" s="59">
        <f t="shared" si="144"/>
        <v>253.0016648946303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95.187287909595824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95.187287909595824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155.99999999999991</v>
      </c>
      <c r="BE190" s="13">
        <f>BD190*VLOOKUP('Données projet'!$B$11,Paramètres!$A$1:$I$89,3,0)*VLOOKUP('Données projet'!$B$11,Paramètres!$A$1:$I$89,5,0)</f>
        <v>136.28159999999994</v>
      </c>
      <c r="BF190" s="13">
        <f t="shared" si="167"/>
        <v>35.443842312892279</v>
      </c>
      <c r="BG190" s="20">
        <f t="shared" si="168"/>
        <v>299.08847869495395</v>
      </c>
      <c r="BH190" s="59">
        <f t="shared" si="116"/>
        <v>588.94658847441042</v>
      </c>
      <c r="BI190" s="59">
        <f ca="1">AVERAGE(OFFSET($BH$3,0,0,'Données projet'!$E$11+1,1))-AVERAGE(OFFSET($H$3,0,0,'Données projet'!$E$11+1,1))</f>
        <v>218.97952644043698</v>
      </c>
      <c r="BJ190" s="59">
        <f t="shared" si="146"/>
        <v>204.10961748628714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0.21363048708566412</v>
      </c>
      <c r="BQ190" s="21">
        <f>EXP(-LN(2)/25)*BQ189+(1-EXP(-LN(2)/25))/(LN(2)/25)*Calculateur!BL190*Calculateur!BN190*VLOOKUP('Données projet'!$B$11,Paramètres!$A$1:$I$89,3,0)*0.475*44/12</f>
        <v>0.25781662010004924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0.47144710718571337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191.99999999999977</v>
      </c>
      <c r="BZ190" s="13">
        <f>BY190*VLOOKUP('Données projet'!$B$12,Paramètres!$A$1:$I$89,3,0)*VLOOKUP('Données projet'!$B$12,Paramètres!$A$1:$I$89,5,0)</f>
        <v>155.75039999999984</v>
      </c>
      <c r="CA190" s="13">
        <f t="shared" si="170"/>
        <v>39.882509755133718</v>
      </c>
      <c r="CB190" s="20">
        <f t="shared" si="171"/>
        <v>340.72731782352429</v>
      </c>
      <c r="CC190" s="59">
        <f t="shared" si="119"/>
        <v>630.58542760298064</v>
      </c>
      <c r="CD190" s="59">
        <f ca="1">AVERAGE(OFFSET($CC$3,0,0,'Données projet'!$E$12+1,1))-AVERAGE(OFFSET($H$3,0,0,'Données projet'!$E$12+1,1))</f>
        <v>256.23994291192162</v>
      </c>
      <c r="CE190" s="59">
        <f t="shared" si="148"/>
        <v>207.9118653708222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0.49948008305190211</v>
      </c>
      <c r="CL190" s="21">
        <f>EXP(-LN(2)/25)*CL189+(1-EXP(-LN(2)/25))/(LN(2)/25)*Calculateur!CG190*Calculateur!CI190*VLOOKUP('Données projet'!$B$12,Paramètres!$A$1:$I$89,3,0)*0.475*44/12</f>
        <v>0.66555484758308814</v>
      </c>
      <c r="CM190" s="21">
        <f>EXP(-LN(2)/2)*CM189+(1-EXP(-LN(2)/2))/(LN(2)/2)*CG190*CJ190*VLOOKUP('Données projet'!$B$12,Paramètres!$A$1:$I$89,3,0)*0.475*44/12</f>
        <v>4.7001127509335152E-15</v>
      </c>
      <c r="CN190" s="22">
        <f t="shared" si="172"/>
        <v>1.165034930634995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170.99999999999991</v>
      </c>
      <c r="CU190" s="17">
        <f>CT190*VLOOKUP('Données projet'!$B$13,Paramètres!$A$1:$I$89,3,0)*VLOOKUP('Données projet'!$B$13,Paramètres!$A$1:$I$89,5,0)</f>
        <v>98.701199999999957</v>
      </c>
      <c r="CV190" s="13">
        <f t="shared" si="173"/>
        <v>26.652341328097943</v>
      </c>
      <c r="CW190" s="20">
        <f t="shared" si="174"/>
        <v>218.32408447977051</v>
      </c>
      <c r="CX190" s="59">
        <f t="shared" si="122"/>
        <v>508.18219425922689</v>
      </c>
      <c r="CY190" s="59">
        <f ca="1">AVERAGE(OFFSET($CX$3,0,0,'Données projet'!$E$13+1,1))-AVERAGE(OFFSET($H$3,0,0,'Données projet'!$E$13+1,1))</f>
        <v>205.74526926885287</v>
      </c>
      <c r="CZ190" s="59">
        <f t="shared" si="150"/>
        <v>201.56217137928999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0.13073246582730072</v>
      </c>
      <c r="DG190" s="21">
        <f>EXP(-LN(2)/25)*DG189+(1-EXP(-LN(2)/25))/(LN(2)/25)*Calculateur!DB190*Calculateur!DD190*VLOOKUP('Données projet'!$B$13,Paramètres!$A$1:$I$89,3,0)*0.475*44/12</f>
        <v>0.50349647550882992</v>
      </c>
      <c r="DH190" s="21">
        <f>EXP(-LN(2)/2)*DH189+(1-EXP(-LN(2)/2))/(LN(2)/2)*DB190*DE190*VLOOKUP('Données projet'!$B$13,Paramètres!$A$1:$I$89,3,0)*0.475*44/12</f>
        <v>5.5913710811581675E-15</v>
      </c>
      <c r="DI190" s="22">
        <f t="shared" si="175"/>
        <v>0.63422894133613616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-4.5474735088646412E-13</v>
      </c>
      <c r="DP190" s="17">
        <f>DO190*VLOOKUP('Données projet'!$B$14,Paramètres!$A$1:$I$89,3,0)*VLOOKUP('Données projet'!$B$14,Paramètres!$A$1:$I$89,5,0)</f>
        <v>-4.3273757910355926E-13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403.89478276355294</v>
      </c>
      <c r="DU190" s="59">
        <f t="shared" si="152"/>
        <v>241.1593989733278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89.329608653620653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89.329608653620653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-4.5474735088646412E-13</v>
      </c>
      <c r="O191" s="13">
        <f>N191*VLOOKUP('Données projet'!$B$9,Paramètres!$A$1:$I$89,3,0)*VLOOKUP('Données projet'!$B$9,Paramètres!$A$1:$I$89,5,0)</f>
        <v>-4.1145540308207271E-13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388.1278150896951</v>
      </c>
      <c r="T191" s="59">
        <f t="shared" si="142"/>
        <v>232.26614607059227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83.270799209656658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83.270799209656658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-4.5474735088646412E-13</v>
      </c>
      <c r="AJ191" s="13">
        <f>AI191*VLOOKUP('Données projet'!$B$10,Paramètres!$A$1:$I$89,3,0)*VLOOKUP('Données projet'!$B$10,Paramètres!$A$1:$I$89,5,0)</f>
        <v>-4.6111381379887462E-13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424.89201140676084</v>
      </c>
      <c r="AO191" s="59">
        <f t="shared" si="144"/>
        <v>253.0016648946303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93.320723252201475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93.320723252201475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155.99999999999991</v>
      </c>
      <c r="BE191" s="13">
        <f>BD191*VLOOKUP('Données projet'!$B$11,Paramètres!$A$1:$I$89,3,0)*VLOOKUP('Données projet'!$B$11,Paramètres!$A$1:$I$89,5,0)</f>
        <v>136.28159999999994</v>
      </c>
      <c r="BF191" s="13">
        <f t="shared" si="167"/>
        <v>35.443842312892279</v>
      </c>
      <c r="BG191" s="20">
        <f t="shared" si="168"/>
        <v>299.08847869495395</v>
      </c>
      <c r="BH191" s="59">
        <f t="shared" si="116"/>
        <v>589.00687583363424</v>
      </c>
      <c r="BI191" s="59">
        <f ca="1">AVERAGE(OFFSET($BH$3,0,0,'Données projet'!$E$11+1,1))-AVERAGE(OFFSET($H$3,0,0,'Données projet'!$E$11+1,1))</f>
        <v>218.97952644043698</v>
      </c>
      <c r="BJ191" s="59">
        <f t="shared" si="146"/>
        <v>204.10961748628714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0.20944132353564515</v>
      </c>
      <c r="BQ191" s="21">
        <f>EXP(-LN(2)/25)*BQ190+(1-EXP(-LN(2)/25))/(LN(2)/25)*Calculateur!BL191*Calculateur!BN191*VLOOKUP('Données projet'!$B$11,Paramètres!$A$1:$I$89,3,0)*0.475*44/12</f>
        <v>0.25076661106542658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0.46020793460107173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191.99999999999977</v>
      </c>
      <c r="BZ191" s="13">
        <f>BY191*VLOOKUP('Données projet'!$B$12,Paramètres!$A$1:$I$89,3,0)*VLOOKUP('Données projet'!$B$12,Paramètres!$A$1:$I$89,5,0)</f>
        <v>155.75039999999984</v>
      </c>
      <c r="CA191" s="13">
        <f t="shared" si="170"/>
        <v>39.882509755133718</v>
      </c>
      <c r="CB191" s="20">
        <f t="shared" si="171"/>
        <v>340.72731782352429</v>
      </c>
      <c r="CC191" s="59">
        <f t="shared" si="119"/>
        <v>630.64571496220447</v>
      </c>
      <c r="CD191" s="59">
        <f ca="1">AVERAGE(OFFSET($CC$3,0,0,'Données projet'!$E$12+1,1))-AVERAGE(OFFSET($H$3,0,0,'Données projet'!$E$12+1,1))</f>
        <v>256.23994291192162</v>
      </c>
      <c r="CE191" s="59">
        <f t="shared" si="148"/>
        <v>207.9118653708222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0.48968558327602302</v>
      </c>
      <c r="CL191" s="21">
        <f>EXP(-LN(2)/25)*CL190+(1-EXP(-LN(2)/25))/(LN(2)/25)*Calculateur!CG191*Calculateur!CI191*VLOOKUP('Données projet'!$B$12,Paramètres!$A$1:$I$89,3,0)*0.475*44/12</f>
        <v>0.64735521527592033</v>
      </c>
      <c r="CM191" s="21">
        <f>EXP(-LN(2)/2)*CM190+(1-EXP(-LN(2)/2))/(LN(2)/2)*CG191*CJ191*VLOOKUP('Données projet'!$B$12,Paramètres!$A$1:$I$89,3,0)*0.475*44/12</f>
        <v>3.3234815985264471E-15</v>
      </c>
      <c r="CN191" s="22">
        <f t="shared" si="172"/>
        <v>1.1370407985519466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170.99999999999991</v>
      </c>
      <c r="CU191" s="17">
        <f>CT191*VLOOKUP('Données projet'!$B$13,Paramètres!$A$1:$I$89,3,0)*VLOOKUP('Données projet'!$B$13,Paramètres!$A$1:$I$89,5,0)</f>
        <v>98.701199999999957</v>
      </c>
      <c r="CV191" s="13">
        <f t="shared" si="173"/>
        <v>26.652341328097943</v>
      </c>
      <c r="CW191" s="20">
        <f t="shared" si="174"/>
        <v>218.32408447977051</v>
      </c>
      <c r="CX191" s="59">
        <f t="shared" si="122"/>
        <v>508.24248161845071</v>
      </c>
      <c r="CY191" s="59">
        <f ca="1">AVERAGE(OFFSET($CX$3,0,0,'Données projet'!$E$13+1,1))-AVERAGE(OFFSET($H$3,0,0,'Données projet'!$E$13+1,1))</f>
        <v>205.74526926885287</v>
      </c>
      <c r="CZ191" s="59">
        <f t="shared" si="150"/>
        <v>201.56217137928999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0.12816888191135795</v>
      </c>
      <c r="DG191" s="21">
        <f>EXP(-LN(2)/25)*DG190+(1-EXP(-LN(2)/25))/(LN(2)/25)*Calculateur!DB191*Calculateur!DD191*VLOOKUP('Données projet'!$B$13,Paramètres!$A$1:$I$89,3,0)*0.475*44/12</f>
        <v>0.48972833790831205</v>
      </c>
      <c r="DH191" s="21">
        <f>EXP(-LN(2)/2)*DH190+(1-EXP(-LN(2)/2))/(LN(2)/2)*DB191*DE191*VLOOKUP('Données projet'!$B$13,Paramètres!$A$1:$I$89,3,0)*0.475*44/12</f>
        <v>3.9536964076172979E-15</v>
      </c>
      <c r="DI191" s="22">
        <f t="shared" si="175"/>
        <v>0.61789721981967394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-4.5474735088646412E-13</v>
      </c>
      <c r="DP191" s="17">
        <f>DO191*VLOOKUP('Données projet'!$B$14,Paramètres!$A$1:$I$89,3,0)*VLOOKUP('Données projet'!$B$14,Paramètres!$A$1:$I$89,5,0)</f>
        <v>-4.3273757910355926E-13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403.89478276355294</v>
      </c>
      <c r="DU191" s="59">
        <f t="shared" si="152"/>
        <v>241.1593989733278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87.577909513604411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87.577909513604411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-4.5474735088646412E-13</v>
      </c>
      <c r="O192" s="13">
        <f>N192*VLOOKUP('Données projet'!$B$9,Paramètres!$A$1:$I$89,3,0)*VLOOKUP('Données projet'!$B$9,Paramètres!$A$1:$I$89,5,0)</f>
        <v>-4.1145540308207271E-13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388.1278150896951</v>
      </c>
      <c r="T192" s="59">
        <f t="shared" si="142"/>
        <v>232.26614607059227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81.637909627327701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81.637909627327701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-4.5474735088646412E-13</v>
      </c>
      <c r="AJ192" s="13">
        <f>AI192*VLOOKUP('Données projet'!$B$10,Paramètres!$A$1:$I$89,3,0)*VLOOKUP('Données projet'!$B$10,Paramètres!$A$1:$I$89,5,0)</f>
        <v>-4.6111381379887462E-13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424.89201140676084</v>
      </c>
      <c r="AO192" s="59">
        <f t="shared" si="144"/>
        <v>253.0016648946303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91.490760789246607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91.490760789246607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155.99999999999991</v>
      </c>
      <c r="BE192" s="13">
        <f>BD192*VLOOKUP('Données projet'!$B$11,Paramètres!$A$1:$I$89,3,0)*VLOOKUP('Données projet'!$B$11,Paramètres!$A$1:$I$89,5,0)</f>
        <v>136.28159999999994</v>
      </c>
      <c r="BF192" s="13">
        <f t="shared" si="167"/>
        <v>35.443842312892279</v>
      </c>
      <c r="BG192" s="20">
        <f t="shared" si="168"/>
        <v>299.08847869495395</v>
      </c>
      <c r="BH192" s="59">
        <f t="shared" si="116"/>
        <v>589.06611734195781</v>
      </c>
      <c r="BI192" s="59">
        <f ca="1">AVERAGE(OFFSET($BH$3,0,0,'Données projet'!$E$11+1,1))-AVERAGE(OFFSET($H$3,0,0,'Données projet'!$E$11+1,1))</f>
        <v>218.97952644043698</v>
      </c>
      <c r="BJ192" s="59">
        <f t="shared" si="146"/>
        <v>204.10961748628714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0.20533430692770457</v>
      </c>
      <c r="BQ192" s="21">
        <f>EXP(-LN(2)/25)*BQ191+(1-EXP(-LN(2)/25))/(LN(2)/25)*Calculateur!BL192*Calculateur!BN192*VLOOKUP('Données projet'!$B$11,Paramètres!$A$1:$I$89,3,0)*0.475*44/12</f>
        <v>0.24390938489859956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0.44924369182630414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191.99999999999977</v>
      </c>
      <c r="BZ192" s="13">
        <f>BY192*VLOOKUP('Données projet'!$B$12,Paramètres!$A$1:$I$89,3,0)*VLOOKUP('Données projet'!$B$12,Paramètres!$A$1:$I$89,5,0)</f>
        <v>155.75039999999984</v>
      </c>
      <c r="CA192" s="13">
        <f t="shared" si="170"/>
        <v>39.882509755133718</v>
      </c>
      <c r="CB192" s="20">
        <f t="shared" si="171"/>
        <v>340.72731782352429</v>
      </c>
      <c r="CC192" s="59">
        <f t="shared" si="119"/>
        <v>630.70495647052815</v>
      </c>
      <c r="CD192" s="59">
        <f ca="1">AVERAGE(OFFSET($CC$3,0,0,'Données projet'!$E$12+1,1))-AVERAGE(OFFSET($H$3,0,0,'Données projet'!$E$12+1,1))</f>
        <v>256.23994291192162</v>
      </c>
      <c r="CE192" s="59">
        <f t="shared" si="148"/>
        <v>207.9118653708222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0.48008314766669391</v>
      </c>
      <c r="CL192" s="21">
        <f>EXP(-LN(2)/25)*CL191+(1-EXP(-LN(2)/25))/(LN(2)/25)*Calculateur!CG192*Calculateur!CI192*VLOOKUP('Données projet'!$B$12,Paramètres!$A$1:$I$89,3,0)*0.475*44/12</f>
        <v>0.62965325287126905</v>
      </c>
      <c r="CM192" s="21">
        <f>EXP(-LN(2)/2)*CM191+(1-EXP(-LN(2)/2))/(LN(2)/2)*CG192*CJ192*VLOOKUP('Données projet'!$B$12,Paramètres!$A$1:$I$89,3,0)*0.475*44/12</f>
        <v>2.3500563754667576E-15</v>
      </c>
      <c r="CN192" s="22">
        <f t="shared" si="172"/>
        <v>1.1097364005379655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170.99999999999991</v>
      </c>
      <c r="CU192" s="17">
        <f>CT192*VLOOKUP('Données projet'!$B$13,Paramètres!$A$1:$I$89,3,0)*VLOOKUP('Données projet'!$B$13,Paramètres!$A$1:$I$89,5,0)</f>
        <v>98.701199999999957</v>
      </c>
      <c r="CV192" s="13">
        <f t="shared" si="173"/>
        <v>26.652341328097943</v>
      </c>
      <c r="CW192" s="20">
        <f t="shared" si="174"/>
        <v>218.32408447977051</v>
      </c>
      <c r="CX192" s="59">
        <f t="shared" si="122"/>
        <v>508.30172312677439</v>
      </c>
      <c r="CY192" s="59">
        <f ca="1">AVERAGE(OFFSET($CX$3,0,0,'Données projet'!$E$13+1,1))-AVERAGE(OFFSET($H$3,0,0,'Données projet'!$E$13+1,1))</f>
        <v>205.74526926885287</v>
      </c>
      <c r="CZ192" s="59">
        <f t="shared" si="150"/>
        <v>201.56217137928999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0.12565556831237501</v>
      </c>
      <c r="DG192" s="21">
        <f>EXP(-LN(2)/25)*DG191+(1-EXP(-LN(2)/25))/(LN(2)/25)*Calculateur!DB192*Calculateur!DD192*VLOOKUP('Données projet'!$B$13,Paramètres!$A$1:$I$89,3,0)*0.475*44/12</f>
        <v>0.47633669075451524</v>
      </c>
      <c r="DH192" s="21">
        <f>EXP(-LN(2)/2)*DH191+(1-EXP(-LN(2)/2))/(LN(2)/2)*DB192*DE192*VLOOKUP('Données projet'!$B$13,Paramètres!$A$1:$I$89,3,0)*0.475*44/12</f>
        <v>2.7956855405790837E-15</v>
      </c>
      <c r="DI192" s="22">
        <f t="shared" si="175"/>
        <v>0.60199225906689302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-4.5474735088646412E-13</v>
      </c>
      <c r="DP192" s="17">
        <f>DO192*VLOOKUP('Données projet'!$B$14,Paramètres!$A$1:$I$89,3,0)*VLOOKUP('Données projet'!$B$14,Paramètres!$A$1:$I$89,5,0)</f>
        <v>-4.3273757910355926E-13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403.89478276355294</v>
      </c>
      <c r="DU192" s="59">
        <f t="shared" si="152"/>
        <v>241.1593989733278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85.86056012529292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85.86056012529292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-4.5474735088646412E-13</v>
      </c>
      <c r="O193" s="13">
        <f>N193*VLOOKUP('Données projet'!$B$9,Paramètres!$A$1:$I$89,3,0)*VLOOKUP('Données projet'!$B$9,Paramètres!$A$1:$I$89,5,0)</f>
        <v>-4.1145540308207271E-13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388.1278150896951</v>
      </c>
      <c r="T193" s="59">
        <f t="shared" si="142"/>
        <v>232.26614607059227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80.037040013743905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80.037040013743905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-4.5474735088646412E-13</v>
      </c>
      <c r="AJ193" s="13">
        <f>AI193*VLOOKUP('Données projet'!$B$10,Paramètres!$A$1:$I$89,3,0)*VLOOKUP('Données projet'!$B$10,Paramètres!$A$1:$I$89,5,0)</f>
        <v>-4.6111381379887462E-13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424.89201140676084</v>
      </c>
      <c r="AO193" s="59">
        <f t="shared" si="144"/>
        <v>253.0016648946303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89.696682774023387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89.696682774023387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155.99999999999991</v>
      </c>
      <c r="BE193" s="13">
        <f>BD193*VLOOKUP('Données projet'!$B$11,Paramètres!$A$1:$I$89,3,0)*VLOOKUP('Données projet'!$B$11,Paramètres!$A$1:$I$89,5,0)</f>
        <v>136.28159999999994</v>
      </c>
      <c r="BF193" s="13">
        <f t="shared" si="167"/>
        <v>35.443842312892279</v>
      </c>
      <c r="BG193" s="20">
        <f t="shared" si="168"/>
        <v>299.08847869495395</v>
      </c>
      <c r="BH193" s="59">
        <f t="shared" si="116"/>
        <v>589.12433114255623</v>
      </c>
      <c r="BI193" s="59">
        <f ca="1">AVERAGE(OFFSET($BH$3,0,0,'Données projet'!$E$11+1,1))-AVERAGE(OFFSET($H$3,0,0,'Données projet'!$E$11+1,1))</f>
        <v>218.97952644043698</v>
      </c>
      <c r="BJ193" s="59">
        <f t="shared" si="146"/>
        <v>204.10961748628714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0.20130782641041295</v>
      </c>
      <c r="BQ193" s="21">
        <f>EXP(-LN(2)/25)*BQ192+(1-EXP(-LN(2)/25))/(LN(2)/25)*Calculateur!BL193*Calculateur!BN193*VLOOKUP('Données projet'!$B$11,Paramètres!$A$1:$I$89,3,0)*0.475*44/12</f>
        <v>0.23723966994191026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0.43854749635232321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191.99999999999977</v>
      </c>
      <c r="BZ193" s="13">
        <f>BY193*VLOOKUP('Données projet'!$B$12,Paramètres!$A$1:$I$89,3,0)*VLOOKUP('Données projet'!$B$12,Paramètres!$A$1:$I$89,5,0)</f>
        <v>155.75039999999984</v>
      </c>
      <c r="CA193" s="13">
        <f t="shared" si="170"/>
        <v>39.882509755133718</v>
      </c>
      <c r="CB193" s="20">
        <f t="shared" si="171"/>
        <v>340.72731782352429</v>
      </c>
      <c r="CC193" s="59">
        <f t="shared" si="119"/>
        <v>630.76317027112657</v>
      </c>
      <c r="CD193" s="59">
        <f ca="1">AVERAGE(OFFSET($CC$3,0,0,'Données projet'!$E$12+1,1))-AVERAGE(OFFSET($H$3,0,0,'Données projet'!$E$12+1,1))</f>
        <v>256.23994291192162</v>
      </c>
      <c r="CE193" s="59">
        <f t="shared" si="148"/>
        <v>207.9118653708222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0.47066900996275635</v>
      </c>
      <c r="CL193" s="21">
        <f>EXP(-LN(2)/25)*CL192+(1-EXP(-LN(2)/25))/(LN(2)/25)*Calculateur!CG193*Calculateur!CI193*VLOOKUP('Données projet'!$B$12,Paramètres!$A$1:$I$89,3,0)*0.475*44/12</f>
        <v>0.6124353515594787</v>
      </c>
      <c r="CM193" s="21">
        <f>EXP(-LN(2)/2)*CM192+(1-EXP(-LN(2)/2))/(LN(2)/2)*CG193*CJ193*VLOOKUP('Données projet'!$B$12,Paramètres!$A$1:$I$89,3,0)*0.475*44/12</f>
        <v>1.6617407992632236E-15</v>
      </c>
      <c r="CN193" s="22">
        <f t="shared" si="172"/>
        <v>1.0831043615222367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170.99999999999991</v>
      </c>
      <c r="CU193" s="17">
        <f>CT193*VLOOKUP('Données projet'!$B$13,Paramètres!$A$1:$I$89,3,0)*VLOOKUP('Données projet'!$B$13,Paramètres!$A$1:$I$89,5,0)</f>
        <v>98.701199999999957</v>
      </c>
      <c r="CV193" s="13">
        <f t="shared" si="173"/>
        <v>26.652341328097943</v>
      </c>
      <c r="CW193" s="20">
        <f t="shared" si="174"/>
        <v>218.32408447977051</v>
      </c>
      <c r="CX193" s="59">
        <f t="shared" si="122"/>
        <v>508.35993692737281</v>
      </c>
      <c r="CY193" s="59">
        <f ca="1">AVERAGE(OFFSET($CX$3,0,0,'Données projet'!$E$13+1,1))-AVERAGE(OFFSET($H$3,0,0,'Données projet'!$E$13+1,1))</f>
        <v>205.74526926885287</v>
      </c>
      <c r="CZ193" s="59">
        <f t="shared" si="150"/>
        <v>201.56217137928999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0.12319153926009821</v>
      </c>
      <c r="DG193" s="21">
        <f>EXP(-LN(2)/25)*DG192+(1-EXP(-LN(2)/25))/(LN(2)/25)*Calculateur!DB193*Calculateur!DD193*VLOOKUP('Données projet'!$B$13,Paramètres!$A$1:$I$89,3,0)*0.475*44/12</f>
        <v>0.46331123889637515</v>
      </c>
      <c r="DH193" s="21">
        <f>EXP(-LN(2)/2)*DH192+(1-EXP(-LN(2)/2))/(LN(2)/2)*DB193*DE193*VLOOKUP('Données projet'!$B$13,Paramètres!$A$1:$I$89,3,0)*0.475*44/12</f>
        <v>1.9768482038086489E-15</v>
      </c>
      <c r="DI193" s="22">
        <f t="shared" si="175"/>
        <v>0.58650277815647534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-4.5474735088646412E-13</v>
      </c>
      <c r="DP193" s="17">
        <f>DO193*VLOOKUP('Données projet'!$B$14,Paramètres!$A$1:$I$89,3,0)*VLOOKUP('Données projet'!$B$14,Paramètres!$A$1:$I$89,5,0)</f>
        <v>-4.3273757910355926E-13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403.89478276355294</v>
      </c>
      <c r="DU193" s="59">
        <f t="shared" si="152"/>
        <v>241.1593989733278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84.17688691100652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84.17688691100652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-4.5474735088646412E-13</v>
      </c>
      <c r="O194" s="13">
        <f>N194*VLOOKUP('Données projet'!$B$9,Paramètres!$A$1:$I$89,3,0)*VLOOKUP('Données projet'!$B$9,Paramètres!$A$1:$I$89,5,0)</f>
        <v>-4.1145540308207271E-13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388.1278150896951</v>
      </c>
      <c r="T194" s="59">
        <f t="shared" si="142"/>
        <v>232.26614607059227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78.467562476848443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78.467562476848443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-4.5474735088646412E-13</v>
      </c>
      <c r="AJ194" s="13">
        <f>AI194*VLOOKUP('Données projet'!$B$10,Paramètres!$A$1:$I$89,3,0)*VLOOKUP('Données projet'!$B$10,Paramètres!$A$1:$I$89,5,0)</f>
        <v>-4.6111381379887462E-13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424.89201140676084</v>
      </c>
      <c r="AO194" s="59">
        <f t="shared" si="144"/>
        <v>253.0016648946303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87.937785534399154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87.937785534399154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155.99999999999991</v>
      </c>
      <c r="BE194" s="13">
        <f>BD194*VLOOKUP('Données projet'!$B$11,Paramètres!$A$1:$I$89,3,0)*VLOOKUP('Données projet'!$B$11,Paramètres!$A$1:$I$89,5,0)</f>
        <v>136.28159999999994</v>
      </c>
      <c r="BF194" s="13">
        <f t="shared" si="167"/>
        <v>35.443842312892279</v>
      </c>
      <c r="BG194" s="20">
        <f t="shared" si="168"/>
        <v>299.08847869495395</v>
      </c>
      <c r="BH194" s="59">
        <f t="shared" si="116"/>
        <v>589.18153506386079</v>
      </c>
      <c r="BI194" s="59">
        <f ca="1">AVERAGE(OFFSET($BH$3,0,0,'Données projet'!$E$11+1,1))-AVERAGE(OFFSET($H$3,0,0,'Données projet'!$E$11+1,1))</f>
        <v>218.97952644043698</v>
      </c>
      <c r="BJ194" s="59">
        <f t="shared" si="146"/>
        <v>204.10961748628714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0.19736030272015478</v>
      </c>
      <c r="BQ194" s="21">
        <f>EXP(-LN(2)/25)*BQ193+(1-EXP(-LN(2)/25))/(LN(2)/25)*Calculateur!BL194*Calculateur!BN194*VLOOKUP('Données projet'!$B$11,Paramètres!$A$1:$I$89,3,0)*0.475*44/12</f>
        <v>0.2307523386914567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0.42811264141161148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191.99999999999977</v>
      </c>
      <c r="BZ194" s="13">
        <f>BY194*VLOOKUP('Données projet'!$B$12,Paramètres!$A$1:$I$89,3,0)*VLOOKUP('Données projet'!$B$12,Paramètres!$A$1:$I$89,5,0)</f>
        <v>155.75039999999984</v>
      </c>
      <c r="CA194" s="13">
        <f t="shared" si="170"/>
        <v>39.882509755133718</v>
      </c>
      <c r="CB194" s="20">
        <f t="shared" si="171"/>
        <v>340.72731782352429</v>
      </c>
      <c r="CC194" s="59">
        <f t="shared" si="119"/>
        <v>630.82037419243113</v>
      </c>
      <c r="CD194" s="59">
        <f ca="1">AVERAGE(OFFSET($CC$3,0,0,'Données projet'!$E$12+1,1))-AVERAGE(OFFSET($H$3,0,0,'Données projet'!$E$12+1,1))</f>
        <v>256.23994291192162</v>
      </c>
      <c r="CE194" s="59">
        <f t="shared" si="148"/>
        <v>207.9118653708222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0.46143947775713601</v>
      </c>
      <c r="CL194" s="21">
        <f>EXP(-LN(2)/25)*CL193+(1-EXP(-LN(2)/25))/(LN(2)/25)*Calculateur!CG194*Calculateur!CI194*VLOOKUP('Données projet'!$B$12,Paramètres!$A$1:$I$89,3,0)*0.475*44/12</f>
        <v>0.59568827466450935</v>
      </c>
      <c r="CM194" s="21">
        <f>EXP(-LN(2)/2)*CM193+(1-EXP(-LN(2)/2))/(LN(2)/2)*CG194*CJ194*VLOOKUP('Données projet'!$B$12,Paramètres!$A$1:$I$89,3,0)*0.475*44/12</f>
        <v>1.1750281877333788E-15</v>
      </c>
      <c r="CN194" s="22">
        <f t="shared" si="172"/>
        <v>1.0571277524216465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170.99999999999991</v>
      </c>
      <c r="CU194" s="17">
        <f>CT194*VLOOKUP('Données projet'!$B$13,Paramètres!$A$1:$I$89,3,0)*VLOOKUP('Données projet'!$B$13,Paramètres!$A$1:$I$89,5,0)</f>
        <v>98.701199999999957</v>
      </c>
      <c r="CV194" s="13">
        <f t="shared" si="173"/>
        <v>26.652341328097943</v>
      </c>
      <c r="CW194" s="20">
        <f t="shared" si="174"/>
        <v>218.32408447977051</v>
      </c>
      <c r="CX194" s="59">
        <f t="shared" si="122"/>
        <v>508.41714084867738</v>
      </c>
      <c r="CY194" s="59">
        <f ca="1">AVERAGE(OFFSET($CX$3,0,0,'Données projet'!$E$13+1,1))-AVERAGE(OFFSET($H$3,0,0,'Données projet'!$E$13+1,1))</f>
        <v>205.74526926885287</v>
      </c>
      <c r="CZ194" s="59">
        <f t="shared" si="150"/>
        <v>201.56217137928999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0.12077582831462723</v>
      </c>
      <c r="DG194" s="21">
        <f>EXP(-LN(2)/25)*DG193+(1-EXP(-LN(2)/25))/(LN(2)/25)*Calculateur!DB194*Calculateur!DD194*VLOOKUP('Données projet'!$B$13,Paramètres!$A$1:$I$89,3,0)*0.475*44/12</f>
        <v>0.45064196870427464</v>
      </c>
      <c r="DH194" s="21">
        <f>EXP(-LN(2)/2)*DH193+(1-EXP(-LN(2)/2))/(LN(2)/2)*DB194*DE194*VLOOKUP('Données projet'!$B$13,Paramètres!$A$1:$I$89,3,0)*0.475*44/12</f>
        <v>1.3978427702895419E-15</v>
      </c>
      <c r="DI194" s="22">
        <f t="shared" si="175"/>
        <v>0.57141779701890327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-4.5474735088646412E-13</v>
      </c>
      <c r="DP194" s="17">
        <f>DO194*VLOOKUP('Données projet'!$B$14,Paramètres!$A$1:$I$89,3,0)*VLOOKUP('Données projet'!$B$14,Paramètres!$A$1:$I$89,5,0)</f>
        <v>-4.3273757910355926E-13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403.89478276355294</v>
      </c>
      <c r="DU194" s="59">
        <f t="shared" si="152"/>
        <v>241.1593989733278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82.526229501513015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82.526229501513015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-4.5474735088646412E-13</v>
      </c>
      <c r="O195" s="13">
        <f>N195*VLOOKUP('Données projet'!$B$9,Paramètres!$A$1:$I$89,3,0)*VLOOKUP('Données projet'!$B$9,Paramètres!$A$1:$I$89,5,0)</f>
        <v>-4.1145540308207271E-13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388.1278150896951</v>
      </c>
      <c r="T195" s="59">
        <f t="shared" si="142"/>
        <v>232.26614607059227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76.928861437164727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76.928861437164727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-4.5474735088646412E-13</v>
      </c>
      <c r="AJ195" s="13">
        <f>AI195*VLOOKUP('Données projet'!$B$10,Paramètres!$A$1:$I$89,3,0)*VLOOKUP('Données projet'!$B$10,Paramètres!$A$1:$I$89,5,0)</f>
        <v>-4.6111381379887462E-13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424.89201140676084</v>
      </c>
      <c r="AO195" s="59">
        <f t="shared" si="144"/>
        <v>253.0016648946303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86.213379196822572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86.213379196822572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155.99999999999991</v>
      </c>
      <c r="BE195" s="13">
        <f>BD195*VLOOKUP('Données projet'!$B$11,Paramètres!$A$1:$I$89,3,0)*VLOOKUP('Données projet'!$B$11,Paramètres!$A$1:$I$89,5,0)</f>
        <v>136.28159999999994</v>
      </c>
      <c r="BF195" s="13">
        <f t="shared" si="167"/>
        <v>35.443842312892279</v>
      </c>
      <c r="BG195" s="20">
        <f t="shared" si="168"/>
        <v>299.08847869495395</v>
      </c>
      <c r="BH195" s="59">
        <f t="shared" si="116"/>
        <v>589.23774662501955</v>
      </c>
      <c r="BI195" s="59">
        <f ca="1">AVERAGE(OFFSET($BH$3,0,0,'Données projet'!$E$11+1,1))-AVERAGE(OFFSET($H$3,0,0,'Données projet'!$E$11+1,1))</f>
        <v>218.97952644043698</v>
      </c>
      <c r="BJ195" s="59">
        <f t="shared" si="146"/>
        <v>204.10961748628714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0.19349018756171088</v>
      </c>
      <c r="BQ195" s="21">
        <f>EXP(-LN(2)/25)*BQ194+(1-EXP(-LN(2)/25))/(LN(2)/25)*Calculateur!BL195*Calculateur!BN195*VLOOKUP('Données projet'!$B$11,Paramètres!$A$1:$I$89,3,0)*0.475*44/12</f>
        <v>0.22444240385520073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0.41793259141691164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191.99999999999977</v>
      </c>
      <c r="BZ195" s="13">
        <f>BY195*VLOOKUP('Données projet'!$B$12,Paramètres!$A$1:$I$89,3,0)*VLOOKUP('Données projet'!$B$12,Paramètres!$A$1:$I$89,5,0)</f>
        <v>155.75039999999984</v>
      </c>
      <c r="CA195" s="13">
        <f t="shared" si="170"/>
        <v>39.882509755133718</v>
      </c>
      <c r="CB195" s="20">
        <f t="shared" si="171"/>
        <v>340.72731782352429</v>
      </c>
      <c r="CC195" s="59">
        <f t="shared" si="119"/>
        <v>630.87658575359001</v>
      </c>
      <c r="CD195" s="59">
        <f ca="1">AVERAGE(OFFSET($CC$3,0,0,'Données projet'!$E$12+1,1))-AVERAGE(OFFSET($H$3,0,0,'Données projet'!$E$12+1,1))</f>
        <v>256.23994291192162</v>
      </c>
      <c r="CE195" s="59">
        <f t="shared" si="148"/>
        <v>207.9118653708222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0.45239093104860911</v>
      </c>
      <c r="CL195" s="21">
        <f>EXP(-LN(2)/25)*CL194+(1-EXP(-LN(2)/25))/(LN(2)/25)*Calculateur!CG195*Calculateur!CI195*VLOOKUP('Données projet'!$B$12,Paramètres!$A$1:$I$89,3,0)*0.475*44/12</f>
        <v>0.57939914746792343</v>
      </c>
      <c r="CM195" s="21">
        <f>EXP(-LN(2)/2)*CM194+(1-EXP(-LN(2)/2))/(LN(2)/2)*CG195*CJ195*VLOOKUP('Données projet'!$B$12,Paramètres!$A$1:$I$89,3,0)*0.475*44/12</f>
        <v>8.3087039963161178E-16</v>
      </c>
      <c r="CN195" s="22">
        <f t="shared" si="172"/>
        <v>1.0317900785165335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170.99999999999991</v>
      </c>
      <c r="CU195" s="17">
        <f>CT195*VLOOKUP('Données projet'!$B$13,Paramètres!$A$1:$I$89,3,0)*VLOOKUP('Données projet'!$B$13,Paramètres!$A$1:$I$89,5,0)</f>
        <v>98.701199999999957</v>
      </c>
      <c r="CV195" s="13">
        <f t="shared" si="173"/>
        <v>26.652341328097943</v>
      </c>
      <c r="CW195" s="20">
        <f t="shared" si="174"/>
        <v>218.32408447977051</v>
      </c>
      <c r="CX195" s="59">
        <f t="shared" si="122"/>
        <v>508.47335240983614</v>
      </c>
      <c r="CY195" s="59">
        <f ca="1">AVERAGE(OFFSET($CX$3,0,0,'Données projet'!$E$13+1,1))-AVERAGE(OFFSET($H$3,0,0,'Données projet'!$E$13+1,1))</f>
        <v>205.74526926885287</v>
      </c>
      <c r="CZ195" s="59">
        <f t="shared" si="150"/>
        <v>201.56217137928999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0.11840748798735876</v>
      </c>
      <c r="DG195" s="21">
        <f>EXP(-LN(2)/25)*DG194+(1-EXP(-LN(2)/25))/(LN(2)/25)*Calculateur!DB195*Calculateur!DD195*VLOOKUP('Données projet'!$B$13,Paramètres!$A$1:$I$89,3,0)*0.475*44/12</f>
        <v>0.43831914037182507</v>
      </c>
      <c r="DH195" s="21">
        <f>EXP(-LN(2)/2)*DH194+(1-EXP(-LN(2)/2))/(LN(2)/2)*DB195*DE195*VLOOKUP('Données projet'!$B$13,Paramètres!$A$1:$I$89,3,0)*0.475*44/12</f>
        <v>9.8842410190432447E-16</v>
      </c>
      <c r="DI195" s="22">
        <f t="shared" si="175"/>
        <v>0.55672662835918485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-4.5474735088646412E-13</v>
      </c>
      <c r="DP195" s="17">
        <f>DO195*VLOOKUP('Données projet'!$B$14,Paramètres!$A$1:$I$89,3,0)*VLOOKUP('Données projet'!$B$14,Paramètres!$A$1:$I$89,5,0)</f>
        <v>-4.3273757910355926E-13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403.89478276355294</v>
      </c>
      <c r="DU195" s="59">
        <f t="shared" si="152"/>
        <v>241.1593989733278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80.907940477018073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80.907940477018073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-4.5474735088646412E-13</v>
      </c>
      <c r="O196" s="13">
        <f>N196*VLOOKUP('Données projet'!$B$9,Paramètres!$A$1:$I$89,3,0)*VLOOKUP('Données projet'!$B$9,Paramètres!$A$1:$I$89,5,0)</f>
        <v>-4.1145540308207271E-13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388.1278150896951</v>
      </c>
      <c r="T196" s="59">
        <f t="shared" si="142"/>
        <v>232.26614607059227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75.420333386354244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75.420333386354244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-4.5474735088646412E-13</v>
      </c>
      <c r="AJ196" s="13">
        <f>AI196*VLOOKUP('Données projet'!$B$10,Paramètres!$A$1:$I$89,3,0)*VLOOKUP('Données projet'!$B$10,Paramètres!$A$1:$I$89,5,0)</f>
        <v>-4.6111381379887462E-13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424.89201140676084</v>
      </c>
      <c r="AO196" s="59">
        <f t="shared" si="144"/>
        <v>253.0016648946303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84.52278741574186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84.52278741574186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155.99999999999991</v>
      </c>
      <c r="BE196" s="13">
        <f>BD196*VLOOKUP('Données projet'!$B$11,Paramètres!$A$1:$I$89,3,0)*VLOOKUP('Données projet'!$B$11,Paramètres!$A$1:$I$89,5,0)</f>
        <v>136.28159999999994</v>
      </c>
      <c r="BF196" s="13">
        <f t="shared" si="167"/>
        <v>35.443842312892279</v>
      </c>
      <c r="BG196" s="20">
        <f t="shared" si="168"/>
        <v>299.08847869495395</v>
      </c>
      <c r="BH196" s="59">
        <f t="shared" ref="BH196:BH203" si="194">BG196+(AY196+AZ196)*44/12</f>
        <v>589.29298304126246</v>
      </c>
      <c r="BI196" s="59">
        <f ca="1">AVERAGE(OFFSET($BH$3,0,0,'Données projet'!$E$11+1,1))-AVERAGE(OFFSET($H$3,0,0,'Données projet'!$E$11+1,1))</f>
        <v>218.97952644043698</v>
      </c>
      <c r="BJ196" s="59">
        <f t="shared" si="146"/>
        <v>204.10961748628714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0.1896959630009869</v>
      </c>
      <c r="BQ196" s="21">
        <f>EXP(-LN(2)/25)*BQ195+(1-EXP(-LN(2)/25))/(LN(2)/25)*Calculateur!BL196*Calculateur!BN196*VLOOKUP('Données projet'!$B$11,Paramètres!$A$1:$I$89,3,0)*0.475*44/12</f>
        <v>0.21830501451886722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0.40800097751985409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191.99999999999977</v>
      </c>
      <c r="BZ196" s="13">
        <f>BY196*VLOOKUP('Données projet'!$B$12,Paramètres!$A$1:$I$89,3,0)*VLOOKUP('Données projet'!$B$12,Paramètres!$A$1:$I$89,5,0)</f>
        <v>155.75039999999984</v>
      </c>
      <c r="CA196" s="13">
        <f t="shared" si="170"/>
        <v>39.882509755133718</v>
      </c>
      <c r="CB196" s="20">
        <f t="shared" si="171"/>
        <v>340.72731782352429</v>
      </c>
      <c r="CC196" s="59">
        <f t="shared" ref="CC196:CC203" si="195">CB196+(BT196+BU196)*44/12</f>
        <v>630.9318221698328</v>
      </c>
      <c r="CD196" s="59">
        <f ca="1">AVERAGE(OFFSET($CC$3,0,0,'Données projet'!$E$12+1,1))-AVERAGE(OFFSET($H$3,0,0,'Données projet'!$E$12+1,1))</f>
        <v>256.23994291192162</v>
      </c>
      <c r="CE196" s="59">
        <f t="shared" si="148"/>
        <v>207.9118653708222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0.44351982082196789</v>
      </c>
      <c r="CL196" s="21">
        <f>EXP(-LN(2)/25)*CL195+(1-EXP(-LN(2)/25))/(LN(2)/25)*Calculateur!CG196*Calculateur!CI196*VLOOKUP('Données projet'!$B$12,Paramètres!$A$1:$I$89,3,0)*0.475*44/12</f>
        <v>0.56355544731113616</v>
      </c>
      <c r="CM196" s="21">
        <f>EXP(-LN(2)/2)*CM195+(1-EXP(-LN(2)/2))/(LN(2)/2)*CG196*CJ196*VLOOKUP('Données projet'!$B$12,Paramètres!$A$1:$I$89,3,0)*0.475*44/12</f>
        <v>5.875140938666894E-16</v>
      </c>
      <c r="CN196" s="22">
        <f t="shared" si="172"/>
        <v>1.0070752681331048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170.99999999999991</v>
      </c>
      <c r="CU196" s="17">
        <f>CT196*VLOOKUP('Données projet'!$B$13,Paramètres!$A$1:$I$89,3,0)*VLOOKUP('Données projet'!$B$13,Paramètres!$A$1:$I$89,5,0)</f>
        <v>98.701199999999957</v>
      </c>
      <c r="CV196" s="13">
        <f t="shared" si="173"/>
        <v>26.652341328097943</v>
      </c>
      <c r="CW196" s="20">
        <f t="shared" si="174"/>
        <v>218.32408447977051</v>
      </c>
      <c r="CX196" s="59">
        <f t="shared" ref="CX196:CX203" si="196">CW196+(CO196+CP196)*44/12</f>
        <v>508.52858882607904</v>
      </c>
      <c r="CY196" s="59">
        <f ca="1">AVERAGE(OFFSET($CX$3,0,0,'Données projet'!$E$13+1,1))-AVERAGE(OFFSET($H$3,0,0,'Données projet'!$E$13+1,1))</f>
        <v>205.74526926885287</v>
      </c>
      <c r="CZ196" s="59">
        <f t="shared" si="150"/>
        <v>201.56217137928999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0.11608558936936304</v>
      </c>
      <c r="DG196" s="21">
        <f>EXP(-LN(2)/25)*DG195+(1-EXP(-LN(2)/25))/(LN(2)/25)*Calculateur!DB196*Calculateur!DD196*VLOOKUP('Données projet'!$B$13,Paramètres!$A$1:$I$89,3,0)*0.475*44/12</f>
        <v>0.42633328042815571</v>
      </c>
      <c r="DH196" s="21">
        <f>EXP(-LN(2)/2)*DH195+(1-EXP(-LN(2)/2))/(LN(2)/2)*DB196*DE196*VLOOKUP('Données projet'!$B$13,Paramètres!$A$1:$I$89,3,0)*0.475*44/12</f>
        <v>6.9892138514477094E-16</v>
      </c>
      <c r="DI196" s="22">
        <f t="shared" si="175"/>
        <v>0.54241886979751941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-4.5474735088646412E-13</v>
      </c>
      <c r="DP196" s="17">
        <f>DO196*VLOOKUP('Données projet'!$B$14,Paramètres!$A$1:$I$89,3,0)*VLOOKUP('Données projet'!$B$14,Paramètres!$A$1:$I$89,5,0)</f>
        <v>-4.3273757910355926E-13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403.89478276355294</v>
      </c>
      <c r="DU196" s="59">
        <f t="shared" si="152"/>
        <v>241.1593989733278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79.321385113234626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79.321385113234626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-4.5474735088646412E-13</v>
      </c>
      <c r="O197" s="13">
        <f>N197*VLOOKUP('Données projet'!$B$9,Paramètres!$A$1:$I$89,3,0)*VLOOKUP('Données projet'!$B$9,Paramètres!$A$1:$I$89,5,0)</f>
        <v>-4.1145540308207271E-13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388.1278150896951</v>
      </c>
      <c r="T197" s="59">
        <f t="shared" ref="T197:T203" si="204">$T$3</f>
        <v>232.26614607059227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73.941386650508903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73.941386650508903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-4.5474735088646412E-13</v>
      </c>
      <c r="AJ197" s="13">
        <f>AI197*VLOOKUP('Données projet'!$B$10,Paramètres!$A$1:$I$89,3,0)*VLOOKUP('Données projet'!$B$10,Paramètres!$A$1:$I$89,5,0)</f>
        <v>-4.6111381379887462E-13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424.89201140676084</v>
      </c>
      <c r="AO197" s="59">
        <f t="shared" ref="AO197:AO203" si="205">$AO$3</f>
        <v>253.0016648946303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82.865347108328976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82.865347108328976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155.99999999999991</v>
      </c>
      <c r="BE197" s="13">
        <f>BD197*VLOOKUP('Données projet'!$B$11,Paramètres!$A$1:$I$89,3,0)*VLOOKUP('Données projet'!$B$11,Paramètres!$A$1:$I$89,5,0)</f>
        <v>136.28159999999994</v>
      </c>
      <c r="BF197" s="13">
        <f t="shared" si="167"/>
        <v>35.443842312892279</v>
      </c>
      <c r="BG197" s="20">
        <f t="shared" si="168"/>
        <v>299.08847869495395</v>
      </c>
      <c r="BH197" s="59">
        <f t="shared" si="194"/>
        <v>589.34726122917368</v>
      </c>
      <c r="BI197" s="59">
        <f ca="1">AVERAGE(OFFSET($BH$3,0,0,'Données projet'!$E$11+1,1))-AVERAGE(OFFSET($H$3,0,0,'Données projet'!$E$11+1,1))</f>
        <v>218.97952644043698</v>
      </c>
      <c r="BJ197" s="59">
        <f t="shared" ref="BJ197:BJ203" si="206">$BJ$3</f>
        <v>204.10961748628714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0.18597614086965025</v>
      </c>
      <c r="BQ197" s="21">
        <f>EXP(-LN(2)/25)*BQ196+(1-EXP(-LN(2)/25))/(LN(2)/25)*Calculateur!BL197*Calculateur!BN197*VLOOKUP('Données projet'!$B$11,Paramètres!$A$1:$I$89,3,0)*0.475*44/12</f>
        <v>0.21233545241668703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0.39831159328633725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191.99999999999977</v>
      </c>
      <c r="BZ197" s="13">
        <f>BY197*VLOOKUP('Données projet'!$B$12,Paramètres!$A$1:$I$89,3,0)*VLOOKUP('Données projet'!$B$12,Paramètres!$A$1:$I$89,5,0)</f>
        <v>155.75039999999984</v>
      </c>
      <c r="CA197" s="13">
        <f t="shared" si="170"/>
        <v>39.882509755133718</v>
      </c>
      <c r="CB197" s="20">
        <f t="shared" si="171"/>
        <v>340.72731782352429</v>
      </c>
      <c r="CC197" s="59">
        <f t="shared" si="195"/>
        <v>630.98610035774402</v>
      </c>
      <c r="CD197" s="59">
        <f ca="1">AVERAGE(OFFSET($CC$3,0,0,'Données projet'!$E$12+1,1))-AVERAGE(OFFSET($H$3,0,0,'Données projet'!$E$12+1,1))</f>
        <v>256.23994291192162</v>
      </c>
      <c r="CE197" s="59">
        <f t="shared" ref="CE197:CE203" si="207">$CE$3</f>
        <v>207.9118653708222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0.43482266765602812</v>
      </c>
      <c r="CL197" s="21">
        <f>EXP(-LN(2)/25)*CL196+(1-EXP(-LN(2)/25))/(LN(2)/25)*Calculateur!CG197*Calculateur!CI197*VLOOKUP('Données projet'!$B$12,Paramètres!$A$1:$I$89,3,0)*0.475*44/12</f>
        <v>0.54814499396832017</v>
      </c>
      <c r="CM197" s="21">
        <f>EXP(-LN(2)/2)*CM196+(1-EXP(-LN(2)/2))/(LN(2)/2)*CG197*CJ197*VLOOKUP('Données projet'!$B$12,Paramètres!$A$1:$I$89,3,0)*0.475*44/12</f>
        <v>4.1543519981580589E-16</v>
      </c>
      <c r="CN197" s="22">
        <f t="shared" si="172"/>
        <v>0.98296766162434879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170.99999999999991</v>
      </c>
      <c r="CU197" s="17">
        <f>CT197*VLOOKUP('Données projet'!$B$13,Paramètres!$A$1:$I$89,3,0)*VLOOKUP('Données projet'!$B$13,Paramètres!$A$1:$I$89,5,0)</f>
        <v>98.701199999999957</v>
      </c>
      <c r="CV197" s="13">
        <f t="shared" si="173"/>
        <v>26.652341328097943</v>
      </c>
      <c r="CW197" s="20">
        <f t="shared" si="174"/>
        <v>218.32408447977051</v>
      </c>
      <c r="CX197" s="59">
        <f t="shared" si="196"/>
        <v>508.58286701399027</v>
      </c>
      <c r="CY197" s="59">
        <f ca="1">AVERAGE(OFFSET($CX$3,0,0,'Données projet'!$E$13+1,1))-AVERAGE(OFFSET($H$3,0,0,'Données projet'!$E$13+1,1))</f>
        <v>205.74526926885287</v>
      </c>
      <c r="CZ197" s="59">
        <f t="shared" ref="CZ197:CZ203" si="208">$CZ$3</f>
        <v>201.56217137928999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0.11380922176704791</v>
      </c>
      <c r="DG197" s="21">
        <f>EXP(-LN(2)/25)*DG196+(1-EXP(-LN(2)/25))/(LN(2)/25)*Calculateur!DB197*Calculateur!DD197*VLOOKUP('Données projet'!$B$13,Paramètres!$A$1:$I$89,3,0)*0.475*44/12</f>
        <v>0.414675174454955</v>
      </c>
      <c r="DH197" s="21">
        <f>EXP(-LN(2)/2)*DH196+(1-EXP(-LN(2)/2))/(LN(2)/2)*DB197*DE197*VLOOKUP('Données projet'!$B$13,Paramètres!$A$1:$I$89,3,0)*0.475*44/12</f>
        <v>4.9421205095216224E-16</v>
      </c>
      <c r="DI197" s="22">
        <f t="shared" si="175"/>
        <v>0.52848439622200338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-4.5474735088646412E-13</v>
      </c>
      <c r="DP197" s="17">
        <f>DO197*VLOOKUP('Données projet'!$B$14,Paramètres!$A$1:$I$89,3,0)*VLOOKUP('Données projet'!$B$14,Paramètres!$A$1:$I$89,5,0)</f>
        <v>-4.3273757910355926E-13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403.89478276355294</v>
      </c>
      <c r="DU197" s="59">
        <f t="shared" ref="DU197:DU203" si="209">$DU$3</f>
        <v>241.1593989733278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77.765941132431763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77.765941132431763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-4.5474735088646412E-13</v>
      </c>
      <c r="O198" s="13">
        <f>N198*VLOOKUP('Données projet'!$B$9,Paramètres!$A$1:$I$89,3,0)*VLOOKUP('Données projet'!$B$9,Paramètres!$A$1:$I$89,5,0)</f>
        <v>-4.1145540308207271E-13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388.1278150896951</v>
      </c>
      <c r="T198" s="59">
        <f t="shared" si="204"/>
        <v>232.26614607059227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72.491441158085053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72.491441158085053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-4.5474735088646412E-13</v>
      </c>
      <c r="AJ198" s="13">
        <f>AI198*VLOOKUP('Données projet'!$B$10,Paramètres!$A$1:$I$89,3,0)*VLOOKUP('Données projet'!$B$10,Paramètres!$A$1:$I$89,5,0)</f>
        <v>-4.6111381379887462E-13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424.89201140676084</v>
      </c>
      <c r="AO198" s="59">
        <f t="shared" si="205"/>
        <v>253.0016648946303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81.240408194405688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81.240408194405688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155.99999999999991</v>
      </c>
      <c r="BE198" s="13">
        <f>BD198*VLOOKUP('Données projet'!$B$11,Paramètres!$A$1:$I$89,3,0)*VLOOKUP('Données projet'!$B$11,Paramètres!$A$1:$I$89,5,0)</f>
        <v>136.28159999999994</v>
      </c>
      <c r="BF198" s="13">
        <f t="shared" si="167"/>
        <v>35.443842312892279</v>
      </c>
      <c r="BG198" s="20">
        <f t="shared" si="168"/>
        <v>299.08847869495395</v>
      </c>
      <c r="BH198" s="59">
        <f t="shared" si="194"/>
        <v>589.40059781187244</v>
      </c>
      <c r="BI198" s="59">
        <f ca="1">AVERAGE(OFFSET($BH$3,0,0,'Données projet'!$E$11+1,1))-AVERAGE(OFFSET($H$3,0,0,'Données projet'!$E$11+1,1))</f>
        <v>218.97952644043698</v>
      </c>
      <c r="BJ198" s="59">
        <f t="shared" si="206"/>
        <v>204.10961748628714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0.18232926218144163</v>
      </c>
      <c r="BQ198" s="21">
        <f>EXP(-LN(2)/25)*BQ197+(1-EXP(-LN(2)/25))/(LN(2)/25)*Calculateur!BL198*Calculateur!BN198*VLOOKUP('Données projet'!$B$11,Paramètres!$A$1:$I$89,3,0)*0.475*44/12</f>
        <v>0.20652912830411657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0.3888583904855582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191.99999999999977</v>
      </c>
      <c r="BZ198" s="13">
        <f>BY198*VLOOKUP('Données projet'!$B$12,Paramètres!$A$1:$I$89,3,0)*VLOOKUP('Données projet'!$B$12,Paramètres!$A$1:$I$89,5,0)</f>
        <v>155.75039999999984</v>
      </c>
      <c r="CA198" s="13">
        <f t="shared" si="170"/>
        <v>39.882509755133718</v>
      </c>
      <c r="CB198" s="20">
        <f t="shared" si="171"/>
        <v>340.72731782352429</v>
      </c>
      <c r="CC198" s="59">
        <f t="shared" si="195"/>
        <v>631.03943694044278</v>
      </c>
      <c r="CD198" s="59">
        <f ca="1">AVERAGE(OFFSET($CC$3,0,0,'Données projet'!$E$12+1,1))-AVERAGE(OFFSET($H$3,0,0,'Données projet'!$E$12+1,1))</f>
        <v>256.23994291192162</v>
      </c>
      <c r="CE198" s="59">
        <f t="shared" si="207"/>
        <v>207.9118653708222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0.4262960603589328</v>
      </c>
      <c r="CL198" s="21">
        <f>EXP(-LN(2)/25)*CL197+(1-EXP(-LN(2)/25))/(LN(2)/25)*Calculateur!CG198*Calculateur!CI198*VLOOKUP('Données projet'!$B$12,Paramètres!$A$1:$I$89,3,0)*0.475*44/12</f>
        <v>0.53315594028256408</v>
      </c>
      <c r="CM198" s="21">
        <f>EXP(-LN(2)/2)*CM197+(1-EXP(-LN(2)/2))/(LN(2)/2)*CG198*CJ198*VLOOKUP('Données projet'!$B$12,Paramètres!$A$1:$I$89,3,0)*0.475*44/12</f>
        <v>2.937570469333447E-16</v>
      </c>
      <c r="CN198" s="22">
        <f t="shared" si="172"/>
        <v>0.95945200064149716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170.99999999999991</v>
      </c>
      <c r="CU198" s="17">
        <f>CT198*VLOOKUP('Données projet'!$B$13,Paramètres!$A$1:$I$89,3,0)*VLOOKUP('Données projet'!$B$13,Paramètres!$A$1:$I$89,5,0)</f>
        <v>98.701199999999957</v>
      </c>
      <c r="CV198" s="13">
        <f t="shared" si="173"/>
        <v>26.652341328097943</v>
      </c>
      <c r="CW198" s="20">
        <f t="shared" si="174"/>
        <v>218.32408447977051</v>
      </c>
      <c r="CX198" s="59">
        <f t="shared" si="196"/>
        <v>508.63620359668903</v>
      </c>
      <c r="CY198" s="59">
        <f ca="1">AVERAGE(OFFSET($CX$3,0,0,'Données projet'!$E$13+1,1))-AVERAGE(OFFSET($H$3,0,0,'Données projet'!$E$13+1,1))</f>
        <v>205.74526926885287</v>
      </c>
      <c r="CZ198" s="59">
        <f t="shared" si="208"/>
        <v>201.56217137928999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0.11157749234496704</v>
      </c>
      <c r="DG198" s="21">
        <f>EXP(-LN(2)/25)*DG197+(1-EXP(-LN(2)/25))/(LN(2)/25)*Calculateur!DB198*Calculateur!DD198*VLOOKUP('Données projet'!$B$13,Paramètres!$A$1:$I$89,3,0)*0.475*44/12</f>
        <v>0.40333586000266458</v>
      </c>
      <c r="DH198" s="21">
        <f>EXP(-LN(2)/2)*DH197+(1-EXP(-LN(2)/2))/(LN(2)/2)*DB198*DE198*VLOOKUP('Données projet'!$B$13,Paramètres!$A$1:$I$89,3,0)*0.475*44/12</f>
        <v>3.4946069257238547E-16</v>
      </c>
      <c r="DI198" s="22">
        <f t="shared" si="175"/>
        <v>0.51491335234763191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-4.5474735088646412E-13</v>
      </c>
      <c r="DP198" s="17">
        <f>DO198*VLOOKUP('Données projet'!$B$14,Paramètres!$A$1:$I$89,3,0)*VLOOKUP('Données projet'!$B$14,Paramètres!$A$1:$I$89,5,0)</f>
        <v>-4.3273757910355926E-13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403.89478276355294</v>
      </c>
      <c r="DU198" s="59">
        <f t="shared" si="209"/>
        <v>241.1593989733278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76.240998459365287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76.240998459365287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-4.5474735088646412E-13</v>
      </c>
      <c r="O199" s="13">
        <f>N199*VLOOKUP('Données projet'!$B$9,Paramètres!$A$1:$I$89,3,0)*VLOOKUP('Données projet'!$B$9,Paramètres!$A$1:$I$89,5,0)</f>
        <v>-4.1145540308207271E-13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388.1278150896951</v>
      </c>
      <c r="T199" s="59">
        <f t="shared" si="204"/>
        <v>232.26614607059227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71.069928212388206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71.069928212388206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-4.5474735088646412E-13</v>
      </c>
      <c r="AJ199" s="13">
        <f>AI199*VLOOKUP('Données projet'!$B$10,Paramètres!$A$1:$I$89,3,0)*VLOOKUP('Données projet'!$B$10,Paramètres!$A$1:$I$89,5,0)</f>
        <v>-4.6111381379887462E-13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424.89201140676084</v>
      </c>
      <c r="AO199" s="59">
        <f t="shared" si="205"/>
        <v>253.0016648946303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79.647333341469562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79.647333341469562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155.99999999999991</v>
      </c>
      <c r="BE199" s="13">
        <f>BD199*VLOOKUP('Données projet'!$B$11,Paramètres!$A$1:$I$89,3,0)*VLOOKUP('Données projet'!$B$11,Paramètres!$A$1:$I$89,5,0)</f>
        <v>136.28159999999994</v>
      </c>
      <c r="BF199" s="13">
        <f t="shared" si="167"/>
        <v>35.443842312892279</v>
      </c>
      <c r="BG199" s="20">
        <f t="shared" si="168"/>
        <v>299.08847869495395</v>
      </c>
      <c r="BH199" s="59">
        <f t="shared" si="194"/>
        <v>589.45300912410414</v>
      </c>
      <c r="BI199" s="59">
        <f ca="1">AVERAGE(OFFSET($BH$3,0,0,'Données projet'!$E$11+1,1))-AVERAGE(OFFSET($H$3,0,0,'Données projet'!$E$11+1,1))</f>
        <v>218.97952644043698</v>
      </c>
      <c r="BJ199" s="59">
        <f t="shared" si="206"/>
        <v>204.10961748628714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0.17875389655993243</v>
      </c>
      <c r="BQ199" s="21">
        <f>EXP(-LN(2)/25)*BQ198+(1-EXP(-LN(2)/25))/(LN(2)/25)*Calculateur!BL199*Calculateur!BN199*VLOOKUP('Données projet'!$B$11,Paramètres!$A$1:$I$89,3,0)*0.475*44/12</f>
        <v>0.20088157842974569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0.37963547498967809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191.99999999999977</v>
      </c>
      <c r="BZ199" s="13">
        <f>BY199*VLOOKUP('Données projet'!$B$12,Paramètres!$A$1:$I$89,3,0)*VLOOKUP('Données projet'!$B$12,Paramètres!$A$1:$I$89,5,0)</f>
        <v>155.75039999999984</v>
      </c>
      <c r="CA199" s="13">
        <f t="shared" si="170"/>
        <v>39.882509755133718</v>
      </c>
      <c r="CB199" s="20">
        <f t="shared" si="171"/>
        <v>340.72731782352429</v>
      </c>
      <c r="CC199" s="59">
        <f t="shared" si="195"/>
        <v>631.09184825267448</v>
      </c>
      <c r="CD199" s="59">
        <f ca="1">AVERAGE(OFFSET($CC$3,0,0,'Données projet'!$E$12+1,1))-AVERAGE(OFFSET($H$3,0,0,'Données projet'!$E$12+1,1))</f>
        <v>256.23994291192162</v>
      </c>
      <c r="CE199" s="59">
        <f t="shared" si="207"/>
        <v>207.9118653708222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0.41793665463021662</v>
      </c>
      <c r="CL199" s="21">
        <f>EXP(-LN(2)/25)*CL198+(1-EXP(-LN(2)/25))/(LN(2)/25)*Calculateur!CG199*Calculateur!CI199*VLOOKUP('Données projet'!$B$12,Paramètres!$A$1:$I$89,3,0)*0.475*44/12</f>
        <v>0.51857676305808498</v>
      </c>
      <c r="CM199" s="21">
        <f>EXP(-LN(2)/2)*CM198+(1-EXP(-LN(2)/2))/(LN(2)/2)*CG199*CJ199*VLOOKUP('Données projet'!$B$12,Paramètres!$A$1:$I$89,3,0)*0.475*44/12</f>
        <v>2.0771759990790294E-16</v>
      </c>
      <c r="CN199" s="22">
        <f t="shared" si="172"/>
        <v>0.93651341768830187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170.99999999999991</v>
      </c>
      <c r="CU199" s="17">
        <f>CT199*VLOOKUP('Données projet'!$B$13,Paramètres!$A$1:$I$89,3,0)*VLOOKUP('Données projet'!$B$13,Paramètres!$A$1:$I$89,5,0)</f>
        <v>98.701199999999957</v>
      </c>
      <c r="CV199" s="13">
        <f t="shared" si="173"/>
        <v>26.652341328097943</v>
      </c>
      <c r="CW199" s="20">
        <f t="shared" si="174"/>
        <v>218.32408447977051</v>
      </c>
      <c r="CX199" s="59">
        <f t="shared" si="196"/>
        <v>508.68861490892073</v>
      </c>
      <c r="CY199" s="59">
        <f ca="1">AVERAGE(OFFSET($CX$3,0,0,'Données projet'!$E$13+1,1))-AVERAGE(OFFSET($H$3,0,0,'Données projet'!$E$13+1,1))</f>
        <v>205.74526926885287</v>
      </c>
      <c r="CZ199" s="59">
        <f t="shared" si="208"/>
        <v>201.56217137928999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0.10938952577563264</v>
      </c>
      <c r="DG199" s="21">
        <f>EXP(-LN(2)/25)*DG198+(1-EXP(-LN(2)/25))/(LN(2)/25)*Calculateur!DB199*Calculateur!DD199*VLOOKUP('Données projet'!$B$13,Paramètres!$A$1:$I$89,3,0)*0.475*44/12</f>
        <v>0.39230661970038067</v>
      </c>
      <c r="DH199" s="21">
        <f>EXP(-LN(2)/2)*DH198+(1-EXP(-LN(2)/2))/(LN(2)/2)*DB199*DE199*VLOOKUP('Données projet'!$B$13,Paramètres!$A$1:$I$89,3,0)*0.475*44/12</f>
        <v>2.4710602547608112E-16</v>
      </c>
      <c r="DI199" s="22">
        <f t="shared" si="175"/>
        <v>0.50169614547601349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-4.5474735088646412E-13</v>
      </c>
      <c r="DP199" s="17">
        <f>DO199*VLOOKUP('Données projet'!$B$14,Paramètres!$A$1:$I$89,3,0)*VLOOKUP('Données projet'!$B$14,Paramètres!$A$1:$I$89,5,0)</f>
        <v>-4.3273757910355926E-13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403.89478276355294</v>
      </c>
      <c r="DU199" s="59">
        <f t="shared" si="209"/>
        <v>241.1593989733278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74.745958981994463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74.745958981994463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-4.5474735088646412E-13</v>
      </c>
      <c r="O200" s="13">
        <f>N200*VLOOKUP('Données projet'!$B$9,Paramètres!$A$1:$I$89,3,0)*VLOOKUP('Données projet'!$B$9,Paramètres!$A$1:$I$89,5,0)</f>
        <v>-4.1145540308207271E-13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388.1278150896951</v>
      </c>
      <c r="T200" s="59">
        <f t="shared" si="204"/>
        <v>232.26614607059227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69.676290268519182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69.676290268519182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-4.5474735088646412E-13</v>
      </c>
      <c r="AJ200" s="13">
        <f>AI200*VLOOKUP('Données projet'!$B$10,Paramètres!$A$1:$I$89,3,0)*VLOOKUP('Données projet'!$B$10,Paramètres!$A$1:$I$89,5,0)</f>
        <v>-4.6111381379887462E-13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424.89201140676084</v>
      </c>
      <c r="AO200" s="59">
        <f t="shared" si="205"/>
        <v>253.0016648946303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78.085497714719793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78.085497714719793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155.99999999999991</v>
      </c>
      <c r="BE200" s="13">
        <f>BD200*VLOOKUP('Données projet'!$B$11,Paramètres!$A$1:$I$89,3,0)*VLOOKUP('Données projet'!$B$11,Paramètres!$A$1:$I$89,5,0)</f>
        <v>136.28159999999994</v>
      </c>
      <c r="BF200" s="13">
        <f t="shared" si="167"/>
        <v>35.443842312892279</v>
      </c>
      <c r="BG200" s="20">
        <f t="shared" si="168"/>
        <v>299.08847869495395</v>
      </c>
      <c r="BH200" s="59">
        <f t="shared" si="194"/>
        <v>589.50451121724268</v>
      </c>
      <c r="BI200" s="59">
        <f ca="1">AVERAGE(OFFSET($BH$3,0,0,'Données projet'!$E$11+1,1))-AVERAGE(OFFSET($H$3,0,0,'Données projet'!$E$11+1,1))</f>
        <v>218.97952644043698</v>
      </c>
      <c r="BJ200" s="59">
        <f t="shared" si="206"/>
        <v>204.10961748628714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0.17524864167750331</v>
      </c>
      <c r="BQ200" s="21">
        <f>EXP(-LN(2)/25)*BQ199+(1-EXP(-LN(2)/25))/(LN(2)/25)*Calculateur!BL200*Calculateur!BN200*VLOOKUP('Données projet'!$B$11,Paramètres!$A$1:$I$89,3,0)*0.475*44/12</f>
        <v>0.19538846110368122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0.37063710278118456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191.99999999999977</v>
      </c>
      <c r="BZ200" s="13">
        <f>BY200*VLOOKUP('Données projet'!$B$12,Paramètres!$A$1:$I$89,3,0)*VLOOKUP('Données projet'!$B$12,Paramètres!$A$1:$I$89,5,0)</f>
        <v>155.75039999999984</v>
      </c>
      <c r="CA200" s="13">
        <f t="shared" si="170"/>
        <v>39.882509755133718</v>
      </c>
      <c r="CB200" s="20">
        <f t="shared" si="171"/>
        <v>340.72731782352429</v>
      </c>
      <c r="CC200" s="59">
        <f t="shared" si="195"/>
        <v>631.14335034581313</v>
      </c>
      <c r="CD200" s="59">
        <f ca="1">AVERAGE(OFFSET($CC$3,0,0,'Données projet'!$E$12+1,1))-AVERAGE(OFFSET($H$3,0,0,'Données projet'!$E$12+1,1))</f>
        <v>256.23994291192162</v>
      </c>
      <c r="CE200" s="59">
        <f t="shared" si="207"/>
        <v>207.9118653708222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0.40974117174910651</v>
      </c>
      <c r="CL200" s="21">
        <f>EXP(-LN(2)/25)*CL199+(1-EXP(-LN(2)/25))/(LN(2)/25)*Calculateur!CG200*Calculateur!CI200*VLOOKUP('Données projet'!$B$12,Paramètres!$A$1:$I$89,3,0)*0.475*44/12</f>
        <v>0.50439625420149492</v>
      </c>
      <c r="CM200" s="21">
        <f>EXP(-LN(2)/2)*CM199+(1-EXP(-LN(2)/2))/(LN(2)/2)*CG200*CJ200*VLOOKUP('Données projet'!$B$12,Paramètres!$A$1:$I$89,3,0)*0.475*44/12</f>
        <v>1.4687852346667235E-16</v>
      </c>
      <c r="CN200" s="22">
        <f t="shared" si="172"/>
        <v>0.91413742595060155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170.99999999999991</v>
      </c>
      <c r="CU200" s="17">
        <f>CT200*VLOOKUP('Données projet'!$B$13,Paramètres!$A$1:$I$89,3,0)*VLOOKUP('Données projet'!$B$13,Paramètres!$A$1:$I$89,5,0)</f>
        <v>98.701199999999957</v>
      </c>
      <c r="CV200" s="13">
        <f t="shared" si="173"/>
        <v>26.652341328097943</v>
      </c>
      <c r="CW200" s="20">
        <f t="shared" si="174"/>
        <v>218.32408447977051</v>
      </c>
      <c r="CX200" s="59">
        <f t="shared" si="196"/>
        <v>508.74011700205926</v>
      </c>
      <c r="CY200" s="59">
        <f ca="1">AVERAGE(OFFSET($CX$3,0,0,'Données projet'!$E$13+1,1))-AVERAGE(OFFSET($H$3,0,0,'Données projet'!$E$13+1,1))</f>
        <v>205.74526926885287</v>
      </c>
      <c r="CZ200" s="59">
        <f t="shared" si="208"/>
        <v>201.56217137928999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0.10724446389619506</v>
      </c>
      <c r="DG200" s="21">
        <f>EXP(-LN(2)/25)*DG199+(1-EXP(-LN(2)/25))/(LN(2)/25)*Calculateur!DB200*Calculateur!DD200*VLOOKUP('Données projet'!$B$13,Paramètres!$A$1:$I$89,3,0)*0.475*44/12</f>
        <v>0.38157897455416523</v>
      </c>
      <c r="DH200" s="21">
        <f>EXP(-LN(2)/2)*DH199+(1-EXP(-LN(2)/2))/(LN(2)/2)*DB200*DE200*VLOOKUP('Données projet'!$B$13,Paramètres!$A$1:$I$89,3,0)*0.475*44/12</f>
        <v>1.7473034628619273E-16</v>
      </c>
      <c r="DI200" s="22">
        <f t="shared" si="175"/>
        <v>0.48882343845036047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-4.5474735088646412E-13</v>
      </c>
      <c r="DP200" s="17">
        <f>DO200*VLOOKUP('Données projet'!$B$14,Paramètres!$A$1:$I$89,3,0)*VLOOKUP('Données projet'!$B$14,Paramètres!$A$1:$I$89,5,0)</f>
        <v>-4.3273757910355926E-13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403.89478276355294</v>
      </c>
      <c r="DU200" s="59">
        <f t="shared" si="209"/>
        <v>241.1593989733278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73.280236316890836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73.280236316890836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-4.5474735088646412E-13</v>
      </c>
      <c r="O201" s="13">
        <f>N201*VLOOKUP('Données projet'!$B$9,Paramètres!$A$1:$I$89,3,0)*VLOOKUP('Données projet'!$B$9,Paramètres!$A$1:$I$89,5,0)</f>
        <v>-4.1145540308207271E-13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388.1278150896951</v>
      </c>
      <c r="T201" s="59">
        <f t="shared" si="204"/>
        <v>232.26614607059227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68.30998071469422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68.30998071469422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-4.5474735088646412E-13</v>
      </c>
      <c r="AJ201" s="13">
        <f>AI201*VLOOKUP('Données projet'!$B$10,Paramètres!$A$1:$I$89,3,0)*VLOOKUP('Données projet'!$B$10,Paramètres!$A$1:$I$89,5,0)</f>
        <v>-4.6111381379887462E-13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424.89201140676084</v>
      </c>
      <c r="AO201" s="59">
        <f t="shared" si="205"/>
        <v>253.0016648946303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76.554288731984926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76.554288731984926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155.99999999999991</v>
      </c>
      <c r="BE201" s="13">
        <f>BD201*VLOOKUP('Données projet'!$B$11,Paramètres!$A$1:$I$89,3,0)*VLOOKUP('Données projet'!$B$11,Paramètres!$A$1:$I$89,5,0)</f>
        <v>136.28159999999994</v>
      </c>
      <c r="BF201" s="13">
        <f t="shared" si="167"/>
        <v>35.443842312892279</v>
      </c>
      <c r="BG201" s="20">
        <f t="shared" si="168"/>
        <v>299.08847869495395</v>
      </c>
      <c r="BH201" s="59">
        <f t="shared" si="194"/>
        <v>589.55511986420686</v>
      </c>
      <c r="BI201" s="59">
        <f ca="1">AVERAGE(OFFSET($BH$3,0,0,'Données projet'!$E$11+1,1))-AVERAGE(OFFSET($H$3,0,0,'Données projet'!$E$11+1,1))</f>
        <v>218.97952644043698</v>
      </c>
      <c r="BJ201" s="59">
        <f t="shared" si="206"/>
        <v>204.10961748628714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0.17181212270532428</v>
      </c>
      <c r="BQ201" s="21">
        <f>EXP(-LN(2)/25)*BQ200+(1-EXP(-LN(2)/25))/(LN(2)/25)*Calculateur!BL201*Calculateur!BN201*VLOOKUP('Données projet'!$B$11,Paramètres!$A$1:$I$89,3,0)*0.475*44/12</f>
        <v>0.19004555335976844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0.36185767606509273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191.99999999999977</v>
      </c>
      <c r="BZ201" s="13">
        <f>BY201*VLOOKUP('Données projet'!$B$12,Paramètres!$A$1:$I$89,3,0)*VLOOKUP('Données projet'!$B$12,Paramètres!$A$1:$I$89,5,0)</f>
        <v>155.75039999999984</v>
      </c>
      <c r="CA201" s="13">
        <f t="shared" si="170"/>
        <v>39.882509755133718</v>
      </c>
      <c r="CB201" s="20">
        <f t="shared" si="171"/>
        <v>340.72731782352429</v>
      </c>
      <c r="CC201" s="59">
        <f t="shared" si="195"/>
        <v>631.1939589927772</v>
      </c>
      <c r="CD201" s="59">
        <f ca="1">AVERAGE(OFFSET($CC$3,0,0,'Données projet'!$E$12+1,1))-AVERAGE(OFFSET($H$3,0,0,'Données projet'!$E$12+1,1))</f>
        <v>256.23994291192162</v>
      </c>
      <c r="CE201" s="59">
        <f t="shared" si="207"/>
        <v>207.9118653708222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0.40170639728854401</v>
      </c>
      <c r="CL201" s="21">
        <f>EXP(-LN(2)/25)*CL200+(1-EXP(-LN(2)/25))/(LN(2)/25)*Calculateur!CG201*Calculateur!CI201*VLOOKUP('Données projet'!$B$12,Paramètres!$A$1:$I$89,3,0)*0.475*44/12</f>
        <v>0.49060351210530884</v>
      </c>
      <c r="CM201" s="21">
        <f>EXP(-LN(2)/2)*CM200+(1-EXP(-LN(2)/2))/(LN(2)/2)*CG201*CJ201*VLOOKUP('Données projet'!$B$12,Paramètres!$A$1:$I$89,3,0)*0.475*44/12</f>
        <v>1.0385879995395147E-16</v>
      </c>
      <c r="CN201" s="22">
        <f t="shared" si="172"/>
        <v>0.89230990939385302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170.99999999999991</v>
      </c>
      <c r="CU201" s="17">
        <f>CT201*VLOOKUP('Données projet'!$B$13,Paramètres!$A$1:$I$89,3,0)*VLOOKUP('Données projet'!$B$13,Paramètres!$A$1:$I$89,5,0)</f>
        <v>98.701199999999957</v>
      </c>
      <c r="CV201" s="13">
        <f t="shared" si="173"/>
        <v>26.652341328097943</v>
      </c>
      <c r="CW201" s="20">
        <f t="shared" si="174"/>
        <v>218.32408447977051</v>
      </c>
      <c r="CX201" s="59">
        <f t="shared" si="196"/>
        <v>508.79072564902344</v>
      </c>
      <c r="CY201" s="59">
        <f ca="1">AVERAGE(OFFSET($CX$3,0,0,'Données projet'!$E$13+1,1))-AVERAGE(OFFSET($H$3,0,0,'Données projet'!$E$13+1,1))</f>
        <v>205.74526926885287</v>
      </c>
      <c r="CZ201" s="59">
        <f t="shared" si="208"/>
        <v>201.56217137928999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0.10514146537185469</v>
      </c>
      <c r="DG201" s="21">
        <f>EXP(-LN(2)/25)*DG200+(1-EXP(-LN(2)/25))/(LN(2)/25)*Calculateur!DB201*Calculateur!DD201*VLOOKUP('Données projet'!$B$13,Paramètres!$A$1:$I$89,3,0)*0.475*44/12</f>
        <v>0.3711446774286154</v>
      </c>
      <c r="DH201" s="21">
        <f>EXP(-LN(2)/2)*DH200+(1-EXP(-LN(2)/2))/(LN(2)/2)*DB201*DE201*VLOOKUP('Données projet'!$B$13,Paramètres!$A$1:$I$89,3,0)*0.475*44/12</f>
        <v>1.2355301273804056E-16</v>
      </c>
      <c r="DI201" s="22">
        <f t="shared" si="175"/>
        <v>0.47628614280047021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-4.5474735088646412E-13</v>
      </c>
      <c r="DP201" s="17">
        <f>DO201*VLOOKUP('Données projet'!$B$14,Paramètres!$A$1:$I$89,3,0)*VLOOKUP('Données projet'!$B$14,Paramètres!$A$1:$I$89,5,0)</f>
        <v>-4.3273757910355926E-13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403.89478276355294</v>
      </c>
      <c r="DU201" s="59">
        <f t="shared" si="209"/>
        <v>241.1593989733278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71.843255579247341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71.843255579247341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-4.5474735088646412E-13</v>
      </c>
      <c r="O202" s="13">
        <f>N202*VLOOKUP('Données projet'!$B$9,Paramètres!$A$1:$I$89,3,0)*VLOOKUP('Données projet'!$B$9,Paramètres!$A$1:$I$89,5,0)</f>
        <v>-4.1145540308207271E-13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388.1278150896951</v>
      </c>
      <c r="T202" s="59">
        <f t="shared" si="204"/>
        <v>232.26614607059227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66.97046365785323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66.97046365785323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-4.5474735088646412E-13</v>
      </c>
      <c r="AJ202" s="13">
        <f>AI202*VLOOKUP('Données projet'!$B$10,Paramètres!$A$1:$I$89,3,0)*VLOOKUP('Données projet'!$B$10,Paramètres!$A$1:$I$89,5,0)</f>
        <v>-4.6111381379887462E-13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424.89201140676084</v>
      </c>
      <c r="AO202" s="59">
        <f t="shared" si="205"/>
        <v>253.0016648946303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75.053105823456221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75.053105823456221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155.99999999999991</v>
      </c>
      <c r="BE202" s="13">
        <f>BD202*VLOOKUP('Données projet'!$B$11,Paramètres!$A$1:$I$89,3,0)*VLOOKUP('Données projet'!$B$11,Paramètres!$A$1:$I$89,5,0)</f>
        <v>136.28159999999994</v>
      </c>
      <c r="BF202" s="13">
        <f t="shared" si="167"/>
        <v>35.443842312892279</v>
      </c>
      <c r="BG202" s="20">
        <f t="shared" si="168"/>
        <v>299.08847869495395</v>
      </c>
      <c r="BH202" s="59">
        <f t="shared" si="194"/>
        <v>589.60485056429002</v>
      </c>
      <c r="BI202" s="59">
        <f ca="1">AVERAGE(OFFSET($BH$3,0,0,'Données projet'!$E$11+1,1))-AVERAGE(OFFSET($H$3,0,0,'Données projet'!$E$11+1,1))</f>
        <v>218.97952644043698</v>
      </c>
      <c r="BJ202" s="59">
        <f t="shared" si="206"/>
        <v>204.10961748628714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0.16844299177412006</v>
      </c>
      <c r="BQ202" s="21">
        <f>EXP(-LN(2)/25)*BQ201+(1-EXP(-LN(2)/25))/(LN(2)/25)*Calculateur!BL202*Calculateur!BN202*VLOOKUP('Données projet'!$B$11,Paramètres!$A$1:$I$89,3,0)*0.475*44/12</f>
        <v>0.18484874770908427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0.35329173948320436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191.99999999999977</v>
      </c>
      <c r="BZ202" s="13">
        <f>BY202*VLOOKUP('Données projet'!$B$12,Paramètres!$A$1:$I$89,3,0)*VLOOKUP('Données projet'!$B$12,Paramètres!$A$1:$I$89,5,0)</f>
        <v>155.75039999999984</v>
      </c>
      <c r="CA202" s="13">
        <f t="shared" si="170"/>
        <v>39.882509755133718</v>
      </c>
      <c r="CB202" s="20">
        <f t="shared" si="171"/>
        <v>340.72731782352429</v>
      </c>
      <c r="CC202" s="59">
        <f t="shared" si="195"/>
        <v>631.24368969286047</v>
      </c>
      <c r="CD202" s="59">
        <f ca="1">AVERAGE(OFFSET($CC$3,0,0,'Données projet'!$E$12+1,1))-AVERAGE(OFFSET($H$3,0,0,'Données projet'!$E$12+1,1))</f>
        <v>256.23994291192162</v>
      </c>
      <c r="CE202" s="59">
        <f t="shared" si="207"/>
        <v>207.9118653708222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0.39382917985442462</v>
      </c>
      <c r="CL202" s="21">
        <f>EXP(-LN(2)/25)*CL201+(1-EXP(-LN(2)/25))/(LN(2)/25)*Calculateur!CG202*Calculateur!CI202*VLOOKUP('Données projet'!$B$12,Paramètres!$A$1:$I$89,3,0)*0.475*44/12</f>
        <v>0.47718793326707176</v>
      </c>
      <c r="CM202" s="21">
        <f>EXP(-LN(2)/2)*CM201+(1-EXP(-LN(2)/2))/(LN(2)/2)*CG202*CJ202*VLOOKUP('Données projet'!$B$12,Paramètres!$A$1:$I$89,3,0)*0.475*44/12</f>
        <v>7.3439261733336175E-17</v>
      </c>
      <c r="CN202" s="22">
        <f t="shared" si="172"/>
        <v>0.87101711312149643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170.99999999999991</v>
      </c>
      <c r="CU202" s="17">
        <f>CT202*VLOOKUP('Données projet'!$B$13,Paramètres!$A$1:$I$89,3,0)*VLOOKUP('Données projet'!$B$13,Paramètres!$A$1:$I$89,5,0)</f>
        <v>98.701199999999957</v>
      </c>
      <c r="CV202" s="13">
        <f t="shared" si="173"/>
        <v>26.652341328097943</v>
      </c>
      <c r="CW202" s="20">
        <f t="shared" si="174"/>
        <v>218.32408447977051</v>
      </c>
      <c r="CX202" s="59">
        <f t="shared" si="196"/>
        <v>508.8404563491066</v>
      </c>
      <c r="CY202" s="59">
        <f ca="1">AVERAGE(OFFSET($CX$3,0,0,'Données projet'!$E$13+1,1))-AVERAGE(OFFSET($H$3,0,0,'Données projet'!$E$13+1,1))</f>
        <v>205.74526926885287</v>
      </c>
      <c r="CZ202" s="59">
        <f t="shared" si="208"/>
        <v>201.56217137928999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0.10307970536587419</v>
      </c>
      <c r="DG202" s="21">
        <f>EXP(-LN(2)/25)*DG201+(1-EXP(-LN(2)/25))/(LN(2)/25)*Calculateur!DB202*Calculateur!DD202*VLOOKUP('Données projet'!$B$13,Paramètres!$A$1:$I$89,3,0)*0.475*44/12</f>
        <v>0.36099570670667958</v>
      </c>
      <c r="DH202" s="21">
        <f>EXP(-LN(2)/2)*DH201+(1-EXP(-LN(2)/2))/(LN(2)/2)*DB202*DE202*VLOOKUP('Données projet'!$B$13,Paramètres!$A$1:$I$89,3,0)*0.475*44/12</f>
        <v>8.7365173143096367E-17</v>
      </c>
      <c r="DI202" s="22">
        <f t="shared" si="175"/>
        <v>0.46407541207255387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-4.5474735088646412E-13</v>
      </c>
      <c r="DP202" s="17">
        <f>DO202*VLOOKUP('Données projet'!$B$14,Paramètres!$A$1:$I$89,3,0)*VLOOKUP('Données projet'!$B$14,Paramètres!$A$1:$I$89,5,0)</f>
        <v>-4.3273757910355926E-13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403.89478276355294</v>
      </c>
      <c r="DU202" s="59">
        <f t="shared" si="209"/>
        <v>241.1593989733278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70.434453157397328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70.434453157397328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-4.5474735088646412E-13</v>
      </c>
      <c r="O203" s="13">
        <f>N203*VLOOKUP('Données projet'!$B$9,Paramètres!$A$1:$I$89,3,0)*VLOOKUP('Données projet'!$B$9,Paramètres!$A$1:$I$89,5,0)</f>
        <v>-4.1145540308207271E-13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388.1278150896951</v>
      </c>
      <c r="T203" s="59">
        <f t="shared" si="204"/>
        <v>232.26614607059227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65.65721371347216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65.65721371347216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-4.5474735088646412E-13</v>
      </c>
      <c r="AJ203" s="13">
        <f>AI203*VLOOKUP('Données projet'!$B$10,Paramètres!$A$1:$I$89,3,0)*VLOOKUP('Données projet'!$B$10,Paramètres!$A$1:$I$89,5,0)</f>
        <v>-4.6111381379887462E-13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424.89201140676084</v>
      </c>
      <c r="AO203" s="59">
        <f t="shared" si="205"/>
        <v>253.0016648946303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73.581360196132607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73.581360196132607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155.99999999999991</v>
      </c>
      <c r="BE203" s="13">
        <f>BD203*VLOOKUP('Données projet'!$B$11,Paramètres!$A$1:$I$89,3,0)*VLOOKUP('Données projet'!$B$11,Paramètres!$A$1:$I$89,5,0)</f>
        <v>136.28159999999994</v>
      </c>
      <c r="BF203" s="13">
        <f t="shared" si="167"/>
        <v>35.443842312892279</v>
      </c>
      <c r="BG203" s="20">
        <f t="shared" si="168"/>
        <v>299.08847869495395</v>
      </c>
      <c r="BH203" s="59">
        <f t="shared" si="194"/>
        <v>589.65371854790806</v>
      </c>
      <c r="BI203" s="59">
        <f ca="1">AVERAGE(OFFSET($BH$3,0,0,'Données projet'!$E$11+1,1))-AVERAGE(OFFSET($H$3,0,0,'Données projet'!$E$11+1,1))</f>
        <v>218.97952644043698</v>
      </c>
      <c r="BJ203" s="59">
        <f t="shared" si="206"/>
        <v>204.10961748628714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0.16513992744550982</v>
      </c>
      <c r="BQ203" s="21">
        <f>EXP(-LN(2)/25)*BQ202+(1-EXP(-LN(2)/25))/(LN(2)/25)*Calculateur!BL203*Calculateur!BN203*VLOOKUP('Données projet'!$B$11,Paramètres!$A$1:$I$89,3,0)*0.475*44/12</f>
        <v>0.17979404898220619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0.344933976427716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191.99999999999977</v>
      </c>
      <c r="BZ203" s="13">
        <f>BY203*VLOOKUP('Données projet'!$B$12,Paramètres!$A$1:$I$89,3,0)*VLOOKUP('Données projet'!$B$12,Paramètres!$A$1:$I$89,5,0)</f>
        <v>155.75039999999984</v>
      </c>
      <c r="CA203" s="13">
        <f t="shared" si="170"/>
        <v>39.882509755133718</v>
      </c>
      <c r="CB203" s="20">
        <f t="shared" si="171"/>
        <v>340.72731782352429</v>
      </c>
      <c r="CC203" s="59">
        <f t="shared" si="195"/>
        <v>631.2925576764784</v>
      </c>
      <c r="CD203" s="59">
        <f ca="1">AVERAGE(OFFSET($CC$3,0,0,'Données projet'!$E$12+1,1))-AVERAGE(OFFSET($H$3,0,0,'Données projet'!$E$12+1,1))</f>
        <v>256.23994291192162</v>
      </c>
      <c r="CE203" s="59">
        <f t="shared" si="207"/>
        <v>207.9118653708222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0.38610642984956006</v>
      </c>
      <c r="CL203" s="21">
        <f>EXP(-LN(2)/25)*CL202+(1-EXP(-LN(2)/25))/(LN(2)/25)*Calculateur!CG203*Calculateur!CI203*VLOOKUP('Données projet'!$B$12,Paramètres!$A$1:$I$89,3,0)*0.475*44/12</f>
        <v>0.46413920413766091</v>
      </c>
      <c r="CM203" s="21">
        <f>EXP(-LN(2)/2)*CM202+(1-EXP(-LN(2)/2))/(LN(2)/2)*CG203*CJ203*VLOOKUP('Données projet'!$B$12,Paramètres!$A$1:$I$89,3,0)*0.475*44/12</f>
        <v>5.1929399976975736E-17</v>
      </c>
      <c r="CN203" s="22">
        <f t="shared" si="172"/>
        <v>0.85024563398722097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170.99999999999991</v>
      </c>
      <c r="CU203" s="17">
        <f>CT203*VLOOKUP('Données projet'!$B$13,Paramètres!$A$1:$I$89,3,0)*VLOOKUP('Données projet'!$B$13,Paramètres!$A$1:$I$89,5,0)</f>
        <v>98.701199999999957</v>
      </c>
      <c r="CV203" s="13">
        <f t="shared" si="173"/>
        <v>26.652341328097943</v>
      </c>
      <c r="CW203" s="20">
        <f t="shared" si="174"/>
        <v>218.32408447977051</v>
      </c>
      <c r="CX203" s="59">
        <f t="shared" si="196"/>
        <v>508.88932433272464</v>
      </c>
      <c r="CY203" s="59">
        <f ca="1">AVERAGE(OFFSET($CX$3,0,0,'Données projet'!$E$13+1,1))-AVERAGE(OFFSET($H$3,0,0,'Données projet'!$E$13+1,1))</f>
        <v>205.74526926885287</v>
      </c>
      <c r="CZ203" s="59">
        <f t="shared" si="208"/>
        <v>201.56217137928999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0.10105837521606154</v>
      </c>
      <c r="DG203" s="21">
        <f>EXP(-LN(2)/25)*DG202+(1-EXP(-LN(2)/25))/(LN(2)/25)*Calculateur!DB203*Calculateur!DD203*VLOOKUP('Données projet'!$B$13,Paramètres!$A$1:$I$89,3,0)*0.475*44/12</f>
        <v>0.35112426012284625</v>
      </c>
      <c r="DH203" s="21">
        <f>EXP(-LN(2)/2)*DH202+(1-EXP(-LN(2)/2))/(LN(2)/2)*DB203*DE203*VLOOKUP('Données projet'!$B$13,Paramètres!$A$1:$I$89,3,0)*0.475*44/12</f>
        <v>6.1776506369020279E-17</v>
      </c>
      <c r="DI203" s="22">
        <f t="shared" si="175"/>
        <v>0.45218263533890785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-4.5474735088646412E-13</v>
      </c>
      <c r="DP203" s="17">
        <f>DO203*VLOOKUP('Données projet'!$B$14,Paramètres!$A$1:$I$89,3,0)*VLOOKUP('Données projet'!$B$14,Paramètres!$A$1:$I$89,5,0)</f>
        <v>-4.3273757910355926E-13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403.89478276355294</v>
      </c>
      <c r="DU203" s="59">
        <f t="shared" si="209"/>
        <v>241.1593989733278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69.05327649175517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69.05327649175517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1.1608269964373037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1.1608269964373037</v>
      </c>
      <c r="BA205" s="82">
        <f>EXP(LN('Données projet'!B88)/'Données projet'!A88)</f>
        <v>1.1554831727638066</v>
      </c>
      <c r="BV205" s="82">
        <f>EXP(LN('Données projet'!B114)/'Données projet'!A114)</f>
        <v>1.2599210498948732</v>
      </c>
      <c r="CQ205" s="82">
        <f>EXP(LN('Données projet'!B140)/'Données projet'!A140)</f>
        <v>1.2516796742016716</v>
      </c>
      <c r="DL205" s="82">
        <f>EXP(LN('Données projet'!B166)/'Données projet'!A166)</f>
        <v>1.1608269964373037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Chêne sessile</v>
      </c>
      <c r="B6" s="146">
        <f>'Données projet'!D9</f>
        <v>6.4315259999999999</v>
      </c>
      <c r="C6" s="147">
        <f ca="1">IF(OR('Données projet'!B9="",'Données projet'!C9="",'Données projet'!C9=0%),0,Calculateur!S3)</f>
        <v>388.1278150896951</v>
      </c>
      <c r="D6" s="147">
        <f>IF(OR('Données projet'!B9="",'Données projet'!C9="",'Données projet'!C9=0%),0,Calculateur!T3)</f>
        <v>232.26614607059227</v>
      </c>
      <c r="E6" s="147">
        <f ca="1">MIN(C6,D6)</f>
        <v>232.26614607059227</v>
      </c>
      <c r="F6" s="147">
        <f ca="1">E6*B6</f>
        <v>1493.8257573728119</v>
      </c>
      <c r="G6" s="147">
        <f ca="1">F6*(100%-'Données projet'!$C$24)*(100%-'Données projet'!$C$25)*(100%-'Données projet'!$C$26)*(100%-'Données projet'!$C$27)</f>
        <v>1209.9988634719778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1209.9988634719778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pubescent</v>
      </c>
      <c r="B7" s="154">
        <f>'Données projet'!D10</f>
        <v>5.0985000000000005</v>
      </c>
      <c r="C7" s="147">
        <f ca="1">IF(OR('Données projet'!B10="",'Données projet'!C10="",'Données projet'!C10=0%),0,Calculateur!AN3)</f>
        <v>424.89201140676084</v>
      </c>
      <c r="D7" s="147">
        <f>IF(OR('Données projet'!B10="",'Données projet'!C10="",'Données projet'!C10=0%),0,Calculateur!AO3)</f>
        <v>253.0016648946303</v>
      </c>
      <c r="E7" s="147">
        <f t="shared" ref="E7:E15" ca="1" si="0">MIN(C7,D7)</f>
        <v>253.0016648946303</v>
      </c>
      <c r="F7" s="147">
        <f t="shared" ref="F7:F15" ca="1" si="1">E7*B7</f>
        <v>1289.9289884652726</v>
      </c>
      <c r="G7" s="147">
        <f ca="1">F7*(100%-'Données projet'!$C$24)*(100%-'Données projet'!$C$25)*(100%-'Données projet'!$C$26)*(100%-'Données projet'!$C$27)</f>
        <v>1044.842480656871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1044.842480656871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Erable champêtre</v>
      </c>
      <c r="B8" s="154">
        <f>'Données projet'!D11</f>
        <v>0.54692999999999992</v>
      </c>
      <c r="C8" s="147">
        <f ca="1">IF(OR('Données projet'!B11="",'Données projet'!C11="",'Données projet'!C11=0%),0,Calculateur!BI3)</f>
        <v>218.97952644043698</v>
      </c>
      <c r="D8" s="147">
        <f>IF(OR('Données projet'!B11="",'Données projet'!C11="",'Données projet'!C11=0%),0,Calculateur!BJ3)</f>
        <v>204.10961748628714</v>
      </c>
      <c r="E8" s="147">
        <f t="shared" ca="1" si="0"/>
        <v>204.10961748628714</v>
      </c>
      <c r="F8" s="147">
        <f t="shared" ca="1" si="1"/>
        <v>111.63367309177501</v>
      </c>
      <c r="G8" s="147">
        <f ca="1">F8*(100%-'Données projet'!$C$24)*(100%-'Données projet'!$C$25)*(100%-'Données projet'!$C$26)*(100%-'Données projet'!$C$27)</f>
        <v>90.423275204337756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4.2387074999999994</v>
      </c>
      <c r="K8" s="151">
        <f>J8*(100%-'Données projet'!$C$24)*(100%-'Données projet'!$C$25)*(100%-'Données projet'!$C$26)*(100%-'Données projet'!$C$27)</f>
        <v>3.4333530749999999</v>
      </c>
      <c r="L8" s="152">
        <f t="shared" ca="1" si="2"/>
        <v>93.856628279337755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Bouleau verruqueux</v>
      </c>
      <c r="B9" s="154">
        <f>'Données projet'!D12</f>
        <v>1.422018</v>
      </c>
      <c r="C9" s="147">
        <f ca="1">IF(OR('Données projet'!B12="",'Données projet'!C12="",'Données projet'!C12=0%),0,Calculateur!CD3)</f>
        <v>256.23994291192162</v>
      </c>
      <c r="D9" s="147">
        <f>IF(OR('Données projet'!B12="",'Données projet'!C12="",'Données projet'!C12=0%),0,Calculateur!CE3)</f>
        <v>207.9118653708222</v>
      </c>
      <c r="E9" s="147">
        <f t="shared" ca="1" si="0"/>
        <v>207.9118653708222</v>
      </c>
      <c r="F9" s="147">
        <f t="shared" ca="1" si="1"/>
        <v>295.65441497088585</v>
      </c>
      <c r="G9" s="147">
        <f ca="1">F9*(100%-'Données projet'!$C$24)*(100%-'Données projet'!$C$25)*(100%-'Données projet'!$C$26)*(100%-'Données projet'!$C$27)</f>
        <v>239.48007612641757</v>
      </c>
      <c r="H9" s="155">
        <f>IF(OR('Données projet'!B12="",'Données projet'!C12="",'Données projet'!C12=0%),0,AVERAGE(Calculateur!$CN$3:$CN$33)*B9)</f>
        <v>0.67888459032335036</v>
      </c>
      <c r="I9" s="149">
        <f>H9*(100%-'Données projet'!$C$24)*(100%-'Données projet'!$C$25)*(100%-'Données projet'!$C$26)*(100%-'Données projet'!$C$27)</f>
        <v>0.54989651816191387</v>
      </c>
      <c r="J9" s="150">
        <f>IF(OR('Données projet'!B12="",'Données projet'!C12="",'Données projet'!C12=0%),0,SUM(Calculateur!$CG$3:$CG$33)*VLOOKUP('Données projet'!$B$12,Paramètres!$A$1:$I$89,9,0)*B9)</f>
        <v>9.2431169999999998</v>
      </c>
      <c r="K9" s="151">
        <f>J9*(100%-'Données projet'!$C$24)*(100%-'Données projet'!$C$25)*(100%-'Données projet'!$C$26)*(100%-'Données projet'!$C$27)</f>
        <v>7.4869247699999999</v>
      </c>
      <c r="L9" s="152">
        <f t="shared" ca="1" si="2"/>
        <v>247.51689741457949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Saule</v>
      </c>
      <c r="B10" s="154">
        <f>'Données projet'!D13</f>
        <v>0.65631600000000001</v>
      </c>
      <c r="C10" s="147">
        <f ca="1">IF(OR('Données projet'!B13="",'Données projet'!C13="",'Données projet'!C13=0%),0,Calculateur!CY3)</f>
        <v>205.74526926885287</v>
      </c>
      <c r="D10" s="147">
        <f>IF(OR('Données projet'!B13="",'Données projet'!C13="",'Données projet'!C13=0%),0,Calculateur!CZ3)</f>
        <v>201.56217137928999</v>
      </c>
      <c r="E10" s="147">
        <f t="shared" ca="1" si="0"/>
        <v>201.56217137928999</v>
      </c>
      <c r="F10" s="147">
        <f t="shared" ca="1" si="1"/>
        <v>132.28847807097009</v>
      </c>
      <c r="G10" s="147">
        <f ca="1">F10*(100%-'Données projet'!$C$24)*(100%-'Données projet'!$C$25)*(100%-'Données projet'!$C$26)*(100%-'Données projet'!$C$27)</f>
        <v>107.15366723748576</v>
      </c>
      <c r="H10" s="155">
        <f>IF(OR('Données projet'!B13="",'Données projet'!C13="",'Données projet'!C13=0%),0,AVERAGE(Calculateur!$DI$3:$DI$33)*B10)</f>
        <v>0.43651954229701156</v>
      </c>
      <c r="I10" s="149">
        <f>H10*(100%-'Données projet'!$C$24)*(100%-'Données projet'!$C$25)*(100%-'Données projet'!$C$26)*(100%-'Données projet'!$C$27)</f>
        <v>0.35358082926057938</v>
      </c>
      <c r="J10" s="150">
        <f>IF(OR('Données projet'!B13="",'Données projet'!C13="",'Données projet'!C13=0%),0,SUM(Calculateur!$DB$3:$DB$33)*VLOOKUP('Données projet'!$B$13,Paramètres!$A$1:$I$89,9,0)*B10)</f>
        <v>6.727239</v>
      </c>
      <c r="K10" s="151">
        <f>J10*(100%-'Données projet'!$C$24)*(100%-'Données projet'!$C$25)*(100%-'Données projet'!$C$26)*(100%-'Données projet'!$C$27)</f>
        <v>5.4490635899999997</v>
      </c>
      <c r="L10" s="152">
        <f t="shared" ca="1" si="2"/>
        <v>112.95631165674634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Charme</v>
      </c>
      <c r="B11" s="154">
        <f>'Données projet'!D14</f>
        <v>1.3756679999999999</v>
      </c>
      <c r="C11" s="147">
        <f ca="1">IF(OR('Données projet'!B14="",'Données projet'!C14="",'Données projet'!C14=0%),0,Calculateur!DT3)</f>
        <v>403.89478276355294</v>
      </c>
      <c r="D11" s="147">
        <f>IF(OR('Données projet'!B14="",'Données projet'!C14="",'Données projet'!C14=0%),0,Calculateur!DU3)</f>
        <v>241.1593989733278</v>
      </c>
      <c r="E11" s="147">
        <f t="shared" ca="1" si="0"/>
        <v>241.1593989733278</v>
      </c>
      <c r="F11" s="147">
        <f t="shared" ca="1" si="1"/>
        <v>331.7552680668399</v>
      </c>
      <c r="G11" s="147">
        <f ca="1">F11*(100%-'Données projet'!$C$24)*(100%-'Données projet'!$C$25)*(100%-'Données projet'!$C$26)*(100%-'Données projet'!$C$27)</f>
        <v>268.72176713414035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268.72176713414035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3655.0865800385554</v>
      </c>
      <c r="G16" s="166">
        <f t="shared" ca="1" si="3"/>
        <v>2960.6201298312303</v>
      </c>
      <c r="H16" s="167">
        <f t="shared" si="3"/>
        <v>1.1154041326203619</v>
      </c>
      <c r="I16" s="167">
        <f t="shared" si="3"/>
        <v>0.9034773474224933</v>
      </c>
      <c r="J16" s="168">
        <f t="shared" si="3"/>
        <v>20.209063499999999</v>
      </c>
      <c r="K16" s="168">
        <f t="shared" si="3"/>
        <v>16.369341434999999</v>
      </c>
      <c r="L16" s="169">
        <f t="shared" ca="1" si="3"/>
        <v>2977.8929486136526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Erable champêtre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Bouleau verruqueux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Saule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Charme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80" zoomScaleNormal="80" workbookViewId="0">
      <selection activeCell="C194" sqref="C194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708.90487280046784</v>
      </c>
      <c r="U10" s="178">
        <f>'Données projet'!D9</f>
        <v>6.4315259999999999</v>
      </c>
      <c r="V10" s="177">
        <f>U10*T10</f>
        <v>4559.3401209429012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637.65949928917269</v>
      </c>
      <c r="U11" s="178">
        <f>'Données projet'!D10</f>
        <v>5.0985000000000005</v>
      </c>
      <c r="V11" s="177">
        <f t="shared" ref="V11" si="0">U11*T11</f>
        <v>3251.1069571258472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champêtre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482.253285240948</v>
      </c>
      <c r="U12" s="178">
        <f>'Données projet'!D11</f>
        <v>0.54692999999999992</v>
      </c>
      <c r="V12" s="177">
        <f t="shared" ref="V12:V19" si="1">U12*T12</f>
        <v>263.75878929683165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Bouleau verruqueux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413.38194959096677</v>
      </c>
      <c r="U13" s="178">
        <f>'Données projet'!D12</f>
        <v>1.422018</v>
      </c>
      <c r="V13" s="177">
        <f t="shared" si="1"/>
        <v>587.83657319344741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Saule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996.50546720142313</v>
      </c>
      <c r="U14" s="178">
        <f>'Données projet'!D13</f>
        <v>0.65631600000000001</v>
      </c>
      <c r="V14" s="177">
        <f t="shared" si="1"/>
        <v>654.02248221176922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Charme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481.5117753019548</v>
      </c>
      <c r="U15" s="178">
        <f>'Données projet'!D14</f>
        <v>1.3756679999999999</v>
      </c>
      <c r="V15" s="177">
        <f t="shared" si="1"/>
        <v>662.40034090608947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6124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-98671.257224361383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44</v>
      </c>
      <c r="B24" s="181">
        <f>'Données projet'!D37</f>
        <v>64.416666666666657</v>
      </c>
      <c r="C24" s="193">
        <v>10</v>
      </c>
      <c r="D24" s="182">
        <f t="shared" ref="D24:D42" si="2">B24*C24</f>
        <v>644.16666666666652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627542.24243680248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51</v>
      </c>
      <c r="B25" s="181">
        <f>'Données projet'!D38</f>
        <v>37.685897435897431</v>
      </c>
      <c r="C25" s="193">
        <v>10</v>
      </c>
      <c r="D25" s="182">
        <f t="shared" si="2"/>
        <v>376.85897435897431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1500</v>
      </c>
      <c r="Q25" s="234"/>
      <c r="R25" s="23"/>
      <c r="S25" s="186" t="s">
        <v>266</v>
      </c>
      <c r="T25" s="299">
        <f ca="1">T23-T24</f>
        <v>-726213.49966116389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59</v>
      </c>
      <c r="B26" s="181">
        <f>'Données projet'!D39</f>
        <v>38.942307692307693</v>
      </c>
      <c r="C26" s="193">
        <v>50</v>
      </c>
      <c r="D26" s="182">
        <f t="shared" si="2"/>
        <v>1947.1153846153848</v>
      </c>
      <c r="E26" s="193">
        <v>150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67</v>
      </c>
      <c r="B27" s="181">
        <f>'Données projet'!D40</f>
        <v>31.993589743589741</v>
      </c>
      <c r="C27" s="193">
        <v>50</v>
      </c>
      <c r="D27" s="182">
        <f t="shared" si="2"/>
        <v>1599.6794871794871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75</v>
      </c>
      <c r="B28" s="181">
        <f>'Données projet'!D41</f>
        <v>30.916666666666664</v>
      </c>
      <c r="C28" s="193">
        <v>50</v>
      </c>
      <c r="D28" s="182">
        <f t="shared" si="2"/>
        <v>1545.8333333333333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84</v>
      </c>
      <c r="B29" s="181">
        <f>'Données projet'!D42</f>
        <v>35.083333333333329</v>
      </c>
      <c r="C29" s="193">
        <v>100</v>
      </c>
      <c r="D29" s="182">
        <f t="shared" si="2"/>
        <v>3508.333333333333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93</v>
      </c>
      <c r="B30" s="181">
        <f>'Données projet'!D43</f>
        <v>30.083333333333332</v>
      </c>
      <c r="C30" s="193">
        <v>100</v>
      </c>
      <c r="D30" s="182">
        <f t="shared" si="2"/>
        <v>3008.333333333333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33848.017391413297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103</v>
      </c>
      <c r="B31" s="181">
        <f>'Données projet'!D44</f>
        <v>39.512820512820511</v>
      </c>
      <c r="C31" s="193">
        <v>150</v>
      </c>
      <c r="D31" s="182">
        <f t="shared" si="2"/>
        <v>5926.9230769230762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113</v>
      </c>
      <c r="B32" s="181">
        <f>'Données projet'!D45</f>
        <v>31.602564102564099</v>
      </c>
      <c r="C32" s="193">
        <v>150</v>
      </c>
      <c r="D32" s="182">
        <f t="shared" si="2"/>
        <v>4740.3846153846152</v>
      </c>
      <c r="E32" s="193">
        <v>150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125</v>
      </c>
      <c r="B33" s="181">
        <f>'Données projet'!D46</f>
        <v>48.160256410256409</v>
      </c>
      <c r="C33" s="193">
        <v>150</v>
      </c>
      <c r="D33" s="182">
        <f t="shared" si="2"/>
        <v>7224.038461538461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1500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137</v>
      </c>
      <c r="B34" s="181">
        <f>'Données projet'!D47</f>
        <v>51.160256410256409</v>
      </c>
      <c r="C34" s="193">
        <v>200</v>
      </c>
      <c r="D34" s="182">
        <f t="shared" si="2"/>
        <v>10232.051282051281</v>
      </c>
      <c r="E34" s="193">
        <v>150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1435.4066985645934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149</v>
      </c>
      <c r="B35" s="181">
        <f>'Données projet'!D48</f>
        <v>120.50641025641026</v>
      </c>
      <c r="C35" s="193">
        <v>200</v>
      </c>
      <c r="D35" s="182">
        <f t="shared" si="2"/>
        <v>24101.282051282051</v>
      </c>
      <c r="E35" s="193">
        <v>150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1373.5949268560703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153</v>
      </c>
      <c r="B36" s="181">
        <f>'Données projet'!D49</f>
        <v>70.115384615384613</v>
      </c>
      <c r="C36" s="193">
        <v>200</v>
      </c>
      <c r="D36" s="182">
        <f t="shared" si="2"/>
        <v>14023.076923076922</v>
      </c>
      <c r="E36" s="193">
        <v>150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1314.444906082364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157</v>
      </c>
      <c r="B37" s="181">
        <f>'Données projet'!D50</f>
        <v>45.71153846153846</v>
      </c>
      <c r="C37" s="193">
        <v>200</v>
      </c>
      <c r="D37" s="182">
        <f t="shared" si="2"/>
        <v>9142.3076923076915</v>
      </c>
      <c r="E37" s="193">
        <v>150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1257.8420153898223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161</v>
      </c>
      <c r="B38" s="181">
        <f>'Données projet'!D51</f>
        <v>91.365384615384613</v>
      </c>
      <c r="C38" s="193">
        <v>200</v>
      </c>
      <c r="D38" s="182">
        <f t="shared" si="2"/>
        <v>18273.076923076922</v>
      </c>
      <c r="E38" s="193">
        <v>150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1203.6765697510261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1151.8436074172503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1102.2426865236844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1054.7776904532868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1009.3566415820926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965.8915230450649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924.29810817709563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884.49579729865627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846.40746152981455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809.95929332996627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775.08066347365184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741.70398418531317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709.76457816776372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679.20055327058742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649.95268255558608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621.96428952687677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595.18113830323136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44</v>
      </c>
      <c r="B55" s="181">
        <f>'Données projet'!D63</f>
        <v>64.416666666666657</v>
      </c>
      <c r="C55" s="191">
        <v>10</v>
      </c>
      <c r="D55" s="179">
        <f t="shared" ref="D55:D73" si="4">B55*C55</f>
        <v>644.16666666666652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569.55132851983876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51</v>
      </c>
      <c r="B56" s="181">
        <f>'Données projet'!D64</f>
        <v>37.685897435897431</v>
      </c>
      <c r="C56" s="191">
        <v>10</v>
      </c>
      <c r="D56" s="179">
        <f t="shared" si="4"/>
        <v>376.85897435897431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545.02519475582653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59</v>
      </c>
      <c r="B57" s="181">
        <f>'Données projet'!D65</f>
        <v>38.942307692307693</v>
      </c>
      <c r="C57" s="191">
        <v>50</v>
      </c>
      <c r="D57" s="179">
        <f t="shared" si="4"/>
        <v>1947.1153846153848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521.55521029265708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67</v>
      </c>
      <c r="B58" s="181">
        <f>'Données projet'!D66</f>
        <v>31.993589743589741</v>
      </c>
      <c r="C58" s="191">
        <v>50</v>
      </c>
      <c r="D58" s="179">
        <f t="shared" si="4"/>
        <v>1599.6794871794871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499.0958950168968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75</v>
      </c>
      <c r="B59" s="181">
        <f>'Données projet'!D67</f>
        <v>30.916666666666664</v>
      </c>
      <c r="C59" s="191">
        <v>50</v>
      </c>
      <c r="D59" s="179">
        <f t="shared" si="4"/>
        <v>1545.8333333333333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477.60372728889661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84</v>
      </c>
      <c r="B60" s="181">
        <f>'Données projet'!D68</f>
        <v>35.083333333333329</v>
      </c>
      <c r="C60" s="191">
        <v>100</v>
      </c>
      <c r="D60" s="179">
        <f t="shared" si="4"/>
        <v>3508.333333333333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457.0370596065996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93</v>
      </c>
      <c r="B61" s="181">
        <f>'Données projet'!D69</f>
        <v>30.083333333333332</v>
      </c>
      <c r="C61" s="191">
        <v>100</v>
      </c>
      <c r="D61" s="179">
        <f t="shared" si="4"/>
        <v>3008.333333333333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437.35603790105233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103</v>
      </c>
      <c r="B62" s="181">
        <f>'Données projet'!D70</f>
        <v>39.512820512820511</v>
      </c>
      <c r="C62" s="191">
        <v>150</v>
      </c>
      <c r="D62" s="179">
        <f t="shared" si="4"/>
        <v>5926.9230769230762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418.52252430722706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113</v>
      </c>
      <c r="B63" s="181">
        <f>'Données projet'!D71</f>
        <v>31.602564102564099</v>
      </c>
      <c r="C63" s="191">
        <v>150</v>
      </c>
      <c r="D63" s="179">
        <f t="shared" si="4"/>
        <v>4740.3846153846152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400.50002326050452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125</v>
      </c>
      <c r="B64" s="181">
        <f>'Données projet'!D72</f>
        <v>48.160256410256409</v>
      </c>
      <c r="C64" s="191">
        <v>150</v>
      </c>
      <c r="D64" s="179">
        <f t="shared" si="4"/>
        <v>7224.038461538461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383.25361077560234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137</v>
      </c>
      <c r="B65" s="181">
        <f>'Données projet'!D73</f>
        <v>51.160256410256409</v>
      </c>
      <c r="C65" s="191">
        <v>200</v>
      </c>
      <c r="D65" s="179">
        <f t="shared" si="4"/>
        <v>10232.051282051281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366.74986677091152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149</v>
      </c>
      <c r="B66" s="181">
        <f>'Données projet'!D74</f>
        <v>120.50641025641026</v>
      </c>
      <c r="C66" s="191">
        <v>200</v>
      </c>
      <c r="D66" s="179">
        <f t="shared" si="4"/>
        <v>24101.282051282051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350.95681030709238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153</v>
      </c>
      <c r="B67" s="181">
        <f>'Données projet'!D75</f>
        <v>70.115384615384613</v>
      </c>
      <c r="C67" s="191">
        <v>200</v>
      </c>
      <c r="D67" s="179">
        <f t="shared" si="4"/>
        <v>14023.076923076922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335.84383761444252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157</v>
      </c>
      <c r="B68" s="181">
        <f>'Données projet'!D76</f>
        <v>45.71153846153846</v>
      </c>
      <c r="C68" s="191">
        <v>200</v>
      </c>
      <c r="D68" s="179">
        <f t="shared" si="4"/>
        <v>9142.3076923076915</v>
      </c>
      <c r="E68" s="193">
        <v>150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321.38166278894022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161</v>
      </c>
      <c r="B69" s="181">
        <f>'Données projet'!D77</f>
        <v>91.365384615384613</v>
      </c>
      <c r="C69" s="191">
        <v>200</v>
      </c>
      <c r="D69" s="179">
        <f t="shared" si="4"/>
        <v>18273.076923076922</v>
      </c>
      <c r="E69" s="193">
        <v>150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307.5422610420481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294.29881439430443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281.6256597074684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269.49823895451522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257.8930516311151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246.78760921637812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236.16039159462025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Erable champêtre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225.99080535370359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216.25914387914221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206.94654916664328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198.03497527908451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189.50715337711435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181.34655825561191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173.53737632115971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166.06447494847822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158.9133731564385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20</v>
      </c>
      <c r="B85" s="181">
        <f>'Données projet'!D88</f>
        <v>3</v>
      </c>
      <c r="C85" s="191">
        <v>10</v>
      </c>
      <c r="D85" s="179">
        <f>B85*C85</f>
        <v>30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152.07021354683113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25</v>
      </c>
      <c r="B86" s="181">
        <f>'Données projet'!D89</f>
        <v>14</v>
      </c>
      <c r="C86" s="191">
        <v>10</v>
      </c>
      <c r="D86" s="179">
        <f t="shared" ref="D86:D104" si="6">B86*C86</f>
        <v>140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145.52173545151302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30</v>
      </c>
      <c r="B87" s="181">
        <f>'Données projet'!D90</f>
        <v>14</v>
      </c>
      <c r="C87" s="191">
        <v>50</v>
      </c>
      <c r="D87" s="179">
        <f t="shared" si="6"/>
        <v>700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139.25524923589771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35</v>
      </c>
      <c r="B88" s="181">
        <f>'Données projet'!D91</f>
        <v>14</v>
      </c>
      <c r="C88" s="191">
        <v>50</v>
      </c>
      <c r="D88" s="179">
        <f t="shared" si="6"/>
        <v>700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133.25861170899299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40</v>
      </c>
      <c r="B89" s="181">
        <f>'Données projet'!D92</f>
        <v>14</v>
      </c>
      <c r="C89" s="191">
        <v>50</v>
      </c>
      <c r="D89" s="179">
        <f t="shared" si="6"/>
        <v>700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127.52020259233782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45</v>
      </c>
      <c r="B90" s="181">
        <f>'Données projet'!D93</f>
        <v>14</v>
      </c>
      <c r="C90" s="191">
        <v>50</v>
      </c>
      <c r="D90" s="179">
        <f t="shared" si="6"/>
        <v>700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122.02890200223716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50</v>
      </c>
      <c r="B91" s="181">
        <f>'Données projet'!D94</f>
        <v>11</v>
      </c>
      <c r="C91" s="191">
        <v>50</v>
      </c>
      <c r="D91" s="179">
        <f t="shared" si="6"/>
        <v>550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116.77406890166239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55</v>
      </c>
      <c r="B92" s="181">
        <f>'Données projet'!D95</f>
        <v>9</v>
      </c>
      <c r="C92" s="191">
        <v>50</v>
      </c>
      <c r="D92" s="179">
        <f t="shared" si="6"/>
        <v>450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111.7455204800597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60</v>
      </c>
      <c r="B93" s="181">
        <f>'Données projet'!D96</f>
        <v>7</v>
      </c>
      <c r="C93" s="191">
        <v>50</v>
      </c>
      <c r="D93" s="179">
        <f t="shared" si="6"/>
        <v>350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106.93351242110978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65</v>
      </c>
      <c r="B94" s="181">
        <f>'Données projet'!D97</f>
        <v>6</v>
      </c>
      <c r="C94" s="191">
        <v>50</v>
      </c>
      <c r="D94" s="179">
        <f t="shared" si="6"/>
        <v>300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102.32872002020072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70</v>
      </c>
      <c r="B95" s="181">
        <f>'Données projet'!D98</f>
        <v>5</v>
      </c>
      <c r="C95" s="191">
        <v>50</v>
      </c>
      <c r="D95" s="179">
        <f t="shared" si="6"/>
        <v>250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97.922220115024658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75</v>
      </c>
      <c r="B96" s="181">
        <f>'Données projet'!D99</f>
        <v>4</v>
      </c>
      <c r="C96" s="191">
        <v>50</v>
      </c>
      <c r="D96" s="179">
        <f t="shared" si="6"/>
        <v>200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93.705473794281957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80</v>
      </c>
      <c r="B97" s="181">
        <f>'Données projet'!D100</f>
        <v>3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89.670309850987564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85.808908948313459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82.11378846728563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78.577788006971886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75.194055509064029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71.956033979965568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68.857448784656071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65.892295487709163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63.05482821790352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60.339548533878968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Bouleau verruqueux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57.741194769262179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55.254731836614525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52.875341470444532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50.598412890377546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48.419533866390005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46.33448216879426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44.339217386406006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15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20</v>
      </c>
      <c r="B117" s="181">
        <f>'Données projet'!D115</f>
        <v>9</v>
      </c>
      <c r="C117" s="191">
        <v>10</v>
      </c>
      <c r="D117" s="179">
        <f t="shared" ref="D117:D135" si="8">B117*C117</f>
        <v>90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25</v>
      </c>
      <c r="B118" s="181">
        <f>'Données projet'!D116</f>
        <v>8</v>
      </c>
      <c r="C118" s="191">
        <v>10</v>
      </c>
      <c r="D118" s="179">
        <f t="shared" si="8"/>
        <v>80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30</v>
      </c>
      <c r="B119" s="181">
        <f>'Données projet'!D117</f>
        <v>9</v>
      </c>
      <c r="C119" s="191">
        <v>50</v>
      </c>
      <c r="D119" s="179">
        <f t="shared" si="8"/>
        <v>450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35</v>
      </c>
      <c r="B120" s="181">
        <f>'Données projet'!D118</f>
        <v>10</v>
      </c>
      <c r="C120" s="191">
        <v>50</v>
      </c>
      <c r="D120" s="179">
        <f t="shared" si="8"/>
        <v>500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40</v>
      </c>
      <c r="B121" s="181">
        <f>'Données projet'!D119</f>
        <v>10</v>
      </c>
      <c r="C121" s="191">
        <v>50</v>
      </c>
      <c r="D121" s="179">
        <f t="shared" si="8"/>
        <v>500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45</v>
      </c>
      <c r="B122" s="181">
        <f>'Données projet'!D120</f>
        <v>11</v>
      </c>
      <c r="C122" s="191">
        <v>50</v>
      </c>
      <c r="D122" s="179">
        <f t="shared" si="8"/>
        <v>550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50</v>
      </c>
      <c r="B123" s="181">
        <f>'Données projet'!D121</f>
        <v>11</v>
      </c>
      <c r="C123" s="191">
        <v>50</v>
      </c>
      <c r="D123" s="179">
        <f t="shared" si="8"/>
        <v>550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55</v>
      </c>
      <c r="B124" s="181">
        <f>'Données projet'!D122</f>
        <v>11</v>
      </c>
      <c r="C124" s="191">
        <v>50</v>
      </c>
      <c r="D124" s="179">
        <f t="shared" si="8"/>
        <v>550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60</v>
      </c>
      <c r="B125" s="181">
        <f>'Données projet'!D123</f>
        <v>11</v>
      </c>
      <c r="C125" s="191">
        <v>50</v>
      </c>
      <c r="D125" s="179">
        <f t="shared" si="8"/>
        <v>550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65</v>
      </c>
      <c r="B126" s="181">
        <f>'Données projet'!D124</f>
        <v>11</v>
      </c>
      <c r="C126" s="191">
        <v>50</v>
      </c>
      <c r="D126" s="179">
        <f t="shared" si="8"/>
        <v>550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70</v>
      </c>
      <c r="B127" s="181">
        <f>'Données projet'!D125</f>
        <v>11</v>
      </c>
      <c r="C127" s="191">
        <v>50</v>
      </c>
      <c r="D127" s="179">
        <f t="shared" si="8"/>
        <v>550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75</v>
      </c>
      <c r="B128" s="181">
        <f>'Données projet'!D126</f>
        <v>11</v>
      </c>
      <c r="C128" s="191">
        <v>50</v>
      </c>
      <c r="D128" s="179">
        <f t="shared" si="8"/>
        <v>550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80</v>
      </c>
      <c r="B129" s="181">
        <f>'Données projet'!D127</f>
        <v>11</v>
      </c>
      <c r="C129" s="191">
        <v>50</v>
      </c>
      <c r="D129" s="179">
        <f t="shared" si="8"/>
        <v>550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85</v>
      </c>
      <c r="B130" s="181">
        <f>'Données projet'!D128</f>
        <v>10</v>
      </c>
      <c r="C130" s="191">
        <v>50</v>
      </c>
      <c r="D130" s="179">
        <f t="shared" si="8"/>
        <v>500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90</v>
      </c>
      <c r="B131" s="181">
        <f>'Données projet'!D129</f>
        <v>10</v>
      </c>
      <c r="C131" s="191">
        <v>50</v>
      </c>
      <c r="D131" s="179">
        <f t="shared" si="8"/>
        <v>500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>
        <v>50</v>
      </c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>Saule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15</v>
      </c>
      <c r="B147" s="175">
        <f>'Données projet'!D140</f>
        <v>3</v>
      </c>
      <c r="C147" s="191">
        <v>10</v>
      </c>
      <c r="D147" s="182">
        <f>B147*C147</f>
        <v>30</v>
      </c>
      <c r="E147" s="193">
        <v>150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20</v>
      </c>
      <c r="B148" s="175">
        <f>'Données projet'!D141</f>
        <v>7</v>
      </c>
      <c r="C148" s="191">
        <v>10</v>
      </c>
      <c r="D148" s="182">
        <f t="shared" ref="D148:D166" si="10">B148*C148</f>
        <v>70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25</v>
      </c>
      <c r="B149" s="175">
        <f>'Données projet'!D142</f>
        <v>14</v>
      </c>
      <c r="C149" s="191">
        <v>50</v>
      </c>
      <c r="D149" s="182">
        <f t="shared" si="10"/>
        <v>700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30</v>
      </c>
      <c r="B150" s="175">
        <f>'Données projet'!D143</f>
        <v>17</v>
      </c>
      <c r="C150" s="191">
        <v>50</v>
      </c>
      <c r="D150" s="182">
        <f t="shared" si="10"/>
        <v>850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35</v>
      </c>
      <c r="B151" s="175">
        <f>'Données projet'!D144</f>
        <v>18</v>
      </c>
      <c r="C151" s="191">
        <v>50</v>
      </c>
      <c r="D151" s="182">
        <f t="shared" si="10"/>
        <v>900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40</v>
      </c>
      <c r="B152" s="175">
        <f>'Données projet'!D145</f>
        <v>19</v>
      </c>
      <c r="C152" s="191">
        <v>50</v>
      </c>
      <c r="D152" s="182">
        <f t="shared" si="10"/>
        <v>950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45</v>
      </c>
      <c r="B153" s="175">
        <f>'Données projet'!D146</f>
        <v>19</v>
      </c>
      <c r="C153" s="191">
        <v>50</v>
      </c>
      <c r="D153" s="182">
        <f t="shared" si="10"/>
        <v>950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50</v>
      </c>
      <c r="B154" s="175">
        <f>'Données projet'!D147</f>
        <v>18</v>
      </c>
      <c r="C154" s="191">
        <v>50</v>
      </c>
      <c r="D154" s="182">
        <f t="shared" si="10"/>
        <v>900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55</v>
      </c>
      <c r="B155" s="175">
        <f>'Données projet'!D148</f>
        <v>17</v>
      </c>
      <c r="C155" s="191">
        <v>50</v>
      </c>
      <c r="D155" s="182">
        <f t="shared" si="10"/>
        <v>850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60</v>
      </c>
      <c r="B156" s="175">
        <f>'Données projet'!D149</f>
        <v>17</v>
      </c>
      <c r="C156" s="191">
        <v>50</v>
      </c>
      <c r="D156" s="182">
        <f t="shared" si="10"/>
        <v>850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65</v>
      </c>
      <c r="B157" s="175">
        <f>'Données projet'!D150</f>
        <v>16</v>
      </c>
      <c r="C157" s="191">
        <v>50</v>
      </c>
      <c r="D157" s="182">
        <f t="shared" si="10"/>
        <v>800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70</v>
      </c>
      <c r="B158" s="175">
        <f>'Données projet'!D151</f>
        <v>15</v>
      </c>
      <c r="C158" s="191">
        <v>50</v>
      </c>
      <c r="D158" s="182">
        <f t="shared" si="10"/>
        <v>750</v>
      </c>
      <c r="E158" s="193">
        <v>150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75</v>
      </c>
      <c r="B159" s="175">
        <f>'Données projet'!D152</f>
        <v>14</v>
      </c>
      <c r="C159" s="191">
        <v>50</v>
      </c>
      <c r="D159" s="182">
        <f t="shared" si="10"/>
        <v>700</v>
      </c>
      <c r="E159" s="193">
        <v>150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80</v>
      </c>
      <c r="B160" s="175">
        <f>'Données projet'!D153</f>
        <v>13</v>
      </c>
      <c r="C160" s="191">
        <v>50</v>
      </c>
      <c r="D160" s="182">
        <f t="shared" si="10"/>
        <v>650</v>
      </c>
      <c r="E160" s="193">
        <v>150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85</v>
      </c>
      <c r="B161" s="175">
        <f>'Données projet'!D154</f>
        <v>12</v>
      </c>
      <c r="C161" s="191">
        <v>50</v>
      </c>
      <c r="D161" s="182">
        <f t="shared" si="10"/>
        <v>600</v>
      </c>
      <c r="E161" s="193">
        <v>150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90</v>
      </c>
      <c r="B162" s="175">
        <f>'Données projet'!D155</f>
        <v>11</v>
      </c>
      <c r="C162" s="191">
        <v>50</v>
      </c>
      <c r="D162" s="182">
        <f t="shared" si="10"/>
        <v>550</v>
      </c>
      <c r="E162" s="193">
        <v>150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>Charme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30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44</v>
      </c>
      <c r="B179" s="181">
        <f>'Données projet'!D167</f>
        <v>64.416666666666657</v>
      </c>
      <c r="C179" s="193">
        <v>10</v>
      </c>
      <c r="D179" s="179">
        <f t="shared" ref="D179:D197" si="11">B179*C179</f>
        <v>644.16666666666652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51</v>
      </c>
      <c r="B180" s="181">
        <f>'Données projet'!D168</f>
        <v>37.685897435897431</v>
      </c>
      <c r="C180" s="193">
        <v>10</v>
      </c>
      <c r="D180" s="179">
        <f t="shared" si="11"/>
        <v>376.85897435897431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59</v>
      </c>
      <c r="B181" s="181">
        <f>'Données projet'!D169</f>
        <v>38.942307692307693</v>
      </c>
      <c r="C181" s="193">
        <v>50</v>
      </c>
      <c r="D181" s="179">
        <f t="shared" si="11"/>
        <v>1947.1153846153848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67</v>
      </c>
      <c r="B182" s="181">
        <f>'Données projet'!D170</f>
        <v>31.993589743589741</v>
      </c>
      <c r="C182" s="193">
        <v>50</v>
      </c>
      <c r="D182" s="179">
        <f t="shared" si="11"/>
        <v>1599.6794871794871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75</v>
      </c>
      <c r="B183" s="181">
        <f>'Données projet'!D171</f>
        <v>30.916666666666664</v>
      </c>
      <c r="C183" s="193">
        <v>50</v>
      </c>
      <c r="D183" s="179">
        <f t="shared" si="11"/>
        <v>1545.8333333333333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84</v>
      </c>
      <c r="B184" s="181">
        <f>'Données projet'!D172</f>
        <v>35.083333333333329</v>
      </c>
      <c r="C184" s="193">
        <v>50</v>
      </c>
      <c r="D184" s="179">
        <f t="shared" si="11"/>
        <v>1754.1666666666665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93</v>
      </c>
      <c r="B185" s="181">
        <f>'Données projet'!D173</f>
        <v>30.083333333333332</v>
      </c>
      <c r="C185" s="193">
        <v>50</v>
      </c>
      <c r="D185" s="179">
        <f t="shared" si="11"/>
        <v>1504.1666666666665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103</v>
      </c>
      <c r="B186" s="181">
        <f>'Données projet'!D174</f>
        <v>39.512820512820511</v>
      </c>
      <c r="C186" s="193">
        <v>50</v>
      </c>
      <c r="D186" s="179">
        <f t="shared" si="11"/>
        <v>1975.6410256410256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113</v>
      </c>
      <c r="B187" s="181">
        <f>'Données projet'!D175</f>
        <v>31.602564102564099</v>
      </c>
      <c r="C187" s="193">
        <v>50</v>
      </c>
      <c r="D187" s="179">
        <f t="shared" si="11"/>
        <v>1580.1282051282049</v>
      </c>
      <c r="E187" s="193">
        <v>150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125</v>
      </c>
      <c r="B188" s="181">
        <f>'Données projet'!D176</f>
        <v>48.160256410256409</v>
      </c>
      <c r="C188" s="193">
        <v>50</v>
      </c>
      <c r="D188" s="179">
        <f t="shared" si="11"/>
        <v>2408.0128205128203</v>
      </c>
      <c r="E188" s="193">
        <v>150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137</v>
      </c>
      <c r="B189" s="181">
        <f>'Données projet'!D177</f>
        <v>51.160256410256409</v>
      </c>
      <c r="C189" s="193">
        <v>50</v>
      </c>
      <c r="D189" s="179">
        <f t="shared" si="11"/>
        <v>2558.0128205128203</v>
      </c>
      <c r="E189" s="193">
        <v>150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149</v>
      </c>
      <c r="B190" s="181">
        <f>'Données projet'!D178</f>
        <v>120.50641025641026</v>
      </c>
      <c r="C190" s="193">
        <v>50</v>
      </c>
      <c r="D190" s="179">
        <f t="shared" si="11"/>
        <v>6025.3205128205127</v>
      </c>
      <c r="E190" s="193">
        <v>150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153</v>
      </c>
      <c r="B191" s="181">
        <f>'Données projet'!D179</f>
        <v>70.115384615384613</v>
      </c>
      <c r="C191" s="193">
        <v>50</v>
      </c>
      <c r="D191" s="179">
        <f t="shared" si="11"/>
        <v>3505.7692307692305</v>
      </c>
      <c r="E191" s="193">
        <v>150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157</v>
      </c>
      <c r="B192" s="181">
        <f>'Données projet'!D180</f>
        <v>45.71153846153846</v>
      </c>
      <c r="C192" s="193">
        <v>50</v>
      </c>
      <c r="D192" s="179">
        <f t="shared" si="11"/>
        <v>2285.5769230769229</v>
      </c>
      <c r="E192" s="193">
        <v>150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161</v>
      </c>
      <c r="B193" s="181">
        <f>'Données projet'!D181</f>
        <v>91.365384615384613</v>
      </c>
      <c r="C193" s="193">
        <v>50</v>
      </c>
      <c r="D193" s="179">
        <f t="shared" si="11"/>
        <v>4568.2692307692305</v>
      </c>
      <c r="E193" s="193">
        <v>150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7" ma:contentTypeDescription="Create a new document." ma:contentTypeScope="" ma:versionID="7169d813bd4bd8261e0b11d9a99793a7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7071fe391fcaa872b2fd24032d0367b7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34693A-20A7-4DCD-86A0-9354AC530806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C555376D-D7A0-463C-85D1-7EF1A324B5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4F16F0-332E-4B47-9D21-612F29BCBD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Agathe DENOYER</cp:lastModifiedBy>
  <dcterms:created xsi:type="dcterms:W3CDTF">2021-02-01T08:22:39Z</dcterms:created>
  <dcterms:modified xsi:type="dcterms:W3CDTF">2025-11-14T16:28:23Z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